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updateLinks="always"/>
  <mc:AlternateContent xmlns:mc="http://schemas.openxmlformats.org/markup-compatibility/2006">
    <mc:Choice Requires="x15">
      <x15ac:absPath xmlns:x15ac="http://schemas.microsoft.com/office/spreadsheetml/2010/11/ac" url="https://caa.sharepoint.com/sites/ext-h8-benchmarking/collaboration/2 Analysis/Phase 2&amp;3/Opex and Comrev model/"/>
    </mc:Choice>
  </mc:AlternateContent>
  <xr:revisionPtr revIDLastSave="6457" documentId="8_{779AC18C-E40E-AE44-BE5E-7B7F5C6BD183}" xr6:coauthVersionLast="47" xr6:coauthVersionMax="47" xr10:uidLastSave="{068A5ED4-D730-4F60-A983-DA482A96053C}"/>
  <bookViews>
    <workbookView xWindow="-110" yWindow="-110" windowWidth="19420" windowHeight="11500" firstSheet="7" activeTab="7" xr2:uid="{CAA6960E-DC4B-44E0-B266-B2DFF81268BF}"/>
  </bookViews>
  <sheets>
    <sheet name="Cover" sheetId="15" r:id="rId1"/>
    <sheet name="Version history" sheetId="28" r:id="rId2"/>
    <sheet name="Guide" sheetId="1" r:id="rId3"/>
    <sheet name="Summary" sheetId="5" r:id="rId4"/>
    <sheet name="Inputs-&gt;" sheetId="2" r:id="rId5"/>
    <sheet name="Assumptions" sheetId="18" r:id="rId6"/>
    <sheet name="Traffic inputs" sheetId="19" r:id="rId7"/>
    <sheet name="Baseline" sheetId="3" r:id="rId8"/>
    <sheet name="ORCs" sheetId="24" r:id="rId9"/>
    <sheet name="Volume Drivers" sheetId="8" r:id="rId10"/>
    <sheet name="Scaling" sheetId="6" r:id="rId11"/>
    <sheet name="Overlays" sheetId="12" r:id="rId12"/>
    <sheet name="Calculations-&gt;" sheetId="4" r:id="rId13"/>
    <sheet name="OPEX" sheetId="26" r:id="rId14"/>
    <sheet name="Comrev" sheetId="27" r:id="rId15"/>
    <sheet name="Bottom-up" sheetId="29" r:id="rId16"/>
    <sheet name="ORC_calcs" sheetId="25" r:id="rId17"/>
    <sheet name="Alternative summary" sheetId="30" r:id="rId18"/>
    <sheet name="Check" sheetId="20" r:id="rId19"/>
  </sheets>
  <externalReferences>
    <externalReference r:id="rId20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6" i="25" l="1"/>
  <c r="I7" i="3"/>
  <c r="G74" i="3"/>
  <c r="J74" i="3"/>
  <c r="J61" i="3"/>
  <c r="J62" i="3"/>
  <c r="J63" i="3"/>
  <c r="J64" i="3"/>
  <c r="J65" i="3"/>
  <c r="J66" i="3"/>
  <c r="J67" i="3"/>
  <c r="J68" i="3"/>
  <c r="J69" i="3"/>
  <c r="J70" i="3"/>
  <c r="J71" i="3"/>
  <c r="J72" i="3"/>
  <c r="J73" i="3"/>
  <c r="G19" i="3"/>
  <c r="N46" i="26"/>
  <c r="N515" i="5" l="1"/>
  <c r="N488" i="5"/>
  <c r="N485" i="5"/>
  <c r="N409" i="5"/>
  <c r="N370" i="5"/>
  <c r="N343" i="5"/>
  <c r="N340" i="5"/>
  <c r="N264" i="5"/>
  <c r="N225" i="5"/>
  <c r="N198" i="5"/>
  <c r="N195" i="5"/>
  <c r="L18" i="12"/>
  <c r="I68" i="3" l="1"/>
  <c r="G93" i="3" l="1"/>
  <c r="F18" i="3"/>
  <c r="K8" i="6" l="1"/>
  <c r="F169" i="5"/>
  <c r="I17" i="3" l="1"/>
  <c r="I62" i="3"/>
  <c r="I63" i="3"/>
  <c r="I64" i="3"/>
  <c r="I65" i="3"/>
  <c r="I66" i="3"/>
  <c r="I67" i="3"/>
  <c r="I69" i="3"/>
  <c r="I70" i="3"/>
  <c r="I71" i="3"/>
  <c r="I72" i="3"/>
  <c r="I73" i="3"/>
  <c r="I61" i="3"/>
  <c r="I8" i="3"/>
  <c r="I9" i="3"/>
  <c r="I10" i="3"/>
  <c r="I11" i="3"/>
  <c r="I12" i="3"/>
  <c r="I13" i="3"/>
  <c r="I14" i="3"/>
  <c r="I15" i="3"/>
  <c r="I16" i="3"/>
  <c r="I6" i="3"/>
  <c r="J119" i="5" l="1"/>
  <c r="K119" i="5"/>
  <c r="L119" i="5"/>
  <c r="M119" i="5"/>
  <c r="I119" i="5"/>
  <c r="F86" i="25" l="1"/>
  <c r="F84" i="25"/>
  <c r="F83" i="25"/>
  <c r="F82" i="25"/>
  <c r="F81" i="25"/>
  <c r="F80" i="25"/>
  <c r="F79" i="25"/>
  <c r="F78" i="25"/>
  <c r="F77" i="25"/>
  <c r="F76" i="25"/>
  <c r="F75" i="25"/>
  <c r="F74" i="25"/>
  <c r="F73" i="25"/>
  <c r="F72" i="25"/>
  <c r="L38" i="29"/>
  <c r="K38" i="29"/>
  <c r="J38" i="29"/>
  <c r="I38" i="29"/>
  <c r="H38" i="29"/>
  <c r="M38" i="29" s="1"/>
  <c r="M37" i="29"/>
  <c r="M36" i="29"/>
  <c r="E45" i="30" l="1"/>
  <c r="G35" i="30"/>
  <c r="H35" i="30" s="1"/>
  <c r="I35" i="30" s="1"/>
  <c r="J35" i="30" s="1"/>
  <c r="K35" i="30" s="1"/>
  <c r="L35" i="30" s="1"/>
  <c r="F32" i="30"/>
  <c r="G32" i="30"/>
  <c r="E32" i="30"/>
  <c r="G24" i="30"/>
  <c r="H24" i="30" s="1"/>
  <c r="I24" i="30" s="1"/>
  <c r="J24" i="30" s="1"/>
  <c r="K24" i="30" s="1"/>
  <c r="L24" i="30" s="1"/>
  <c r="G12" i="30"/>
  <c r="H12" i="30" s="1"/>
  <c r="I12" i="30" s="1"/>
  <c r="J12" i="30" s="1"/>
  <c r="K12" i="30" s="1"/>
  <c r="L12" i="30" s="1"/>
  <c r="F27" i="29"/>
  <c r="G195" i="5" s="1"/>
  <c r="G27" i="29"/>
  <c r="H195" i="5" s="1"/>
  <c r="H27" i="29"/>
  <c r="I195" i="5" s="1"/>
  <c r="I27" i="29"/>
  <c r="J195" i="5" s="1"/>
  <c r="J27" i="29"/>
  <c r="K195" i="5" s="1"/>
  <c r="K27" i="29"/>
  <c r="L195" i="5" s="1"/>
  <c r="F23" i="29"/>
  <c r="G23" i="29"/>
  <c r="H23" i="29"/>
  <c r="I23" i="29"/>
  <c r="J23" i="29"/>
  <c r="K23" i="29"/>
  <c r="L23" i="29"/>
  <c r="L27" i="29" s="1"/>
  <c r="M195" i="5" s="1"/>
  <c r="F25" i="29"/>
  <c r="G25" i="29"/>
  <c r="H25" i="29"/>
  <c r="I25" i="29"/>
  <c r="J25" i="29"/>
  <c r="K25" i="29"/>
  <c r="L25" i="29"/>
  <c r="E25" i="29"/>
  <c r="E23" i="29"/>
  <c r="E27" i="29" s="1"/>
  <c r="F195" i="5" s="1"/>
  <c r="H19" i="3" l="1"/>
  <c r="F12" i="29" l="1"/>
  <c r="G12" i="29" s="1"/>
  <c r="H12" i="29" s="1"/>
  <c r="I12" i="29" s="1"/>
  <c r="J12" i="29" s="1"/>
  <c r="K12" i="29" s="1"/>
  <c r="I12" i="12"/>
  <c r="J12" i="12"/>
  <c r="K12" i="12"/>
  <c r="L12" i="12"/>
  <c r="H12" i="12"/>
  <c r="E36" i="12"/>
  <c r="G123" i="3" l="1"/>
  <c r="H123" i="3" s="1"/>
  <c r="G119" i="3"/>
  <c r="H119" i="3" s="1"/>
  <c r="G112" i="3"/>
  <c r="H112" i="3" s="1"/>
  <c r="G111" i="3"/>
  <c r="H111" i="3" s="1"/>
  <c r="G110" i="3"/>
  <c r="H110" i="3" s="1"/>
  <c r="G103" i="3"/>
  <c r="H103" i="3" s="1"/>
  <c r="G102" i="3"/>
  <c r="H102" i="3" s="1"/>
  <c r="G101" i="3"/>
  <c r="H101" i="3" s="1"/>
  <c r="G100" i="3"/>
  <c r="H100" i="3" s="1"/>
  <c r="G99" i="3"/>
  <c r="H99" i="3" s="1"/>
  <c r="G98" i="3"/>
  <c r="H98" i="3" s="1"/>
  <c r="G97" i="3"/>
  <c r="H97" i="3" s="1"/>
  <c r="G94" i="3"/>
  <c r="H94" i="3" s="1"/>
  <c r="H93" i="3"/>
  <c r="G90" i="3"/>
  <c r="H90" i="3" s="1"/>
  <c r="G89" i="3"/>
  <c r="H89" i="3" s="1"/>
  <c r="G88" i="3"/>
  <c r="H88" i="3" s="1"/>
  <c r="G87" i="3"/>
  <c r="H87" i="3" s="1"/>
  <c r="G86" i="3"/>
  <c r="H86" i="3" s="1"/>
  <c r="G85" i="3"/>
  <c r="H85" i="3" s="1"/>
  <c r="G84" i="3"/>
  <c r="H84" i="3" s="1"/>
  <c r="G83" i="3"/>
  <c r="H83" i="3" s="1"/>
  <c r="G82" i="3"/>
  <c r="H82" i="3" s="1"/>
  <c r="G81" i="3"/>
  <c r="H81" i="3" s="1"/>
  <c r="G80" i="3"/>
  <c r="H80" i="3" s="1"/>
  <c r="G79" i="3"/>
  <c r="H79" i="3" s="1"/>
  <c r="G78" i="3"/>
  <c r="H78" i="3" s="1"/>
  <c r="G77" i="3"/>
  <c r="H77" i="3" s="1"/>
  <c r="H74" i="3"/>
  <c r="F74" i="3"/>
  <c r="F56" i="3"/>
  <c r="G56" i="3" s="1"/>
  <c r="G55" i="3"/>
  <c r="I55" i="3" s="1"/>
  <c r="G54" i="3"/>
  <c r="I54" i="3" s="1"/>
  <c r="G53" i="3"/>
  <c r="I53" i="3" s="1"/>
  <c r="G52" i="3"/>
  <c r="I52" i="3" s="1"/>
  <c r="G51" i="3"/>
  <c r="H51" i="3" s="1"/>
  <c r="F137" i="5" s="1"/>
  <c r="G50" i="3"/>
  <c r="I50" i="3" s="1"/>
  <c r="G49" i="3"/>
  <c r="I49" i="3" s="1"/>
  <c r="G48" i="3"/>
  <c r="I48" i="3" s="1"/>
  <c r="F47" i="3"/>
  <c r="G47" i="3" s="1"/>
  <c r="H47" i="3" s="1"/>
  <c r="F133" i="5" s="1"/>
  <c r="G46" i="3"/>
  <c r="I46" i="3" s="1"/>
  <c r="G45" i="3"/>
  <c r="I45" i="3" s="1"/>
  <c r="G44" i="3"/>
  <c r="I44" i="3" s="1"/>
  <c r="G43" i="3"/>
  <c r="H43" i="3" s="1"/>
  <c r="F129" i="5" s="1"/>
  <c r="G42" i="3"/>
  <c r="I42" i="3" s="1"/>
  <c r="I41" i="3"/>
  <c r="H41" i="3"/>
  <c r="F127" i="5" s="1"/>
  <c r="G41" i="3"/>
  <c r="I40" i="3"/>
  <c r="H40" i="3"/>
  <c r="F126" i="5" s="1"/>
  <c r="G40" i="3"/>
  <c r="I39" i="3"/>
  <c r="H39" i="3"/>
  <c r="F125" i="5" s="1"/>
  <c r="G39" i="3"/>
  <c r="F38" i="3"/>
  <c r="G35" i="3" s="1"/>
  <c r="G37" i="3"/>
  <c r="I37" i="3" s="1"/>
  <c r="G36" i="3"/>
  <c r="I36" i="3" s="1"/>
  <c r="I33" i="3"/>
  <c r="H33" i="3"/>
  <c r="F119" i="5" s="1"/>
  <c r="G33" i="3"/>
  <c r="F30" i="3"/>
  <c r="G31" i="3" s="1"/>
  <c r="I28" i="3"/>
  <c r="H28" i="3"/>
  <c r="F114" i="5" s="1"/>
  <c r="G28" i="3"/>
  <c r="I27" i="3"/>
  <c r="H27" i="3"/>
  <c r="F113" i="5" s="1"/>
  <c r="G27" i="3"/>
  <c r="G26" i="3"/>
  <c r="I26" i="3" s="1"/>
  <c r="G25" i="3"/>
  <c r="I25" i="3" s="1"/>
  <c r="G24" i="3"/>
  <c r="H24" i="3" s="1"/>
  <c r="F110" i="5" s="1"/>
  <c r="G23" i="3"/>
  <c r="G22" i="3"/>
  <c r="H22" i="3" s="1"/>
  <c r="F19" i="3"/>
  <c r="J37" i="12"/>
  <c r="J38" i="12" s="1"/>
  <c r="J11" i="12" s="1"/>
  <c r="J35" i="12"/>
  <c r="I35" i="12"/>
  <c r="H35" i="12"/>
  <c r="J34" i="12"/>
  <c r="I34" i="12"/>
  <c r="H34" i="12"/>
  <c r="M23" i="12"/>
  <c r="K18" i="12"/>
  <c r="J18" i="12"/>
  <c r="I18" i="12"/>
  <c r="H18" i="12"/>
  <c r="G18" i="12"/>
  <c r="F18" i="12"/>
  <c r="G170" i="27" s="1"/>
  <c r="M17" i="12"/>
  <c r="L14" i="12"/>
  <c r="K14" i="12"/>
  <c r="G14" i="12"/>
  <c r="F14" i="12"/>
  <c r="M12" i="12"/>
  <c r="I19" i="3" l="1"/>
  <c r="F108" i="5"/>
  <c r="I13" i="12"/>
  <c r="J13" i="12"/>
  <c r="H13" i="12"/>
  <c r="I23" i="3"/>
  <c r="H23" i="3"/>
  <c r="F109" i="5" s="1"/>
  <c r="H52" i="3"/>
  <c r="F138" i="5" s="1"/>
  <c r="M18" i="12"/>
  <c r="I74" i="3"/>
  <c r="J14" i="12"/>
  <c r="M13" i="12"/>
  <c r="I56" i="3"/>
  <c r="H56" i="3"/>
  <c r="F142" i="5" s="1"/>
  <c r="I31" i="3"/>
  <c r="H31" i="3"/>
  <c r="F117" i="5" s="1"/>
  <c r="H35" i="3"/>
  <c r="F121" i="5" s="1"/>
  <c r="I35" i="3"/>
  <c r="G30" i="3"/>
  <c r="H53" i="3"/>
  <c r="F139" i="5" s="1"/>
  <c r="I24" i="3"/>
  <c r="H36" i="3"/>
  <c r="F122" i="5" s="1"/>
  <c r="I47" i="3"/>
  <c r="H42" i="3"/>
  <c r="F128" i="5" s="1"/>
  <c r="H25" i="3"/>
  <c r="F111" i="5" s="1"/>
  <c r="H48" i="3"/>
  <c r="F134" i="5" s="1"/>
  <c r="H37" i="3"/>
  <c r="F123" i="5" s="1"/>
  <c r="G32" i="3"/>
  <c r="I43" i="3"/>
  <c r="H55" i="3"/>
  <c r="F141" i="5" s="1"/>
  <c r="I22" i="3"/>
  <c r="I51" i="3"/>
  <c r="G29" i="3"/>
  <c r="H46" i="3"/>
  <c r="F132" i="5" s="1"/>
  <c r="H54" i="3"/>
  <c r="F140" i="5" s="1"/>
  <c r="H26" i="3"/>
  <c r="F112" i="5" s="1"/>
  <c r="H49" i="3"/>
  <c r="F135" i="5" s="1"/>
  <c r="G38" i="3"/>
  <c r="H44" i="3"/>
  <c r="F130" i="5" s="1"/>
  <c r="H50" i="3"/>
  <c r="F136" i="5" s="1"/>
  <c r="H45" i="3"/>
  <c r="F131" i="5" s="1"/>
  <c r="G34" i="3"/>
  <c r="H37" i="12"/>
  <c r="I37" i="12"/>
  <c r="I38" i="12" s="1"/>
  <c r="I11" i="12" s="1"/>
  <c r="I14" i="12" s="1"/>
  <c r="G46" i="8"/>
  <c r="H46" i="8"/>
  <c r="I46" i="8"/>
  <c r="J46" i="8"/>
  <c r="K46" i="8"/>
  <c r="L46" i="8"/>
  <c r="M46" i="8"/>
  <c r="F46" i="8"/>
  <c r="G96" i="8"/>
  <c r="H96" i="8"/>
  <c r="I96" i="8"/>
  <c r="J96" i="8"/>
  <c r="K96" i="8"/>
  <c r="L96" i="8"/>
  <c r="M96" i="8"/>
  <c r="H95" i="8"/>
  <c r="I95" i="8"/>
  <c r="J95" i="8"/>
  <c r="K95" i="8"/>
  <c r="L95" i="8"/>
  <c r="M95" i="8"/>
  <c r="G95" i="8"/>
  <c r="H521" i="5"/>
  <c r="I521" i="5" s="1"/>
  <c r="J521" i="5" s="1"/>
  <c r="K521" i="5" s="1"/>
  <c r="L521" i="5"/>
  <c r="M521" i="5"/>
  <c r="H512" i="5"/>
  <c r="I512" i="5" s="1"/>
  <c r="J512" i="5" s="1"/>
  <c r="K512" i="5"/>
  <c r="L512" i="5"/>
  <c r="M512" i="5"/>
  <c r="H493" i="5"/>
  <c r="I493" i="5"/>
  <c r="J493" i="5"/>
  <c r="K493" i="5"/>
  <c r="L493" i="5"/>
  <c r="M493" i="5" s="1"/>
  <c r="H438" i="5"/>
  <c r="I438" i="5" s="1"/>
  <c r="J438" i="5" s="1"/>
  <c r="K438" i="5" s="1"/>
  <c r="L438" i="5"/>
  <c r="M438" i="5" s="1"/>
  <c r="H397" i="5"/>
  <c r="I397" i="5" s="1"/>
  <c r="J397" i="5" s="1"/>
  <c r="K397" i="5"/>
  <c r="L397" i="5"/>
  <c r="M397" i="5"/>
  <c r="H391" i="5"/>
  <c r="I391" i="5"/>
  <c r="J391" i="5"/>
  <c r="K391" i="5"/>
  <c r="L391" i="5"/>
  <c r="M391" i="5"/>
  <c r="I38" i="3" l="1"/>
  <c r="H38" i="3"/>
  <c r="F124" i="5" s="1"/>
  <c r="I32" i="3"/>
  <c r="H32" i="3"/>
  <c r="F118" i="5" s="1"/>
  <c r="I34" i="3"/>
  <c r="H34" i="3"/>
  <c r="F120" i="5" s="1"/>
  <c r="H30" i="3"/>
  <c r="F116" i="5" s="1"/>
  <c r="I30" i="3"/>
  <c r="I29" i="3"/>
  <c r="H29" i="3"/>
  <c r="F115" i="5" s="1"/>
  <c r="F144" i="5" s="1"/>
  <c r="H38" i="12"/>
  <c r="M37" i="12"/>
  <c r="G68" i="6"/>
  <c r="F53" i="6"/>
  <c r="F54" i="6"/>
  <c r="F55" i="6"/>
  <c r="F56" i="6"/>
  <c r="F57" i="6"/>
  <c r="F58" i="6"/>
  <c r="F59" i="6"/>
  <c r="F60" i="6"/>
  <c r="F61" i="6"/>
  <c r="F62" i="6"/>
  <c r="F63" i="6"/>
  <c r="F64" i="6"/>
  <c r="F65" i="6"/>
  <c r="F66" i="6"/>
  <c r="F67" i="6"/>
  <c r="F68" i="6"/>
  <c r="M38" i="12" l="1"/>
  <c r="H11" i="12"/>
  <c r="H66" i="25"/>
  <c r="H67" i="25" s="1"/>
  <c r="H85" i="25" s="1"/>
  <c r="H217" i="5" s="1"/>
  <c r="G66" i="25"/>
  <c r="G67" i="25" s="1"/>
  <c r="G85" i="25" s="1"/>
  <c r="G217" i="5" s="1"/>
  <c r="M11" i="12" l="1"/>
  <c r="H14" i="12"/>
  <c r="M14" i="12" s="1"/>
  <c r="H170" i="27"/>
  <c r="H224" i="27" s="1"/>
  <c r="H198" i="5" s="1"/>
  <c r="G45" i="30" s="1"/>
  <c r="I170" i="27"/>
  <c r="I224" i="27" s="1"/>
  <c r="I198" i="5" s="1"/>
  <c r="H45" i="30" s="1"/>
  <c r="J170" i="27"/>
  <c r="J224" i="27" s="1"/>
  <c r="J198" i="5" s="1"/>
  <c r="I45" i="30" s="1"/>
  <c r="K170" i="27"/>
  <c r="K224" i="27" s="1"/>
  <c r="K198" i="5" s="1"/>
  <c r="J45" i="30" s="1"/>
  <c r="L170" i="27"/>
  <c r="L224" i="27" s="1"/>
  <c r="L198" i="5" s="1"/>
  <c r="K45" i="30" s="1"/>
  <c r="M170" i="27"/>
  <c r="M224" i="27" s="1"/>
  <c r="G224" i="27"/>
  <c r="G198" i="5" s="1"/>
  <c r="F45" i="30" s="1"/>
  <c r="H124" i="26"/>
  <c r="H164" i="26" s="1"/>
  <c r="H143" i="5" s="1"/>
  <c r="G124" i="26"/>
  <c r="G164" i="26" s="1"/>
  <c r="G143" i="5" s="1"/>
  <c r="M198" i="5" l="1"/>
  <c r="E12" i="6"/>
  <c r="L45" i="30" l="1"/>
  <c r="E20" i="6"/>
  <c r="M45" i="30" l="1"/>
  <c r="G22" i="8"/>
  <c r="H22" i="8" s="1"/>
  <c r="I22" i="8" s="1"/>
  <c r="J22" i="8" s="1"/>
  <c r="K22" i="8" s="1"/>
  <c r="L22" i="8" s="1"/>
  <c r="M22" i="8" s="1"/>
  <c r="E21" i="6" l="1"/>
  <c r="F21" i="6"/>
  <c r="G21" i="6"/>
  <c r="H21" i="6"/>
  <c r="I21" i="6"/>
  <c r="E22" i="6"/>
  <c r="F22" i="6"/>
  <c r="G22" i="6"/>
  <c r="H22" i="6"/>
  <c r="I22" i="6"/>
  <c r="E29" i="6"/>
  <c r="F29" i="6"/>
  <c r="G29" i="6"/>
  <c r="H29" i="6"/>
  <c r="I29" i="6"/>
  <c r="F20" i="6"/>
  <c r="G20" i="6"/>
  <c r="H20" i="6"/>
  <c r="I20" i="6"/>
  <c r="F19" i="6"/>
  <c r="G19" i="6" s="1"/>
  <c r="H19" i="6" s="1"/>
  <c r="I19" i="6" s="1"/>
  <c r="J19" i="6" s="1"/>
  <c r="K19" i="6" s="1"/>
  <c r="G247" i="5" l="1"/>
  <c r="G362" i="5" s="1"/>
  <c r="G507" i="5" s="1"/>
  <c r="H246" i="5"/>
  <c r="I246" i="5" s="1"/>
  <c r="J246" i="5" s="1"/>
  <c r="K246" i="5" s="1"/>
  <c r="L246" i="5" s="1"/>
  <c r="M246" i="5" s="1"/>
  <c r="H376" i="5"/>
  <c r="I376" i="5" s="1"/>
  <c r="J376" i="5" s="1"/>
  <c r="K376" i="5" s="1"/>
  <c r="L376" i="5" s="1"/>
  <c r="M376" i="5" s="1"/>
  <c r="H367" i="5"/>
  <c r="I367" i="5" s="1"/>
  <c r="J367" i="5" s="1"/>
  <c r="K367" i="5" s="1"/>
  <c r="L367" i="5" s="1"/>
  <c r="M367" i="5" s="1"/>
  <c r="H348" i="5"/>
  <c r="I348" i="5" s="1"/>
  <c r="J348" i="5" s="1"/>
  <c r="K348" i="5" s="1"/>
  <c r="L348" i="5" s="1"/>
  <c r="M348" i="5" s="1"/>
  <c r="H293" i="5"/>
  <c r="I293" i="5" s="1"/>
  <c r="J293" i="5" s="1"/>
  <c r="K293" i="5" s="1"/>
  <c r="L293" i="5" s="1"/>
  <c r="M293" i="5" s="1"/>
  <c r="H252" i="5"/>
  <c r="I252" i="5" s="1"/>
  <c r="J252" i="5" s="1"/>
  <c r="K252" i="5" s="1"/>
  <c r="L252" i="5" s="1"/>
  <c r="M252" i="5" s="1"/>
  <c r="F223" i="27"/>
  <c r="F222" i="27"/>
  <c r="F220" i="27"/>
  <c r="F219" i="27"/>
  <c r="F218" i="27"/>
  <c r="F216" i="27"/>
  <c r="F215" i="27"/>
  <c r="F214" i="27"/>
  <c r="F213" i="27"/>
  <c r="F212" i="27"/>
  <c r="F211" i="27"/>
  <c r="F207" i="27"/>
  <c r="F206" i="27"/>
  <c r="F205" i="27"/>
  <c r="F204" i="27"/>
  <c r="F203" i="27"/>
  <c r="F202" i="27"/>
  <c r="F194" i="27"/>
  <c r="F193" i="27"/>
  <c r="F190" i="27"/>
  <c r="F189" i="27"/>
  <c r="H247" i="5" l="1"/>
  <c r="H362" i="5" s="1"/>
  <c r="H507" i="5" s="1"/>
  <c r="G288" i="5"/>
  <c r="G433" i="5" s="1"/>
  <c r="F189" i="5"/>
  <c r="F190" i="5"/>
  <c r="F335" i="5" s="1"/>
  <c r="F480" i="5" s="1"/>
  <c r="F192" i="5"/>
  <c r="F337" i="5" s="1"/>
  <c r="F482" i="5" s="1"/>
  <c r="F193" i="5"/>
  <c r="F338" i="5" s="1"/>
  <c r="F483" i="5" s="1"/>
  <c r="F194" i="5"/>
  <c r="F339" i="5" s="1"/>
  <c r="F484" i="5" s="1"/>
  <c r="F164" i="5"/>
  <c r="F309" i="5" s="1"/>
  <c r="F454" i="5" s="1"/>
  <c r="F196" i="5"/>
  <c r="F167" i="5"/>
  <c r="F312" i="5" s="1"/>
  <c r="F457" i="5" s="1"/>
  <c r="F168" i="5"/>
  <c r="F313" i="5" s="1"/>
  <c r="F458" i="5" s="1"/>
  <c r="F176" i="5"/>
  <c r="F321" i="5" s="1"/>
  <c r="F466" i="5" s="1"/>
  <c r="F177" i="5"/>
  <c r="F322" i="5" s="1"/>
  <c r="F467" i="5" s="1"/>
  <c r="F178" i="5"/>
  <c r="F323" i="5" s="1"/>
  <c r="F468" i="5" s="1"/>
  <c r="F188" i="5"/>
  <c r="F333" i="5" s="1"/>
  <c r="F478" i="5" s="1"/>
  <c r="F186" i="5"/>
  <c r="F331" i="5" s="1"/>
  <c r="F476" i="5" s="1"/>
  <c r="F185" i="5"/>
  <c r="F330" i="5" s="1"/>
  <c r="F475" i="5" s="1"/>
  <c r="F181" i="5"/>
  <c r="F326" i="5" s="1"/>
  <c r="F471" i="5" s="1"/>
  <c r="F180" i="5"/>
  <c r="F325" i="5" s="1"/>
  <c r="F470" i="5" s="1"/>
  <c r="F187" i="5"/>
  <c r="F332" i="5" s="1"/>
  <c r="F477" i="5" s="1"/>
  <c r="F163" i="5"/>
  <c r="F308" i="5" s="1"/>
  <c r="F453" i="5" s="1"/>
  <c r="F197" i="5"/>
  <c r="F342" i="5" s="1"/>
  <c r="F487" i="5" s="1"/>
  <c r="F179" i="5"/>
  <c r="F324" i="5" s="1"/>
  <c r="F469" i="5" s="1"/>
  <c r="F147" i="26"/>
  <c r="F134" i="26"/>
  <c r="F135" i="26"/>
  <c r="F146" i="26"/>
  <c r="E14" i="6"/>
  <c r="E28" i="6" s="1"/>
  <c r="F341" i="5" l="1"/>
  <c r="F486" i="5" s="1"/>
  <c r="F240" i="5"/>
  <c r="F334" i="5"/>
  <c r="F479" i="5" s="1"/>
  <c r="L66" i="25"/>
  <c r="L67" i="25" s="1"/>
  <c r="L85" i="25" s="1"/>
  <c r="L217" i="5" s="1"/>
  <c r="L124" i="26"/>
  <c r="L164" i="26" s="1"/>
  <c r="L143" i="5" s="1"/>
  <c r="K32" i="30" s="1"/>
  <c r="K66" i="25"/>
  <c r="K67" i="25" s="1"/>
  <c r="K85" i="25" s="1"/>
  <c r="K217" i="5" s="1"/>
  <c r="M66" i="25"/>
  <c r="M67" i="25" s="1"/>
  <c r="M85" i="25" s="1"/>
  <c r="M217" i="5" s="1"/>
  <c r="M124" i="26"/>
  <c r="I66" i="25"/>
  <c r="I67" i="25" s="1"/>
  <c r="J66" i="25"/>
  <c r="J67" i="25" s="1"/>
  <c r="J85" i="25" s="1"/>
  <c r="J217" i="5" s="1"/>
  <c r="I247" i="5"/>
  <c r="J247" i="5" s="1"/>
  <c r="H288" i="5"/>
  <c r="H433" i="5" s="1"/>
  <c r="F259" i="5"/>
  <c r="F404" i="5" s="1"/>
  <c r="F270" i="5"/>
  <c r="F415" i="5" s="1"/>
  <c r="F264" i="5"/>
  <c r="F409" i="5" s="1"/>
  <c r="F258" i="5"/>
  <c r="F403" i="5" s="1"/>
  <c r="F271" i="5"/>
  <c r="F416" i="5" s="1"/>
  <c r="F217" i="27"/>
  <c r="F177" i="27"/>
  <c r="F184" i="27"/>
  <c r="F199" i="27"/>
  <c r="F183" i="27"/>
  <c r="F201" i="27"/>
  <c r="F182" i="27"/>
  <c r="F200" i="27"/>
  <c r="F181" i="27"/>
  <c r="F208" i="27"/>
  <c r="F180" i="27"/>
  <c r="F210" i="27"/>
  <c r="F179" i="27"/>
  <c r="F209" i="27"/>
  <c r="F178" i="27"/>
  <c r="F185" i="27"/>
  <c r="F186" i="27"/>
  <c r="F187" i="27"/>
  <c r="F188" i="27"/>
  <c r="F191" i="27"/>
  <c r="F192" i="27"/>
  <c r="F196" i="27"/>
  <c r="F175" i="27"/>
  <c r="F198" i="27"/>
  <c r="F176" i="27"/>
  <c r="F197" i="27"/>
  <c r="N170" i="27"/>
  <c r="F13" i="6"/>
  <c r="F27" i="6" s="1"/>
  <c r="G13" i="6"/>
  <c r="G27" i="6" s="1"/>
  <c r="H13" i="6"/>
  <c r="H27" i="6" s="1"/>
  <c r="I13" i="6"/>
  <c r="I27" i="6" s="1"/>
  <c r="F14" i="6"/>
  <c r="F28" i="6" s="1"/>
  <c r="G14" i="6"/>
  <c r="G28" i="6" s="1"/>
  <c r="H14" i="6"/>
  <c r="H28" i="6" s="1"/>
  <c r="I14" i="6"/>
  <c r="I28" i="6" s="1"/>
  <c r="E13" i="6"/>
  <c r="E27" i="6" s="1"/>
  <c r="E26" i="6"/>
  <c r="F10" i="6"/>
  <c r="F24" i="6" s="1"/>
  <c r="G10" i="6"/>
  <c r="G24" i="6" s="1"/>
  <c r="H10" i="6"/>
  <c r="H24" i="6" s="1"/>
  <c r="I10" i="6"/>
  <c r="I24" i="6" s="1"/>
  <c r="E10" i="6"/>
  <c r="E24" i="6" s="1"/>
  <c r="F204" i="5"/>
  <c r="F349" i="5" s="1"/>
  <c r="F494" i="5" s="1"/>
  <c r="E9" i="6"/>
  <c r="E23" i="6" s="1"/>
  <c r="E11" i="6"/>
  <c r="E25" i="6" s="1"/>
  <c r="F150" i="8"/>
  <c r="G150" i="8"/>
  <c r="F151" i="8"/>
  <c r="G151" i="8"/>
  <c r="F152" i="8"/>
  <c r="G152" i="8"/>
  <c r="F153" i="8"/>
  <c r="G153" i="8"/>
  <c r="F154" i="8"/>
  <c r="G154" i="8"/>
  <c r="F155" i="8"/>
  <c r="G155" i="8"/>
  <c r="F156" i="8"/>
  <c r="G156" i="8"/>
  <c r="F157" i="8"/>
  <c r="G157" i="8"/>
  <c r="F158" i="8"/>
  <c r="G158" i="8"/>
  <c r="F159" i="8"/>
  <c r="G159" i="8"/>
  <c r="F160" i="8"/>
  <c r="G160" i="8"/>
  <c r="F161" i="8"/>
  <c r="G161" i="8"/>
  <c r="F162" i="8"/>
  <c r="G162" i="8"/>
  <c r="F163" i="8"/>
  <c r="G163" i="8"/>
  <c r="F164" i="8"/>
  <c r="G164" i="8"/>
  <c r="F165" i="8"/>
  <c r="G165" i="8"/>
  <c r="F166" i="8"/>
  <c r="G166" i="8"/>
  <c r="F167" i="8"/>
  <c r="G167" i="8"/>
  <c r="F168" i="8"/>
  <c r="G168" i="8"/>
  <c r="F170" i="8"/>
  <c r="G170" i="8"/>
  <c r="F171" i="8"/>
  <c r="G171" i="8"/>
  <c r="F172" i="8"/>
  <c r="G172" i="8"/>
  <c r="F173" i="8"/>
  <c r="G173" i="8"/>
  <c r="F174" i="8"/>
  <c r="G174" i="8"/>
  <c r="F175" i="8"/>
  <c r="G175" i="8"/>
  <c r="F176" i="8"/>
  <c r="G176" i="8"/>
  <c r="F177" i="8"/>
  <c r="G177" i="8"/>
  <c r="F178" i="8"/>
  <c r="G178" i="8"/>
  <c r="F179" i="8"/>
  <c r="G179" i="8"/>
  <c r="F180" i="8"/>
  <c r="G180" i="8"/>
  <c r="F181" i="8"/>
  <c r="G181" i="8"/>
  <c r="F182" i="8"/>
  <c r="G182" i="8"/>
  <c r="F183" i="8"/>
  <c r="G183" i="8"/>
  <c r="F184" i="8"/>
  <c r="G184" i="8"/>
  <c r="F185" i="8"/>
  <c r="G185" i="8"/>
  <c r="F186" i="8"/>
  <c r="G186" i="8"/>
  <c r="F187" i="8"/>
  <c r="G187" i="8"/>
  <c r="F188" i="8"/>
  <c r="G188" i="8"/>
  <c r="F189" i="8"/>
  <c r="G189" i="8"/>
  <c r="F190" i="8"/>
  <c r="G190" i="8"/>
  <c r="F191" i="8"/>
  <c r="G191" i="8"/>
  <c r="F192" i="8"/>
  <c r="G192" i="8"/>
  <c r="F193" i="8"/>
  <c r="G193" i="8"/>
  <c r="F194" i="8"/>
  <c r="G194" i="8"/>
  <c r="F196" i="8"/>
  <c r="G196" i="8"/>
  <c r="F197" i="8"/>
  <c r="G197" i="8"/>
  <c r="F198" i="8"/>
  <c r="G198" i="8"/>
  <c r="F216" i="5"/>
  <c r="F361" i="5" s="1"/>
  <c r="F506" i="5" s="1"/>
  <c r="F215" i="5"/>
  <c r="F360" i="5" s="1"/>
  <c r="F505" i="5" s="1"/>
  <c r="F214" i="5"/>
  <c r="F359" i="5" s="1"/>
  <c r="F504" i="5" s="1"/>
  <c r="F213" i="5"/>
  <c r="F358" i="5" s="1"/>
  <c r="F503" i="5" s="1"/>
  <c r="F212" i="5"/>
  <c r="F357" i="5" s="1"/>
  <c r="F502" i="5" s="1"/>
  <c r="F211" i="5"/>
  <c r="F356" i="5" s="1"/>
  <c r="F501" i="5" s="1"/>
  <c r="F210" i="5"/>
  <c r="F355" i="5" s="1"/>
  <c r="F500" i="5" s="1"/>
  <c r="F209" i="5"/>
  <c r="F354" i="5" s="1"/>
  <c r="F499" i="5" s="1"/>
  <c r="F208" i="5"/>
  <c r="F353" i="5" s="1"/>
  <c r="F498" i="5" s="1"/>
  <c r="F207" i="5"/>
  <c r="F352" i="5" s="1"/>
  <c r="F497" i="5" s="1"/>
  <c r="F206" i="5"/>
  <c r="F351" i="5" s="1"/>
  <c r="F496" i="5" s="1"/>
  <c r="F205" i="5"/>
  <c r="F350" i="5" s="1"/>
  <c r="F495" i="5" s="1"/>
  <c r="F18" i="25"/>
  <c r="F17" i="25"/>
  <c r="F16" i="25"/>
  <c r="F15" i="25"/>
  <c r="F14" i="25"/>
  <c r="F13" i="25"/>
  <c r="F12" i="25"/>
  <c r="F11" i="25"/>
  <c r="F10" i="25"/>
  <c r="F9" i="25"/>
  <c r="F8" i="25"/>
  <c r="F7" i="25"/>
  <c r="F6" i="25"/>
  <c r="F238" i="5"/>
  <c r="F53" i="5"/>
  <c r="G53" i="5"/>
  <c r="H53" i="5"/>
  <c r="I53" i="5"/>
  <c r="F54" i="5"/>
  <c r="G54" i="5"/>
  <c r="H54" i="5"/>
  <c r="I54" i="5"/>
  <c r="F55" i="5"/>
  <c r="G55" i="5"/>
  <c r="H55" i="5"/>
  <c r="I55" i="5"/>
  <c r="F56" i="5"/>
  <c r="G56" i="5"/>
  <c r="H56" i="5"/>
  <c r="I56" i="5"/>
  <c r="F57" i="5"/>
  <c r="G57" i="5"/>
  <c r="H57" i="5"/>
  <c r="I57" i="5"/>
  <c r="F58" i="5"/>
  <c r="G58" i="5"/>
  <c r="H58" i="5"/>
  <c r="I58" i="5"/>
  <c r="F59" i="5"/>
  <c r="G59" i="5"/>
  <c r="H59" i="5"/>
  <c r="I59" i="5"/>
  <c r="F60" i="5"/>
  <c r="G60" i="5"/>
  <c r="H60" i="5"/>
  <c r="I60" i="5"/>
  <c r="F61" i="5"/>
  <c r="G61" i="5"/>
  <c r="H61" i="5"/>
  <c r="I61" i="5"/>
  <c r="F62" i="5"/>
  <c r="G62" i="5"/>
  <c r="H62" i="5"/>
  <c r="I62" i="5"/>
  <c r="F63" i="5"/>
  <c r="G63" i="5"/>
  <c r="H63" i="5"/>
  <c r="I63" i="5"/>
  <c r="F64" i="5"/>
  <c r="G64" i="5"/>
  <c r="H64" i="5"/>
  <c r="I64" i="5"/>
  <c r="F65" i="5"/>
  <c r="G65" i="5"/>
  <c r="H65" i="5"/>
  <c r="I65" i="5"/>
  <c r="F66" i="5"/>
  <c r="G66" i="5"/>
  <c r="H66" i="5"/>
  <c r="I66" i="5"/>
  <c r="F67" i="5"/>
  <c r="G67" i="5"/>
  <c r="H67" i="5"/>
  <c r="I67" i="5"/>
  <c r="F68" i="5"/>
  <c r="G68" i="5"/>
  <c r="H68" i="5"/>
  <c r="I68" i="5"/>
  <c r="F69" i="5"/>
  <c r="G69" i="5"/>
  <c r="H69" i="5"/>
  <c r="I69" i="5"/>
  <c r="F70" i="5"/>
  <c r="G70" i="5"/>
  <c r="H70" i="5"/>
  <c r="I70" i="5"/>
  <c r="F71" i="5"/>
  <c r="G71" i="5"/>
  <c r="H71" i="5"/>
  <c r="I71" i="5"/>
  <c r="F72" i="5"/>
  <c r="G72" i="5"/>
  <c r="H72" i="5"/>
  <c r="I72" i="5"/>
  <c r="F73" i="5"/>
  <c r="G73" i="5"/>
  <c r="H73" i="5"/>
  <c r="I73" i="5"/>
  <c r="F74" i="5"/>
  <c r="G74" i="5"/>
  <c r="H74" i="5"/>
  <c r="I74" i="5"/>
  <c r="F75" i="5"/>
  <c r="G75" i="5"/>
  <c r="H75" i="5"/>
  <c r="I75" i="5"/>
  <c r="F76" i="5"/>
  <c r="G76" i="5"/>
  <c r="H76" i="5"/>
  <c r="I76" i="5"/>
  <c r="F77" i="5"/>
  <c r="G77" i="5"/>
  <c r="H77" i="5"/>
  <c r="I77" i="5"/>
  <c r="F78" i="5"/>
  <c r="G78" i="5"/>
  <c r="H78" i="5"/>
  <c r="I78" i="5"/>
  <c r="F79" i="5"/>
  <c r="G79" i="5"/>
  <c r="H79" i="5"/>
  <c r="I79" i="5"/>
  <c r="F80" i="5"/>
  <c r="G80" i="5"/>
  <c r="H80" i="5"/>
  <c r="I80" i="5"/>
  <c r="F81" i="5"/>
  <c r="G81" i="5"/>
  <c r="H81" i="5"/>
  <c r="I81" i="5"/>
  <c r="F82" i="5"/>
  <c r="G82" i="5"/>
  <c r="H82" i="5"/>
  <c r="I82" i="5"/>
  <c r="F83" i="5"/>
  <c r="G83" i="5"/>
  <c r="H83" i="5"/>
  <c r="I83" i="5"/>
  <c r="F84" i="5"/>
  <c r="G84" i="5"/>
  <c r="H84" i="5"/>
  <c r="I84" i="5"/>
  <c r="F85" i="5"/>
  <c r="G85" i="5"/>
  <c r="H85" i="5"/>
  <c r="I85" i="5"/>
  <c r="F86" i="5"/>
  <c r="G86" i="5"/>
  <c r="H86" i="5"/>
  <c r="I86" i="5"/>
  <c r="F87" i="5"/>
  <c r="G87" i="5"/>
  <c r="H87" i="5"/>
  <c r="I87" i="5"/>
  <c r="F88" i="5"/>
  <c r="G88" i="5"/>
  <c r="H88" i="5"/>
  <c r="I88" i="5"/>
  <c r="F89" i="5"/>
  <c r="G89" i="5"/>
  <c r="H89" i="5"/>
  <c r="I89" i="5"/>
  <c r="F90" i="5"/>
  <c r="G90" i="5"/>
  <c r="H90" i="5"/>
  <c r="I90" i="5"/>
  <c r="F91" i="5"/>
  <c r="G91" i="5"/>
  <c r="H91" i="5"/>
  <c r="I91" i="5"/>
  <c r="F92" i="5"/>
  <c r="G92" i="5"/>
  <c r="H92" i="5"/>
  <c r="I92" i="5"/>
  <c r="F93" i="5"/>
  <c r="G93" i="5"/>
  <c r="H93" i="5"/>
  <c r="I93" i="5"/>
  <c r="F94" i="5"/>
  <c r="G94" i="5"/>
  <c r="H94" i="5"/>
  <c r="I94" i="5"/>
  <c r="F95" i="5"/>
  <c r="G95" i="5"/>
  <c r="H95" i="5"/>
  <c r="I95" i="5"/>
  <c r="F96" i="5"/>
  <c r="G96" i="5"/>
  <c r="H96" i="5"/>
  <c r="I96" i="5"/>
  <c r="F97" i="5"/>
  <c r="G97" i="5"/>
  <c r="H97" i="5"/>
  <c r="I97" i="5"/>
  <c r="F98" i="5"/>
  <c r="G98" i="5"/>
  <c r="H98" i="5"/>
  <c r="I98" i="5"/>
  <c r="F99" i="5"/>
  <c r="G99" i="5"/>
  <c r="H99" i="5"/>
  <c r="I99" i="5"/>
  <c r="F100" i="5"/>
  <c r="G100" i="5"/>
  <c r="H100" i="5"/>
  <c r="I100" i="5"/>
  <c r="F101" i="5"/>
  <c r="G101" i="5"/>
  <c r="H101" i="5"/>
  <c r="I101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39" i="5"/>
  <c r="I40" i="5"/>
  <c r="I41" i="5"/>
  <c r="I42" i="5"/>
  <c r="I43" i="5"/>
  <c r="I44" i="5"/>
  <c r="I45" i="5"/>
  <c r="I46" i="5"/>
  <c r="I47" i="5"/>
  <c r="I48" i="5"/>
  <c r="I49" i="5"/>
  <c r="I16" i="5"/>
  <c r="I17" i="5"/>
  <c r="I18" i="5"/>
  <c r="F28" i="5"/>
  <c r="G28" i="5"/>
  <c r="H28" i="5"/>
  <c r="F29" i="5"/>
  <c r="G29" i="5"/>
  <c r="H29" i="5"/>
  <c r="F30" i="5"/>
  <c r="G30" i="5"/>
  <c r="H30" i="5"/>
  <c r="F31" i="5"/>
  <c r="G31" i="5"/>
  <c r="H31" i="5"/>
  <c r="F32" i="5"/>
  <c r="G32" i="5"/>
  <c r="H32" i="5"/>
  <c r="F33" i="5"/>
  <c r="G33" i="5"/>
  <c r="H33" i="5"/>
  <c r="F34" i="5"/>
  <c r="G34" i="5"/>
  <c r="H34" i="5"/>
  <c r="F35" i="5"/>
  <c r="G35" i="5"/>
  <c r="H35" i="5"/>
  <c r="F36" i="5"/>
  <c r="G36" i="5"/>
  <c r="H36" i="5"/>
  <c r="F37" i="5"/>
  <c r="G37" i="5"/>
  <c r="H37" i="5"/>
  <c r="F38" i="5"/>
  <c r="G38" i="5"/>
  <c r="H38" i="5"/>
  <c r="F39" i="5"/>
  <c r="G39" i="5"/>
  <c r="H39" i="5"/>
  <c r="F40" i="5"/>
  <c r="G40" i="5"/>
  <c r="H40" i="5"/>
  <c r="F41" i="5"/>
  <c r="G41" i="5"/>
  <c r="H41" i="5"/>
  <c r="F42" i="5"/>
  <c r="G42" i="5"/>
  <c r="H42" i="5"/>
  <c r="F43" i="5"/>
  <c r="G43" i="5"/>
  <c r="H43" i="5"/>
  <c r="F44" i="5"/>
  <c r="G44" i="5"/>
  <c r="H44" i="5"/>
  <c r="F45" i="5"/>
  <c r="G45" i="5"/>
  <c r="H45" i="5"/>
  <c r="F46" i="5"/>
  <c r="G46" i="5"/>
  <c r="H46" i="5"/>
  <c r="F47" i="5"/>
  <c r="G47" i="5"/>
  <c r="H47" i="5"/>
  <c r="F48" i="5"/>
  <c r="G48" i="5"/>
  <c r="H48" i="5"/>
  <c r="F49" i="5"/>
  <c r="G49" i="5"/>
  <c r="H49" i="5"/>
  <c r="F19" i="5"/>
  <c r="G19" i="5"/>
  <c r="H19" i="5"/>
  <c r="F20" i="5"/>
  <c r="G20" i="5"/>
  <c r="H20" i="5"/>
  <c r="F21" i="5"/>
  <c r="G21" i="5"/>
  <c r="H21" i="5"/>
  <c r="F22" i="5"/>
  <c r="G22" i="5"/>
  <c r="H22" i="5"/>
  <c r="F23" i="5"/>
  <c r="G23" i="5"/>
  <c r="H23" i="5"/>
  <c r="F24" i="5"/>
  <c r="G24" i="5"/>
  <c r="H24" i="5"/>
  <c r="F25" i="5"/>
  <c r="G25" i="5"/>
  <c r="H25" i="5"/>
  <c r="F26" i="5"/>
  <c r="G26" i="5"/>
  <c r="H26" i="5"/>
  <c r="F27" i="5"/>
  <c r="G27" i="5"/>
  <c r="H27" i="5"/>
  <c r="F16" i="5"/>
  <c r="G16" i="5"/>
  <c r="H16" i="5"/>
  <c r="F17" i="5"/>
  <c r="G17" i="5"/>
  <c r="H17" i="5"/>
  <c r="F18" i="5"/>
  <c r="G18" i="5"/>
  <c r="H18" i="5"/>
  <c r="I15" i="5"/>
  <c r="G15" i="5"/>
  <c r="H15" i="5"/>
  <c r="F15" i="5"/>
  <c r="F12" i="6"/>
  <c r="F26" i="6" s="1"/>
  <c r="G12" i="6"/>
  <c r="G26" i="6" s="1"/>
  <c r="H12" i="6"/>
  <c r="H26" i="6" s="1"/>
  <c r="I12" i="6"/>
  <c r="I26" i="6" s="1"/>
  <c r="F11" i="6"/>
  <c r="F25" i="6" s="1"/>
  <c r="G11" i="6"/>
  <c r="G25" i="6" s="1"/>
  <c r="H11" i="6"/>
  <c r="H25" i="6" s="1"/>
  <c r="I11" i="6"/>
  <c r="I25" i="6" s="1"/>
  <c r="E42" i="30" l="1"/>
  <c r="I85" i="25"/>
  <c r="I217" i="5" s="1"/>
  <c r="M164" i="26"/>
  <c r="M143" i="5" s="1"/>
  <c r="L32" i="30" s="1"/>
  <c r="J362" i="5"/>
  <c r="J507" i="5" s="1"/>
  <c r="F383" i="5"/>
  <c r="F528" i="5" s="1"/>
  <c r="K247" i="5"/>
  <c r="M289" i="8"/>
  <c r="I289" i="8"/>
  <c r="K289" i="8"/>
  <c r="G289" i="8"/>
  <c r="H289" i="8"/>
  <c r="J289" i="8"/>
  <c r="L289" i="8"/>
  <c r="G280" i="8"/>
  <c r="H280" i="8"/>
  <c r="I280" i="8"/>
  <c r="J280" i="8"/>
  <c r="K280" i="8"/>
  <c r="L280" i="8"/>
  <c r="M280" i="8"/>
  <c r="K288" i="8"/>
  <c r="L288" i="8"/>
  <c r="M288" i="8"/>
  <c r="G288" i="8"/>
  <c r="H288" i="8"/>
  <c r="I288" i="8"/>
  <c r="J288" i="8"/>
  <c r="K279" i="8"/>
  <c r="L279" i="8"/>
  <c r="M279" i="8"/>
  <c r="G279" i="8"/>
  <c r="H279" i="8"/>
  <c r="I279" i="8"/>
  <c r="J279" i="8"/>
  <c r="I287" i="8"/>
  <c r="J287" i="8"/>
  <c r="K287" i="8"/>
  <c r="L287" i="8"/>
  <c r="M287" i="8"/>
  <c r="G287" i="8"/>
  <c r="H287" i="8"/>
  <c r="G278" i="8"/>
  <c r="H278" i="8"/>
  <c r="M278" i="8"/>
  <c r="I278" i="8"/>
  <c r="J278" i="8"/>
  <c r="K278" i="8"/>
  <c r="L278" i="8"/>
  <c r="I269" i="8"/>
  <c r="J269" i="8"/>
  <c r="K269" i="8"/>
  <c r="L269" i="8"/>
  <c r="M269" i="8"/>
  <c r="G269" i="8"/>
  <c r="H269" i="8"/>
  <c r="G277" i="8"/>
  <c r="H277" i="8"/>
  <c r="K277" i="8"/>
  <c r="I277" i="8"/>
  <c r="J277" i="8"/>
  <c r="L277" i="8"/>
  <c r="M277" i="8"/>
  <c r="H268" i="8"/>
  <c r="I268" i="8"/>
  <c r="L268" i="8"/>
  <c r="M268" i="8"/>
  <c r="G268" i="8"/>
  <c r="J268" i="8"/>
  <c r="K268" i="8"/>
  <c r="G259" i="8"/>
  <c r="H259" i="8"/>
  <c r="K259" i="8"/>
  <c r="I259" i="8"/>
  <c r="J259" i="8"/>
  <c r="M259" i="8"/>
  <c r="L259" i="8"/>
  <c r="G285" i="8"/>
  <c r="H285" i="8"/>
  <c r="I285" i="8"/>
  <c r="J285" i="8"/>
  <c r="K285" i="8"/>
  <c r="L285" i="8"/>
  <c r="M285" i="8"/>
  <c r="G276" i="8"/>
  <c r="H276" i="8"/>
  <c r="I276" i="8"/>
  <c r="J276" i="8"/>
  <c r="K276" i="8"/>
  <c r="L276" i="8"/>
  <c r="M276" i="8"/>
  <c r="I267" i="8"/>
  <c r="G267" i="8"/>
  <c r="H267" i="8"/>
  <c r="J267" i="8"/>
  <c r="K267" i="8"/>
  <c r="L267" i="8"/>
  <c r="M267" i="8"/>
  <c r="L284" i="8"/>
  <c r="M284" i="8"/>
  <c r="K284" i="8"/>
  <c r="J284" i="8"/>
  <c r="G284" i="8"/>
  <c r="H284" i="8"/>
  <c r="I284" i="8"/>
  <c r="H282" i="8"/>
  <c r="I282" i="8"/>
  <c r="J282" i="8"/>
  <c r="K282" i="8"/>
  <c r="L282" i="8"/>
  <c r="G282" i="8"/>
  <c r="M282" i="8"/>
  <c r="H264" i="8"/>
  <c r="I264" i="8"/>
  <c r="J264" i="8"/>
  <c r="K264" i="8"/>
  <c r="L264" i="8"/>
  <c r="G264" i="8"/>
  <c r="M264" i="8"/>
  <c r="J255" i="8"/>
  <c r="G255" i="8"/>
  <c r="H255" i="8"/>
  <c r="I255" i="8"/>
  <c r="K255" i="8"/>
  <c r="L255" i="8"/>
  <c r="M255" i="8"/>
  <c r="L266" i="8"/>
  <c r="M266" i="8"/>
  <c r="G266" i="8"/>
  <c r="H266" i="8"/>
  <c r="I266" i="8"/>
  <c r="J266" i="8"/>
  <c r="K266" i="8"/>
  <c r="J283" i="8"/>
  <c r="G283" i="8"/>
  <c r="H283" i="8"/>
  <c r="I283" i="8"/>
  <c r="K283" i="8"/>
  <c r="L283" i="8"/>
  <c r="M283" i="8"/>
  <c r="I281" i="8"/>
  <c r="J281" i="8"/>
  <c r="K281" i="8"/>
  <c r="L281" i="8"/>
  <c r="M281" i="8"/>
  <c r="G281" i="8"/>
  <c r="H281" i="8"/>
  <c r="G254" i="8"/>
  <c r="H254" i="8"/>
  <c r="I254" i="8"/>
  <c r="J254" i="8"/>
  <c r="M254" i="8"/>
  <c r="K254" i="8"/>
  <c r="L254" i="8"/>
  <c r="F23" i="25"/>
  <c r="F24" i="25" s="1"/>
  <c r="F218" i="5"/>
  <c r="F340" i="5"/>
  <c r="F485" i="5" s="1"/>
  <c r="F151" i="5"/>
  <c r="F296" i="5" s="1"/>
  <c r="F441" i="5" s="1"/>
  <c r="F161" i="5"/>
  <c r="F306" i="5" s="1"/>
  <c r="F451" i="5" s="1"/>
  <c r="F174" i="5"/>
  <c r="F319" i="5" s="1"/>
  <c r="F464" i="5" s="1"/>
  <c r="F153" i="5"/>
  <c r="F298" i="5" s="1"/>
  <c r="F443" i="5" s="1"/>
  <c r="F158" i="5"/>
  <c r="F303" i="5" s="1"/>
  <c r="F448" i="5" s="1"/>
  <c r="F154" i="5"/>
  <c r="F299" i="5" s="1"/>
  <c r="F444" i="5" s="1"/>
  <c r="F162" i="5"/>
  <c r="F307" i="5" s="1"/>
  <c r="F452" i="5" s="1"/>
  <c r="F182" i="5"/>
  <c r="F327" i="5" s="1"/>
  <c r="F472" i="5" s="1"/>
  <c r="F171" i="5"/>
  <c r="F316" i="5" s="1"/>
  <c r="F461" i="5" s="1"/>
  <c r="F191" i="5"/>
  <c r="F150" i="5"/>
  <c r="F295" i="5" s="1"/>
  <c r="F440" i="5" s="1"/>
  <c r="F160" i="5"/>
  <c r="F305" i="5" s="1"/>
  <c r="F450" i="5" s="1"/>
  <c r="F159" i="5"/>
  <c r="F304" i="5" s="1"/>
  <c r="F449" i="5" s="1"/>
  <c r="F156" i="5"/>
  <c r="F301" i="5" s="1"/>
  <c r="F446" i="5" s="1"/>
  <c r="F149" i="5"/>
  <c r="F294" i="5" s="1"/>
  <c r="F439" i="5" s="1"/>
  <c r="F175" i="5"/>
  <c r="F320" i="5" s="1"/>
  <c r="F465" i="5" s="1"/>
  <c r="F170" i="5"/>
  <c r="F315" i="5" s="1"/>
  <c r="F460" i="5" s="1"/>
  <c r="F183" i="5"/>
  <c r="F328" i="5" s="1"/>
  <c r="F473" i="5" s="1"/>
  <c r="F157" i="5"/>
  <c r="F302" i="5" s="1"/>
  <c r="F447" i="5" s="1"/>
  <c r="F173" i="5"/>
  <c r="F318" i="5" s="1"/>
  <c r="F463" i="5" s="1"/>
  <c r="F166" i="5"/>
  <c r="F311" i="5" s="1"/>
  <c r="F456" i="5" s="1"/>
  <c r="F184" i="5"/>
  <c r="F329" i="5" s="1"/>
  <c r="F474" i="5" s="1"/>
  <c r="F165" i="5"/>
  <c r="F155" i="5"/>
  <c r="F300" i="5" s="1"/>
  <c r="F445" i="5" s="1"/>
  <c r="F172" i="5"/>
  <c r="F317" i="5" s="1"/>
  <c r="F462" i="5" s="1"/>
  <c r="F152" i="5"/>
  <c r="F297" i="5" s="1"/>
  <c r="F442" i="5" s="1"/>
  <c r="F225" i="27"/>
  <c r="F133" i="26"/>
  <c r="I362" i="5" l="1"/>
  <c r="N217" i="5"/>
  <c r="F310" i="5"/>
  <c r="F455" i="5" s="1"/>
  <c r="F233" i="5"/>
  <c r="J124" i="26"/>
  <c r="J164" i="26" s="1"/>
  <c r="J143" i="5" s="1"/>
  <c r="I32" i="30" s="1"/>
  <c r="K124" i="26"/>
  <c r="K164" i="26" s="1"/>
  <c r="K143" i="5" s="1"/>
  <c r="J32" i="30" s="1"/>
  <c r="F363" i="5"/>
  <c r="F508" i="5" s="1"/>
  <c r="K362" i="5"/>
  <c r="K507" i="5" s="1"/>
  <c r="F336" i="5"/>
  <c r="F481" i="5" s="1"/>
  <c r="F239" i="5"/>
  <c r="F136" i="26"/>
  <c r="F235" i="5"/>
  <c r="F257" i="5"/>
  <c r="F402" i="5" s="1"/>
  <c r="F131" i="26"/>
  <c r="F132" i="26"/>
  <c r="F138" i="26"/>
  <c r="F130" i="26"/>
  <c r="F142" i="26"/>
  <c r="F129" i="26"/>
  <c r="F151" i="26"/>
  <c r="F158" i="26"/>
  <c r="F162" i="26"/>
  <c r="F148" i="26"/>
  <c r="F149" i="26"/>
  <c r="F143" i="26"/>
  <c r="F237" i="5"/>
  <c r="F236" i="5"/>
  <c r="I507" i="5" l="1"/>
  <c r="E43" i="30"/>
  <c r="E40" i="30"/>
  <c r="E41" i="30"/>
  <c r="E39" i="30"/>
  <c r="E44" i="30"/>
  <c r="E37" i="30"/>
  <c r="K288" i="5"/>
  <c r="K433" i="5" s="1"/>
  <c r="J288" i="5"/>
  <c r="J433" i="5" s="1"/>
  <c r="F380" i="5"/>
  <c r="F525" i="5" s="1"/>
  <c r="F381" i="5"/>
  <c r="F526" i="5" s="1"/>
  <c r="F384" i="5"/>
  <c r="F529" i="5" s="1"/>
  <c r="F385" i="5"/>
  <c r="F530" i="5" s="1"/>
  <c r="F382" i="5"/>
  <c r="F527" i="5" s="1"/>
  <c r="F378" i="5"/>
  <c r="F523" i="5" s="1"/>
  <c r="F275" i="5"/>
  <c r="F420" i="5" s="1"/>
  <c r="F266" i="5"/>
  <c r="F411" i="5" s="1"/>
  <c r="F254" i="5"/>
  <c r="F399" i="5" s="1"/>
  <c r="F267" i="5"/>
  <c r="F412" i="5" s="1"/>
  <c r="F273" i="5"/>
  <c r="F418" i="5" s="1"/>
  <c r="F262" i="5"/>
  <c r="F407" i="5" s="1"/>
  <c r="F260" i="5"/>
  <c r="F405" i="5" s="1"/>
  <c r="F256" i="5"/>
  <c r="F401" i="5" s="1"/>
  <c r="F255" i="5"/>
  <c r="F400" i="5" s="1"/>
  <c r="F286" i="5"/>
  <c r="F431" i="5" s="1"/>
  <c r="F282" i="5"/>
  <c r="F427" i="5" s="1"/>
  <c r="F139" i="26"/>
  <c r="F144" i="26"/>
  <c r="F141" i="26"/>
  <c r="F137" i="26"/>
  <c r="F145" i="26"/>
  <c r="F159" i="26"/>
  <c r="F163" i="26"/>
  <c r="F150" i="26"/>
  <c r="F157" i="26"/>
  <c r="F156" i="26"/>
  <c r="F152" i="26"/>
  <c r="F160" i="26"/>
  <c r="F154" i="26"/>
  <c r="F161" i="26"/>
  <c r="F155" i="26"/>
  <c r="F153" i="26"/>
  <c r="F9" i="6"/>
  <c r="F23" i="6" s="1"/>
  <c r="G9" i="6"/>
  <c r="G23" i="6" s="1"/>
  <c r="H9" i="6"/>
  <c r="H23" i="6" s="1"/>
  <c r="I9" i="6"/>
  <c r="I23" i="6" s="1"/>
  <c r="J21" i="6"/>
  <c r="G149" i="8"/>
  <c r="F113" i="8"/>
  <c r="G113" i="8"/>
  <c r="F114" i="8"/>
  <c r="G114" i="8"/>
  <c r="F115" i="8"/>
  <c r="G115" i="8"/>
  <c r="F116" i="8"/>
  <c r="G116" i="8"/>
  <c r="F117" i="8"/>
  <c r="G117" i="8"/>
  <c r="F118" i="8"/>
  <c r="G118" i="8"/>
  <c r="F119" i="8"/>
  <c r="G119" i="8"/>
  <c r="F120" i="8"/>
  <c r="G120" i="8"/>
  <c r="F121" i="8"/>
  <c r="G121" i="8"/>
  <c r="F122" i="8"/>
  <c r="G122" i="8"/>
  <c r="F124" i="8"/>
  <c r="G124" i="8"/>
  <c r="F125" i="8"/>
  <c r="G125" i="8"/>
  <c r="F126" i="8"/>
  <c r="G126" i="8"/>
  <c r="F127" i="8"/>
  <c r="G127" i="8"/>
  <c r="F128" i="8"/>
  <c r="G128" i="8"/>
  <c r="F129" i="8"/>
  <c r="G129" i="8"/>
  <c r="F130" i="8"/>
  <c r="G130" i="8"/>
  <c r="F131" i="8"/>
  <c r="G131" i="8"/>
  <c r="F132" i="8"/>
  <c r="G132" i="8"/>
  <c r="F133" i="8"/>
  <c r="G133" i="8"/>
  <c r="F134" i="8"/>
  <c r="G134" i="8"/>
  <c r="F135" i="8"/>
  <c r="G135" i="8"/>
  <c r="F136" i="8"/>
  <c r="G136" i="8"/>
  <c r="F137" i="8"/>
  <c r="G137" i="8"/>
  <c r="F138" i="8"/>
  <c r="G138" i="8"/>
  <c r="F139" i="8"/>
  <c r="G139" i="8"/>
  <c r="F140" i="8"/>
  <c r="G140" i="8"/>
  <c r="F141" i="8"/>
  <c r="G141" i="8"/>
  <c r="F142" i="8"/>
  <c r="G142" i="8"/>
  <c r="F143" i="8"/>
  <c r="G143" i="8"/>
  <c r="F144" i="8"/>
  <c r="G144" i="8"/>
  <c r="F145" i="8"/>
  <c r="G145" i="8"/>
  <c r="F146" i="8"/>
  <c r="G146" i="8"/>
  <c r="G112" i="8"/>
  <c r="F35" i="6"/>
  <c r="G35" i="6"/>
  <c r="F36" i="6"/>
  <c r="G36" i="6"/>
  <c r="F37" i="6"/>
  <c r="G37" i="6"/>
  <c r="F38" i="6"/>
  <c r="G38" i="6"/>
  <c r="F39" i="6"/>
  <c r="G39" i="6"/>
  <c r="F40" i="6"/>
  <c r="G40" i="6"/>
  <c r="F41" i="6"/>
  <c r="G41" i="6"/>
  <c r="F42" i="6"/>
  <c r="G42" i="6"/>
  <c r="F43" i="6"/>
  <c r="G43" i="6"/>
  <c r="F44" i="6"/>
  <c r="G44" i="6"/>
  <c r="F46" i="6"/>
  <c r="G46" i="6"/>
  <c r="F47" i="6"/>
  <c r="G47" i="6"/>
  <c r="F48" i="6"/>
  <c r="G48" i="6"/>
  <c r="F49" i="6"/>
  <c r="G49" i="6"/>
  <c r="F50" i="6"/>
  <c r="G50" i="6"/>
  <c r="F51" i="6"/>
  <c r="G51" i="6"/>
  <c r="F52" i="6"/>
  <c r="G52" i="6"/>
  <c r="G53" i="6"/>
  <c r="G54" i="6"/>
  <c r="G55" i="6"/>
  <c r="G56" i="6"/>
  <c r="G57" i="6"/>
  <c r="G58" i="6"/>
  <c r="G59" i="6"/>
  <c r="G60" i="6"/>
  <c r="G61" i="6"/>
  <c r="G62" i="6"/>
  <c r="G63" i="6"/>
  <c r="G64" i="6"/>
  <c r="G65" i="6"/>
  <c r="G66" i="6"/>
  <c r="G67" i="6"/>
  <c r="G34" i="6"/>
  <c r="H107" i="8"/>
  <c r="I107" i="8"/>
  <c r="J107" i="8"/>
  <c r="K107" i="8"/>
  <c r="L107" i="8"/>
  <c r="M107" i="8"/>
  <c r="G107" i="8"/>
  <c r="F253" i="5" l="1"/>
  <c r="F398" i="5" s="1"/>
  <c r="F272" i="5"/>
  <c r="F417" i="5" s="1"/>
  <c r="M220" i="8"/>
  <c r="M24" i="26" s="1"/>
  <c r="H220" i="8"/>
  <c r="H24" i="26" s="1"/>
  <c r="K220" i="8"/>
  <c r="K24" i="26" s="1"/>
  <c r="G220" i="8"/>
  <c r="I220" i="8"/>
  <c r="I24" i="26" s="1"/>
  <c r="J220" i="8"/>
  <c r="J24" i="26" s="1"/>
  <c r="L220" i="8"/>
  <c r="L24" i="26" s="1"/>
  <c r="G211" i="8"/>
  <c r="H211" i="8"/>
  <c r="I211" i="8"/>
  <c r="M211" i="8"/>
  <c r="J211" i="8"/>
  <c r="K211" i="8"/>
  <c r="L211" i="8"/>
  <c r="K210" i="8"/>
  <c r="L210" i="8"/>
  <c r="M210" i="8"/>
  <c r="H210" i="8"/>
  <c r="I210" i="8"/>
  <c r="J210" i="8"/>
  <c r="G210" i="8"/>
  <c r="H213" i="8"/>
  <c r="I213" i="8"/>
  <c r="K213" i="8"/>
  <c r="J213" i="8"/>
  <c r="L213" i="8"/>
  <c r="G213" i="8"/>
  <c r="M213" i="8"/>
  <c r="G209" i="8"/>
  <c r="K209" i="8"/>
  <c r="K13" i="26" s="1"/>
  <c r="L209" i="8"/>
  <c r="L13" i="26" s="1"/>
  <c r="H209" i="8"/>
  <c r="H13" i="26" s="1"/>
  <c r="I209" i="8"/>
  <c r="I13" i="26" s="1"/>
  <c r="J209" i="8"/>
  <c r="J13" i="26" s="1"/>
  <c r="M209" i="8"/>
  <c r="M13" i="26" s="1"/>
  <c r="G221" i="8"/>
  <c r="H221" i="8"/>
  <c r="H25" i="26" s="1"/>
  <c r="I221" i="8"/>
  <c r="I25" i="26" s="1"/>
  <c r="J221" i="8"/>
  <c r="J25" i="26" s="1"/>
  <c r="L221" i="8"/>
  <c r="L25" i="26" s="1"/>
  <c r="M221" i="8"/>
  <c r="M25" i="26" s="1"/>
  <c r="K221" i="8"/>
  <c r="K25" i="26" s="1"/>
  <c r="H212" i="8"/>
  <c r="I212" i="8"/>
  <c r="J212" i="8"/>
  <c r="K212" i="8"/>
  <c r="L212" i="8"/>
  <c r="M212" i="8"/>
  <c r="G212" i="8"/>
  <c r="L94" i="26"/>
  <c r="I94" i="26"/>
  <c r="J94" i="26"/>
  <c r="K94" i="26"/>
  <c r="M94" i="26"/>
  <c r="I112" i="26"/>
  <c r="J112" i="26"/>
  <c r="K112" i="26"/>
  <c r="L112" i="26"/>
  <c r="M112" i="26"/>
  <c r="I93" i="26"/>
  <c r="J93" i="26"/>
  <c r="K93" i="26"/>
  <c r="L93" i="26"/>
  <c r="M93" i="26"/>
  <c r="I111" i="26"/>
  <c r="J111" i="26"/>
  <c r="M111" i="26"/>
  <c r="K111" i="26"/>
  <c r="L111" i="26"/>
  <c r="M102" i="26"/>
  <c r="I102" i="26"/>
  <c r="J102" i="26"/>
  <c r="K102" i="26"/>
  <c r="L102" i="26"/>
  <c r="I119" i="26"/>
  <c r="J119" i="26"/>
  <c r="K119" i="26"/>
  <c r="M119" i="26"/>
  <c r="L119" i="26"/>
  <c r="L101" i="26"/>
  <c r="M101" i="26"/>
  <c r="I101" i="26"/>
  <c r="J101" i="26"/>
  <c r="K101" i="26"/>
  <c r="J99" i="26"/>
  <c r="K99" i="26"/>
  <c r="L99" i="26"/>
  <c r="M99" i="26"/>
  <c r="I99" i="26"/>
  <c r="I98" i="26"/>
  <c r="J98" i="26"/>
  <c r="K98" i="26"/>
  <c r="L98" i="26"/>
  <c r="M98" i="26"/>
  <c r="K88" i="26"/>
  <c r="M88" i="26"/>
  <c r="L88" i="26"/>
  <c r="I88" i="26"/>
  <c r="J88" i="26"/>
  <c r="K97" i="26"/>
  <c r="L97" i="26"/>
  <c r="M97" i="26"/>
  <c r="I97" i="26"/>
  <c r="J97" i="26"/>
  <c r="M103" i="26"/>
  <c r="I103" i="26"/>
  <c r="J103" i="26"/>
  <c r="K103" i="26"/>
  <c r="L103" i="26"/>
  <c r="I85" i="26"/>
  <c r="J85" i="26"/>
  <c r="M85" i="26"/>
  <c r="K85" i="26"/>
  <c r="L85" i="26"/>
  <c r="I92" i="26"/>
  <c r="J92" i="26"/>
  <c r="K92" i="26"/>
  <c r="L92" i="26"/>
  <c r="M92" i="26"/>
  <c r="I110" i="26"/>
  <c r="L110" i="26"/>
  <c r="J110" i="26"/>
  <c r="K110" i="26"/>
  <c r="M110" i="26"/>
  <c r="J91" i="26"/>
  <c r="I91" i="26"/>
  <c r="K91" i="26"/>
  <c r="L91" i="26"/>
  <c r="M91" i="26"/>
  <c r="J118" i="26"/>
  <c r="I118" i="26"/>
  <c r="K118" i="26"/>
  <c r="L118" i="26"/>
  <c r="M118" i="26"/>
  <c r="I109" i="26"/>
  <c r="J109" i="26"/>
  <c r="K109" i="26"/>
  <c r="L109" i="26"/>
  <c r="M109" i="26"/>
  <c r="I100" i="26"/>
  <c r="M100" i="26"/>
  <c r="J100" i="26"/>
  <c r="K100" i="26"/>
  <c r="L100" i="26"/>
  <c r="I90" i="26"/>
  <c r="J90" i="26"/>
  <c r="L90" i="26"/>
  <c r="M90" i="26"/>
  <c r="K90" i="26"/>
  <c r="J117" i="26"/>
  <c r="L117" i="26"/>
  <c r="M117" i="26"/>
  <c r="K117" i="26"/>
  <c r="I117" i="26"/>
  <c r="I108" i="26"/>
  <c r="J108" i="26"/>
  <c r="K108" i="26"/>
  <c r="L108" i="26"/>
  <c r="M108" i="26"/>
  <c r="I89" i="26"/>
  <c r="J89" i="26"/>
  <c r="L89" i="26"/>
  <c r="M89" i="26"/>
  <c r="K89" i="26"/>
  <c r="I116" i="26"/>
  <c r="K116" i="26"/>
  <c r="J116" i="26"/>
  <c r="L116" i="26"/>
  <c r="M116" i="26"/>
  <c r="J107" i="26"/>
  <c r="M107" i="26"/>
  <c r="I107" i="26"/>
  <c r="K107" i="26"/>
  <c r="L107" i="26"/>
  <c r="J115" i="26"/>
  <c r="I115" i="26"/>
  <c r="K115" i="26"/>
  <c r="L115" i="26"/>
  <c r="M115" i="26"/>
  <c r="K106" i="26"/>
  <c r="L106" i="26"/>
  <c r="M106" i="26"/>
  <c r="I106" i="26"/>
  <c r="J106" i="26"/>
  <c r="K87" i="26"/>
  <c r="I87" i="26"/>
  <c r="J87" i="26"/>
  <c r="L87" i="26"/>
  <c r="M87" i="26"/>
  <c r="K114" i="26"/>
  <c r="I114" i="26"/>
  <c r="J114" i="26"/>
  <c r="L114" i="26"/>
  <c r="M114" i="26"/>
  <c r="I105" i="26"/>
  <c r="L105" i="26"/>
  <c r="J105" i="26"/>
  <c r="K105" i="26"/>
  <c r="M105" i="26"/>
  <c r="L95" i="26"/>
  <c r="M95" i="26"/>
  <c r="I95" i="26"/>
  <c r="J95" i="26"/>
  <c r="K95" i="26"/>
  <c r="M86" i="26"/>
  <c r="I86" i="26"/>
  <c r="J86" i="26"/>
  <c r="K86" i="26"/>
  <c r="L86" i="26"/>
  <c r="L113" i="26"/>
  <c r="M113" i="26"/>
  <c r="I113" i="26"/>
  <c r="J113" i="26"/>
  <c r="K113" i="26"/>
  <c r="I104" i="26"/>
  <c r="L104" i="26"/>
  <c r="M104" i="26"/>
  <c r="J104" i="26"/>
  <c r="K104" i="26"/>
  <c r="F165" i="26"/>
  <c r="F284" i="5"/>
  <c r="F429" i="5" s="1"/>
  <c r="F261" i="5"/>
  <c r="F406" i="5" s="1"/>
  <c r="F276" i="5"/>
  <c r="F421" i="5" s="1"/>
  <c r="F265" i="5"/>
  <c r="F410" i="5" s="1"/>
  <c r="F280" i="5"/>
  <c r="F425" i="5" s="1"/>
  <c r="F268" i="5"/>
  <c r="F413" i="5" s="1"/>
  <c r="F281" i="5"/>
  <c r="F426" i="5" s="1"/>
  <c r="F263" i="5"/>
  <c r="F408" i="5" s="1"/>
  <c r="F274" i="5"/>
  <c r="F419" i="5" s="1"/>
  <c r="F277" i="5"/>
  <c r="F422" i="5" s="1"/>
  <c r="F287" i="5"/>
  <c r="F432" i="5" s="1"/>
  <c r="F279" i="5"/>
  <c r="F424" i="5" s="1"/>
  <c r="F283" i="5"/>
  <c r="F428" i="5" s="1"/>
  <c r="F285" i="5"/>
  <c r="F430" i="5" s="1"/>
  <c r="F278" i="5"/>
  <c r="F423" i="5" s="1"/>
  <c r="F269" i="5"/>
  <c r="F414" i="5" s="1"/>
  <c r="H53" i="26"/>
  <c r="I53" i="26"/>
  <c r="J53" i="26"/>
  <c r="K53" i="26"/>
  <c r="G53" i="26"/>
  <c r="G80" i="26"/>
  <c r="H80" i="26"/>
  <c r="I80" i="26"/>
  <c r="J80" i="26"/>
  <c r="K80" i="26"/>
  <c r="G62" i="26"/>
  <c r="H62" i="26"/>
  <c r="I62" i="26"/>
  <c r="J62" i="26"/>
  <c r="K62" i="26"/>
  <c r="G79" i="26"/>
  <c r="H79" i="26"/>
  <c r="I79" i="26"/>
  <c r="J79" i="26"/>
  <c r="K79" i="26"/>
  <c r="G61" i="26"/>
  <c r="H61" i="26"/>
  <c r="I61" i="26"/>
  <c r="J61" i="26"/>
  <c r="K61" i="26"/>
  <c r="G78" i="26"/>
  <c r="H78" i="26"/>
  <c r="I78" i="26"/>
  <c r="J78" i="26"/>
  <c r="K78" i="26"/>
  <c r="G60" i="26"/>
  <c r="H60" i="26"/>
  <c r="I60" i="26"/>
  <c r="J60" i="26"/>
  <c r="K60" i="26"/>
  <c r="K68" i="26"/>
  <c r="G68" i="26"/>
  <c r="H68" i="26"/>
  <c r="I68" i="26"/>
  <c r="J68" i="26"/>
  <c r="I76" i="26"/>
  <c r="J76" i="26"/>
  <c r="K76" i="26"/>
  <c r="G76" i="26"/>
  <c r="H76" i="26"/>
  <c r="I58" i="26"/>
  <c r="J58" i="26"/>
  <c r="K58" i="26"/>
  <c r="G58" i="26"/>
  <c r="H58" i="26"/>
  <c r="G48" i="26"/>
  <c r="H48" i="26"/>
  <c r="I48" i="26"/>
  <c r="J48" i="26"/>
  <c r="K48" i="26"/>
  <c r="L48" i="26"/>
  <c r="G66" i="26"/>
  <c r="H66" i="26"/>
  <c r="I66" i="26"/>
  <c r="J66" i="26"/>
  <c r="K66" i="26"/>
  <c r="G56" i="26"/>
  <c r="H56" i="26"/>
  <c r="I56" i="26"/>
  <c r="J56" i="26"/>
  <c r="K56" i="26"/>
  <c r="G74" i="26"/>
  <c r="H74" i="26"/>
  <c r="I74" i="26"/>
  <c r="J74" i="26"/>
  <c r="K74" i="26"/>
  <c r="G55" i="26"/>
  <c r="H55" i="26"/>
  <c r="I55" i="26"/>
  <c r="J55" i="26"/>
  <c r="K55" i="26"/>
  <c r="G73" i="26"/>
  <c r="H73" i="26"/>
  <c r="I73" i="26"/>
  <c r="J73" i="26"/>
  <c r="K73" i="26"/>
  <c r="K54" i="26"/>
  <c r="G54" i="26"/>
  <c r="H54" i="26"/>
  <c r="I54" i="26"/>
  <c r="J54" i="26"/>
  <c r="L247" i="5"/>
  <c r="J29" i="6"/>
  <c r="J20" i="6"/>
  <c r="L65" i="26" s="1"/>
  <c r="H71" i="26"/>
  <c r="I71" i="26"/>
  <c r="J71" i="26"/>
  <c r="K71" i="26"/>
  <c r="G71" i="26"/>
  <c r="G70" i="26"/>
  <c r="H70" i="26"/>
  <c r="I70" i="26"/>
  <c r="J70" i="26"/>
  <c r="K70" i="26"/>
  <c r="I51" i="26"/>
  <c r="J51" i="26"/>
  <c r="K51" i="26"/>
  <c r="L51" i="26"/>
  <c r="G51" i="26"/>
  <c r="H51" i="26"/>
  <c r="G69" i="26"/>
  <c r="H69" i="26"/>
  <c r="I69" i="26"/>
  <c r="J69" i="26"/>
  <c r="K69" i="26"/>
  <c r="G50" i="26"/>
  <c r="H50" i="26"/>
  <c r="I50" i="26"/>
  <c r="J50" i="26"/>
  <c r="K50" i="26"/>
  <c r="L50" i="26"/>
  <c r="G77" i="26"/>
  <c r="H77" i="26"/>
  <c r="I77" i="26"/>
  <c r="J77" i="26"/>
  <c r="K77" i="26"/>
  <c r="G59" i="26"/>
  <c r="H59" i="26"/>
  <c r="I59" i="26"/>
  <c r="J59" i="26"/>
  <c r="K59" i="26"/>
  <c r="K49" i="26"/>
  <c r="L49" i="26"/>
  <c r="G49" i="26"/>
  <c r="H49" i="26"/>
  <c r="I49" i="26"/>
  <c r="J49" i="26"/>
  <c r="J67" i="26"/>
  <c r="K67" i="26"/>
  <c r="G67" i="26"/>
  <c r="H67" i="26"/>
  <c r="I67" i="26"/>
  <c r="G75" i="26"/>
  <c r="H75" i="26"/>
  <c r="I75" i="26"/>
  <c r="J75" i="26"/>
  <c r="K75" i="26"/>
  <c r="G47" i="26"/>
  <c r="H47" i="26"/>
  <c r="I47" i="26"/>
  <c r="J47" i="26"/>
  <c r="K47" i="26"/>
  <c r="L47" i="26"/>
  <c r="G65" i="26"/>
  <c r="H65" i="26"/>
  <c r="J65" i="26"/>
  <c r="K65" i="26"/>
  <c r="I65" i="26"/>
  <c r="G64" i="26"/>
  <c r="H64" i="26"/>
  <c r="I64" i="26"/>
  <c r="J64" i="26"/>
  <c r="K64" i="26"/>
  <c r="G72" i="26"/>
  <c r="H72" i="26"/>
  <c r="I72" i="26"/>
  <c r="J72" i="26"/>
  <c r="K72" i="26"/>
  <c r="J63" i="26"/>
  <c r="K63" i="26"/>
  <c r="G63" i="26"/>
  <c r="H63" i="26"/>
  <c r="I63" i="26"/>
  <c r="H52" i="26"/>
  <c r="I52" i="26"/>
  <c r="J52" i="26"/>
  <c r="K52" i="26"/>
  <c r="G52" i="26"/>
  <c r="H112" i="26"/>
  <c r="G112" i="26"/>
  <c r="G103" i="26"/>
  <c r="H103" i="26"/>
  <c r="G93" i="26"/>
  <c r="H93" i="26"/>
  <c r="G111" i="26"/>
  <c r="H111" i="26"/>
  <c r="G102" i="26"/>
  <c r="H102" i="26"/>
  <c r="H85" i="26"/>
  <c r="G85" i="26"/>
  <c r="G92" i="26"/>
  <c r="H92" i="26"/>
  <c r="G119" i="26"/>
  <c r="H119" i="26"/>
  <c r="G110" i="26"/>
  <c r="H110" i="26"/>
  <c r="G101" i="26"/>
  <c r="H101" i="26"/>
  <c r="H91" i="26"/>
  <c r="G91" i="26"/>
  <c r="H118" i="26"/>
  <c r="G118" i="26"/>
  <c r="H109" i="26"/>
  <c r="G109" i="26"/>
  <c r="G100" i="26"/>
  <c r="H100" i="26"/>
  <c r="G90" i="26"/>
  <c r="H90" i="26"/>
  <c r="G117" i="26"/>
  <c r="H117" i="26"/>
  <c r="G108" i="26"/>
  <c r="H108" i="26"/>
  <c r="G99" i="26"/>
  <c r="H99" i="26"/>
  <c r="G89" i="26"/>
  <c r="H89" i="26"/>
  <c r="H116" i="26"/>
  <c r="G116" i="26"/>
  <c r="G107" i="26"/>
  <c r="H107" i="26"/>
  <c r="H98" i="26"/>
  <c r="G98" i="26"/>
  <c r="G88" i="26"/>
  <c r="H88" i="26"/>
  <c r="H115" i="26"/>
  <c r="G115" i="26"/>
  <c r="G106" i="26"/>
  <c r="H106" i="26"/>
  <c r="H97" i="26"/>
  <c r="G97" i="26"/>
  <c r="G87" i="26"/>
  <c r="H87" i="26"/>
  <c r="G114" i="26"/>
  <c r="H114" i="26"/>
  <c r="G105" i="26"/>
  <c r="H105" i="26"/>
  <c r="G95" i="26"/>
  <c r="H95" i="26"/>
  <c r="G86" i="26"/>
  <c r="H86" i="26"/>
  <c r="G113" i="26"/>
  <c r="H113" i="26"/>
  <c r="G104" i="26"/>
  <c r="H104" i="26"/>
  <c r="G94" i="26"/>
  <c r="H94" i="26"/>
  <c r="J13" i="6"/>
  <c r="J27" i="6" s="1"/>
  <c r="L77" i="26" s="1"/>
  <c r="J10" i="6"/>
  <c r="J24" i="6" s="1"/>
  <c r="K6" i="6"/>
  <c r="L12" i="29" s="1"/>
  <c r="F225" i="5"/>
  <c r="F228" i="5"/>
  <c r="F227" i="5"/>
  <c r="J9" i="6"/>
  <c r="J23" i="6" s="1"/>
  <c r="K7" i="6"/>
  <c r="K21" i="6" s="1"/>
  <c r="M47" i="26" s="1"/>
  <c r="J12" i="6"/>
  <c r="J26" i="6" s="1"/>
  <c r="L71" i="26" s="1"/>
  <c r="J11" i="6"/>
  <c r="J25" i="6" s="1"/>
  <c r="L55" i="26" s="1"/>
  <c r="F232" i="5"/>
  <c r="H36" i="27"/>
  <c r="I36" i="27"/>
  <c r="J36" i="27"/>
  <c r="L36" i="27"/>
  <c r="K36" i="27"/>
  <c r="M36" i="27"/>
  <c r="L56" i="27"/>
  <c r="M56" i="27"/>
  <c r="J56" i="27"/>
  <c r="H56" i="27"/>
  <c r="I56" i="27"/>
  <c r="K56" i="27"/>
  <c r="J47" i="27"/>
  <c r="M47" i="27"/>
  <c r="H47" i="27"/>
  <c r="I47" i="27"/>
  <c r="K47" i="27"/>
  <c r="L47" i="27"/>
  <c r="J53" i="27"/>
  <c r="K53" i="27"/>
  <c r="H53" i="27"/>
  <c r="I53" i="27"/>
  <c r="L53" i="27"/>
  <c r="M53" i="27"/>
  <c r="K51" i="27"/>
  <c r="L51" i="27"/>
  <c r="M51" i="27"/>
  <c r="I51" i="27"/>
  <c r="H51" i="27"/>
  <c r="J51" i="27"/>
  <c r="I45" i="27"/>
  <c r="J45" i="27"/>
  <c r="K45" i="27"/>
  <c r="M45" i="27"/>
  <c r="H45" i="27"/>
  <c r="L45" i="27"/>
  <c r="M27" i="27"/>
  <c r="K27" i="27"/>
  <c r="L27" i="27"/>
  <c r="H27" i="27"/>
  <c r="I27" i="27"/>
  <c r="J27" i="27"/>
  <c r="H44" i="27"/>
  <c r="M44" i="27"/>
  <c r="K44" i="27"/>
  <c r="L44" i="27"/>
  <c r="I44" i="27"/>
  <c r="J44" i="27"/>
  <c r="L22" i="27"/>
  <c r="J22" i="27"/>
  <c r="M22" i="27"/>
  <c r="H22" i="27"/>
  <c r="I22" i="27"/>
  <c r="K22" i="27"/>
  <c r="J50" i="27"/>
  <c r="K50" i="27"/>
  <c r="L50" i="27"/>
  <c r="M50" i="27"/>
  <c r="H50" i="27"/>
  <c r="I50" i="27"/>
  <c r="H49" i="27"/>
  <c r="I49" i="27"/>
  <c r="L49" i="27"/>
  <c r="M49" i="27"/>
  <c r="K49" i="27"/>
  <c r="J49" i="27"/>
  <c r="H23" i="27"/>
  <c r="I23" i="27"/>
  <c r="J23" i="27"/>
  <c r="M23" i="27"/>
  <c r="K23" i="27"/>
  <c r="L23" i="27"/>
  <c r="I35" i="27"/>
  <c r="J35" i="27"/>
  <c r="K35" i="27"/>
  <c r="H35" i="27"/>
  <c r="L35" i="27"/>
  <c r="M35" i="27"/>
  <c r="L57" i="27"/>
  <c r="M57" i="27"/>
  <c r="J57" i="27"/>
  <c r="H57" i="27"/>
  <c r="I57" i="27"/>
  <c r="K57" i="27"/>
  <c r="H48" i="27"/>
  <c r="J48" i="27"/>
  <c r="K48" i="27"/>
  <c r="L48" i="27"/>
  <c r="I48" i="27"/>
  <c r="M48" i="27"/>
  <c r="K52" i="27"/>
  <c r="H52" i="27"/>
  <c r="L52" i="27"/>
  <c r="I52" i="27"/>
  <c r="J52" i="27"/>
  <c r="M52" i="27"/>
  <c r="H55" i="27"/>
  <c r="I55" i="27"/>
  <c r="J55" i="27"/>
  <c r="K55" i="27"/>
  <c r="L55" i="27"/>
  <c r="M55" i="27"/>
  <c r="J46" i="27"/>
  <c r="K46" i="27"/>
  <c r="L46" i="27"/>
  <c r="H46" i="27"/>
  <c r="M46" i="27"/>
  <c r="I46" i="27"/>
  <c r="H37" i="27"/>
  <c r="M37" i="27"/>
  <c r="J37" i="27"/>
  <c r="K37" i="27"/>
  <c r="L37" i="27"/>
  <c r="I37" i="27"/>
  <c r="G63" i="8"/>
  <c r="H63" i="8"/>
  <c r="I63" i="8"/>
  <c r="J63" i="8"/>
  <c r="K63" i="8"/>
  <c r="L63" i="8"/>
  <c r="M63" i="8"/>
  <c r="G64" i="8"/>
  <c r="H64" i="8"/>
  <c r="I64" i="8"/>
  <c r="J64" i="8"/>
  <c r="K64" i="8"/>
  <c r="L64" i="8"/>
  <c r="M64" i="8"/>
  <c r="G65" i="8"/>
  <c r="H65" i="8"/>
  <c r="I65" i="8"/>
  <c r="J65" i="8"/>
  <c r="K65" i="8"/>
  <c r="L65" i="8"/>
  <c r="M65" i="8"/>
  <c r="G66" i="8"/>
  <c r="H66" i="8"/>
  <c r="I66" i="8"/>
  <c r="J66" i="8"/>
  <c r="K66" i="8"/>
  <c r="L66" i="8"/>
  <c r="M66" i="8"/>
  <c r="G67" i="8"/>
  <c r="H67" i="8"/>
  <c r="I67" i="8"/>
  <c r="J67" i="8"/>
  <c r="K67" i="8"/>
  <c r="L67" i="8"/>
  <c r="M67" i="8"/>
  <c r="G68" i="8"/>
  <c r="H68" i="8"/>
  <c r="I68" i="8"/>
  <c r="J68" i="8"/>
  <c r="K68" i="8"/>
  <c r="L68" i="8"/>
  <c r="M68" i="8"/>
  <c r="G69" i="8"/>
  <c r="H69" i="8"/>
  <c r="I69" i="8"/>
  <c r="J69" i="8"/>
  <c r="K69" i="8"/>
  <c r="L69" i="8"/>
  <c r="M69" i="8"/>
  <c r="G70" i="8"/>
  <c r="H70" i="8"/>
  <c r="I70" i="8"/>
  <c r="J70" i="8"/>
  <c r="K70" i="8"/>
  <c r="L70" i="8"/>
  <c r="M70" i="8"/>
  <c r="G71" i="8"/>
  <c r="H71" i="8"/>
  <c r="I71" i="8"/>
  <c r="J71" i="8"/>
  <c r="K71" i="8"/>
  <c r="L71" i="8"/>
  <c r="M71" i="8"/>
  <c r="G72" i="8"/>
  <c r="H72" i="8"/>
  <c r="I72" i="8"/>
  <c r="J72" i="8"/>
  <c r="K72" i="8"/>
  <c r="L72" i="8"/>
  <c r="M72" i="8"/>
  <c r="L56" i="26" l="1"/>
  <c r="L61" i="26"/>
  <c r="E36" i="30"/>
  <c r="E6" i="30"/>
  <c r="G6" i="30" s="1"/>
  <c r="E8" i="30"/>
  <c r="G8" i="30" s="1"/>
  <c r="E9" i="30"/>
  <c r="G9" i="30" s="1"/>
  <c r="L288" i="5"/>
  <c r="L433" i="5" s="1"/>
  <c r="L362" i="5"/>
  <c r="F229" i="5"/>
  <c r="F372" i="5"/>
  <c r="F517" i="5" s="1"/>
  <c r="F370" i="5"/>
  <c r="F515" i="5" s="1"/>
  <c r="F377" i="5"/>
  <c r="F522" i="5" s="1"/>
  <c r="F373" i="5"/>
  <c r="F518" i="5" s="1"/>
  <c r="F33" i="25"/>
  <c r="L54" i="26"/>
  <c r="L53" i="26"/>
  <c r="L64" i="26"/>
  <c r="M51" i="26"/>
  <c r="M50" i="26"/>
  <c r="L79" i="26"/>
  <c r="L52" i="26"/>
  <c r="L69" i="26"/>
  <c r="L70" i="26"/>
  <c r="L62" i="26"/>
  <c r="L73" i="26"/>
  <c r="L68" i="26"/>
  <c r="L58" i="26"/>
  <c r="L60" i="26"/>
  <c r="M49" i="26"/>
  <c r="L75" i="26"/>
  <c r="L66" i="26"/>
  <c r="L59" i="26"/>
  <c r="L76" i="26"/>
  <c r="L78" i="26"/>
  <c r="L74" i="26"/>
  <c r="M48" i="26"/>
  <c r="K20" i="6"/>
  <c r="K29" i="6"/>
  <c r="L72" i="26"/>
  <c r="L67" i="26"/>
  <c r="M247" i="5"/>
  <c r="G22" i="27"/>
  <c r="G46" i="27"/>
  <c r="G25" i="26"/>
  <c r="G49" i="27"/>
  <c r="G24" i="26"/>
  <c r="G57" i="27"/>
  <c r="G336" i="27" s="1"/>
  <c r="G56" i="27"/>
  <c r="G53" i="27"/>
  <c r="G52" i="27"/>
  <c r="G45" i="27"/>
  <c r="G35" i="27"/>
  <c r="G44" i="27"/>
  <c r="G36" i="27"/>
  <c r="G48" i="27"/>
  <c r="G23" i="27"/>
  <c r="G13" i="26"/>
  <c r="G50" i="27"/>
  <c r="G27" i="27"/>
  <c r="G51" i="27"/>
  <c r="G47" i="27"/>
  <c r="G55" i="27"/>
  <c r="G37" i="27"/>
  <c r="K13" i="6"/>
  <c r="K27" i="6" s="1"/>
  <c r="M77" i="26" s="1"/>
  <c r="K10" i="6"/>
  <c r="K24" i="6" s="1"/>
  <c r="F224" i="5"/>
  <c r="F226" i="5"/>
  <c r="K9" i="6"/>
  <c r="K23" i="6" s="1"/>
  <c r="K12" i="6"/>
  <c r="K26" i="6" s="1"/>
  <c r="K11" i="6"/>
  <c r="K25" i="6" s="1"/>
  <c r="J22" i="6"/>
  <c r="L63" i="26" s="1"/>
  <c r="F99" i="6"/>
  <c r="G99" i="6"/>
  <c r="F100" i="6"/>
  <c r="G100" i="6"/>
  <c r="F101" i="6"/>
  <c r="G101" i="6"/>
  <c r="F102" i="6"/>
  <c r="G102" i="6"/>
  <c r="F103" i="6"/>
  <c r="G103" i="6"/>
  <c r="F104" i="6"/>
  <c r="G104" i="6"/>
  <c r="F105" i="6"/>
  <c r="G105" i="6"/>
  <c r="F106" i="6"/>
  <c r="G106" i="6"/>
  <c r="F107" i="6"/>
  <c r="G107" i="6"/>
  <c r="F108" i="6"/>
  <c r="G108" i="6"/>
  <c r="F109" i="6"/>
  <c r="G109" i="6"/>
  <c r="F110" i="6"/>
  <c r="G110" i="6"/>
  <c r="F111" i="6"/>
  <c r="G111" i="6"/>
  <c r="F112" i="6"/>
  <c r="G112" i="6"/>
  <c r="F113" i="6"/>
  <c r="G113" i="6"/>
  <c r="F114" i="6"/>
  <c r="G114" i="6"/>
  <c r="F115" i="6"/>
  <c r="G115" i="6"/>
  <c r="F116" i="6"/>
  <c r="G116" i="6"/>
  <c r="F118" i="6"/>
  <c r="G118" i="6"/>
  <c r="F119" i="6"/>
  <c r="G119" i="6"/>
  <c r="F120" i="6"/>
  <c r="G120" i="6"/>
  <c r="L507" i="5" l="1"/>
  <c r="E18" i="30"/>
  <c r="E30" i="30"/>
  <c r="E17" i="30"/>
  <c r="E29" i="30"/>
  <c r="E15" i="30"/>
  <c r="E27" i="30"/>
  <c r="E5" i="30"/>
  <c r="G5" i="30" s="1"/>
  <c r="E10" i="30"/>
  <c r="G10" i="30" s="1"/>
  <c r="E7" i="30"/>
  <c r="G7" i="30" s="1"/>
  <c r="M288" i="5"/>
  <c r="M433" i="5" s="1"/>
  <c r="M362" i="5"/>
  <c r="M507" i="5" s="1"/>
  <c r="F371" i="5"/>
  <c r="F516" i="5" s="1"/>
  <c r="F369" i="5"/>
  <c r="F514" i="5" s="1"/>
  <c r="F374" i="5"/>
  <c r="F519" i="5" s="1"/>
  <c r="F289" i="5"/>
  <c r="F434" i="5" s="1"/>
  <c r="G270" i="26"/>
  <c r="G147" i="26"/>
  <c r="H147" i="26" s="1"/>
  <c r="I147" i="26" s="1"/>
  <c r="J147" i="26" s="1"/>
  <c r="K147" i="26" s="1"/>
  <c r="L147" i="26" s="1"/>
  <c r="G218" i="26"/>
  <c r="G135" i="26"/>
  <c r="H135" i="26" s="1"/>
  <c r="I135" i="26" s="1"/>
  <c r="J135" i="26" s="1"/>
  <c r="K135" i="26" s="1"/>
  <c r="L135" i="26" s="1"/>
  <c r="G229" i="26"/>
  <c r="G146" i="26"/>
  <c r="H146" i="26" s="1"/>
  <c r="I146" i="26" s="1"/>
  <c r="J146" i="26" s="1"/>
  <c r="K146" i="26" s="1"/>
  <c r="L146" i="26" s="1"/>
  <c r="K111" i="27"/>
  <c r="M111" i="27"/>
  <c r="L111" i="27"/>
  <c r="G111" i="27"/>
  <c r="H111" i="27"/>
  <c r="J111" i="27"/>
  <c r="I111" i="27"/>
  <c r="G102" i="27"/>
  <c r="G327" i="27" s="1"/>
  <c r="H102" i="27"/>
  <c r="I102" i="27"/>
  <c r="K102" i="27"/>
  <c r="M102" i="27"/>
  <c r="J102" i="27"/>
  <c r="L102" i="27"/>
  <c r="K93" i="27"/>
  <c r="L93" i="27"/>
  <c r="M93" i="27"/>
  <c r="I93" i="27"/>
  <c r="J93" i="27"/>
  <c r="G93" i="27"/>
  <c r="H93" i="27"/>
  <c r="G110" i="27"/>
  <c r="G335" i="27" s="1"/>
  <c r="M110" i="27"/>
  <c r="H110" i="27"/>
  <c r="I110" i="27"/>
  <c r="J110" i="27"/>
  <c r="K110" i="27"/>
  <c r="L110" i="27"/>
  <c r="I101" i="27"/>
  <c r="M101" i="27"/>
  <c r="J101" i="27"/>
  <c r="K101" i="27"/>
  <c r="L101" i="27"/>
  <c r="H101" i="27"/>
  <c r="G101" i="27"/>
  <c r="G92" i="27"/>
  <c r="H92" i="27"/>
  <c r="I92" i="27"/>
  <c r="K92" i="27"/>
  <c r="L92" i="27"/>
  <c r="M92" i="27"/>
  <c r="J92" i="27"/>
  <c r="G109" i="27"/>
  <c r="G334" i="27" s="1"/>
  <c r="J109" i="27"/>
  <c r="K109" i="27"/>
  <c r="L109" i="27"/>
  <c r="H109" i="27"/>
  <c r="I109" i="27"/>
  <c r="M109" i="27"/>
  <c r="I100" i="27"/>
  <c r="K100" i="27"/>
  <c r="M100" i="27"/>
  <c r="G100" i="27"/>
  <c r="H100" i="27"/>
  <c r="J100" i="27"/>
  <c r="L100" i="27"/>
  <c r="G91" i="27"/>
  <c r="G316" i="27" s="1"/>
  <c r="I91" i="27"/>
  <c r="J91" i="27"/>
  <c r="K91" i="27"/>
  <c r="H91" i="27"/>
  <c r="L91" i="27"/>
  <c r="M91" i="27"/>
  <c r="H99" i="27"/>
  <c r="L99" i="27"/>
  <c r="G99" i="27"/>
  <c r="I99" i="27"/>
  <c r="J99" i="27"/>
  <c r="K99" i="27"/>
  <c r="M99" i="27"/>
  <c r="G90" i="27"/>
  <c r="G315" i="27" s="1"/>
  <c r="H90" i="27"/>
  <c r="I90" i="27"/>
  <c r="K90" i="27"/>
  <c r="L90" i="27"/>
  <c r="M90" i="27"/>
  <c r="J90" i="27"/>
  <c r="G107" i="27"/>
  <c r="G332" i="27" s="1"/>
  <c r="H107" i="27"/>
  <c r="I107" i="27"/>
  <c r="J107" i="27"/>
  <c r="M107" i="27"/>
  <c r="K107" i="27"/>
  <c r="L107" i="27"/>
  <c r="L98" i="27"/>
  <c r="M98" i="27"/>
  <c r="H98" i="27"/>
  <c r="I98" i="27"/>
  <c r="J98" i="27"/>
  <c r="K98" i="27"/>
  <c r="G98" i="27"/>
  <c r="J106" i="27"/>
  <c r="M106" i="27"/>
  <c r="K106" i="27"/>
  <c r="L106" i="27"/>
  <c r="H106" i="27"/>
  <c r="G106" i="27"/>
  <c r="I106" i="27"/>
  <c r="G97" i="27"/>
  <c r="H97" i="27"/>
  <c r="K97" i="27"/>
  <c r="M97" i="27"/>
  <c r="I97" i="27"/>
  <c r="J97" i="27"/>
  <c r="L97" i="27"/>
  <c r="G105" i="27"/>
  <c r="G330" i="27" s="1"/>
  <c r="K105" i="27"/>
  <c r="L105" i="27"/>
  <c r="H105" i="27"/>
  <c r="I105" i="27"/>
  <c r="J105" i="27"/>
  <c r="M105" i="27"/>
  <c r="H96" i="27"/>
  <c r="J96" i="27"/>
  <c r="K96" i="27"/>
  <c r="L96" i="27"/>
  <c r="I96" i="27"/>
  <c r="M96" i="27"/>
  <c r="G96" i="27"/>
  <c r="H104" i="27"/>
  <c r="I104" i="27"/>
  <c r="K104" i="27"/>
  <c r="M104" i="27"/>
  <c r="G104" i="27"/>
  <c r="G329" i="27" s="1"/>
  <c r="J104" i="27"/>
  <c r="L104" i="27"/>
  <c r="I95" i="27"/>
  <c r="L95" i="27"/>
  <c r="M95" i="27"/>
  <c r="G95" i="27"/>
  <c r="H95" i="27"/>
  <c r="J95" i="27"/>
  <c r="K95" i="27"/>
  <c r="G103" i="27"/>
  <c r="G328" i="27" s="1"/>
  <c r="I103" i="27"/>
  <c r="J103" i="27"/>
  <c r="K103" i="27"/>
  <c r="L103" i="27"/>
  <c r="H103" i="27"/>
  <c r="G94" i="27"/>
  <c r="J94" i="27"/>
  <c r="K94" i="27"/>
  <c r="H94" i="27"/>
  <c r="I94" i="27"/>
  <c r="L94" i="27"/>
  <c r="M94" i="27"/>
  <c r="G269" i="26"/>
  <c r="G258" i="26"/>
  <c r="G261" i="27"/>
  <c r="G279" i="27"/>
  <c r="G270" i="27"/>
  <c r="G275" i="27"/>
  <c r="G230" i="26"/>
  <c r="G274" i="27"/>
  <c r="G247" i="27"/>
  <c r="G260" i="27"/>
  <c r="G268" i="27"/>
  <c r="G271" i="27"/>
  <c r="G259" i="27"/>
  <c r="G246" i="27"/>
  <c r="G269" i="27"/>
  <c r="G251" i="27"/>
  <c r="G276" i="27"/>
  <c r="G277" i="27"/>
  <c r="G280" i="27"/>
  <c r="G281" i="27"/>
  <c r="G272" i="27"/>
  <c r="G273" i="27"/>
  <c r="G190" i="26"/>
  <c r="G178" i="26"/>
  <c r="G189" i="26"/>
  <c r="M71" i="26"/>
  <c r="M72" i="26"/>
  <c r="M74" i="26"/>
  <c r="M69" i="26"/>
  <c r="M73" i="26"/>
  <c r="M67" i="26"/>
  <c r="M76" i="26"/>
  <c r="M75" i="26"/>
  <c r="M68" i="26"/>
  <c r="M78" i="26"/>
  <c r="M53" i="26"/>
  <c r="M54" i="26"/>
  <c r="M55" i="26"/>
  <c r="M56" i="26"/>
  <c r="M70" i="26"/>
  <c r="M52" i="26"/>
  <c r="M65" i="26"/>
  <c r="M66" i="26"/>
  <c r="M58" i="26"/>
  <c r="M62" i="26"/>
  <c r="M60" i="26"/>
  <c r="M79" i="26"/>
  <c r="M59" i="26"/>
  <c r="M64" i="26"/>
  <c r="M61" i="26"/>
  <c r="I158" i="27"/>
  <c r="M158" i="27"/>
  <c r="G158" i="27"/>
  <c r="G217" i="27" s="1"/>
  <c r="H158" i="27"/>
  <c r="J158" i="27"/>
  <c r="K158" i="27"/>
  <c r="L158" i="27"/>
  <c r="L149" i="27"/>
  <c r="M149" i="27"/>
  <c r="G149" i="27"/>
  <c r="H149" i="27"/>
  <c r="I149" i="27"/>
  <c r="J149" i="27"/>
  <c r="K149" i="27"/>
  <c r="L157" i="27"/>
  <c r="G157" i="27"/>
  <c r="H157" i="27"/>
  <c r="I157" i="27"/>
  <c r="J157" i="27"/>
  <c r="K157" i="27"/>
  <c r="M157" i="27"/>
  <c r="G148" i="27"/>
  <c r="H148" i="27"/>
  <c r="I148" i="27"/>
  <c r="J148" i="27"/>
  <c r="K148" i="27"/>
  <c r="L148" i="27"/>
  <c r="M148" i="27"/>
  <c r="J165" i="27"/>
  <c r="G165" i="27"/>
  <c r="H165" i="27"/>
  <c r="I165" i="27"/>
  <c r="K165" i="27"/>
  <c r="L165" i="27"/>
  <c r="M165" i="27"/>
  <c r="J156" i="27"/>
  <c r="K156" i="27"/>
  <c r="I156" i="27"/>
  <c r="L156" i="27"/>
  <c r="M156" i="27"/>
  <c r="G156" i="27"/>
  <c r="G215" i="27" s="1"/>
  <c r="H156" i="27"/>
  <c r="J147" i="27"/>
  <c r="L147" i="27"/>
  <c r="M147" i="27"/>
  <c r="G147" i="27"/>
  <c r="H147" i="27"/>
  <c r="I147" i="27"/>
  <c r="K147" i="27"/>
  <c r="G164" i="27"/>
  <c r="H164" i="27"/>
  <c r="I164" i="27"/>
  <c r="J164" i="27"/>
  <c r="K164" i="27"/>
  <c r="L164" i="27"/>
  <c r="M164" i="27"/>
  <c r="L155" i="27"/>
  <c r="H155" i="27"/>
  <c r="G155" i="27"/>
  <c r="I155" i="27"/>
  <c r="J155" i="27"/>
  <c r="K155" i="27"/>
  <c r="M155" i="27"/>
  <c r="K146" i="27"/>
  <c r="L146" i="27"/>
  <c r="M146" i="27"/>
  <c r="I146" i="27"/>
  <c r="J146" i="27"/>
  <c r="G146" i="27"/>
  <c r="H146" i="27"/>
  <c r="J163" i="27"/>
  <c r="G163" i="27"/>
  <c r="H163" i="27"/>
  <c r="I163" i="27"/>
  <c r="K163" i="27"/>
  <c r="L163" i="27"/>
  <c r="M163" i="27"/>
  <c r="M154" i="27"/>
  <c r="G154" i="27"/>
  <c r="H154" i="27"/>
  <c r="I154" i="27"/>
  <c r="J154" i="27"/>
  <c r="K154" i="27"/>
  <c r="L154" i="27"/>
  <c r="J145" i="27"/>
  <c r="G145" i="27"/>
  <c r="H145" i="27"/>
  <c r="I145" i="27"/>
  <c r="K145" i="27"/>
  <c r="L145" i="27"/>
  <c r="M145" i="27"/>
  <c r="H153" i="27"/>
  <c r="K153" i="27"/>
  <c r="L153" i="27"/>
  <c r="G153" i="27"/>
  <c r="I153" i="27"/>
  <c r="J153" i="27"/>
  <c r="M153" i="27"/>
  <c r="M144" i="27"/>
  <c r="L144" i="27"/>
  <c r="G144" i="27"/>
  <c r="H144" i="27"/>
  <c r="I144" i="27"/>
  <c r="J144" i="27"/>
  <c r="K144" i="27"/>
  <c r="G161" i="27"/>
  <c r="H161" i="27"/>
  <c r="I161" i="27"/>
  <c r="J161" i="27"/>
  <c r="K161" i="27"/>
  <c r="L161" i="27"/>
  <c r="M161" i="27"/>
  <c r="K152" i="27"/>
  <c r="G152" i="27"/>
  <c r="H152" i="27"/>
  <c r="I152" i="27"/>
  <c r="J152" i="27"/>
  <c r="L152" i="27"/>
  <c r="M152" i="27"/>
  <c r="M160" i="27"/>
  <c r="I160" i="27"/>
  <c r="G160" i="27"/>
  <c r="H160" i="27"/>
  <c r="J160" i="27"/>
  <c r="K160" i="27"/>
  <c r="L160" i="27"/>
  <c r="H151" i="27"/>
  <c r="I151" i="27"/>
  <c r="J151" i="27"/>
  <c r="K151" i="27"/>
  <c r="L151" i="27"/>
  <c r="M151" i="27"/>
  <c r="G151" i="27"/>
  <c r="I159" i="27"/>
  <c r="J159" i="27"/>
  <c r="L159" i="27"/>
  <c r="M159" i="27"/>
  <c r="G159" i="27"/>
  <c r="H159" i="27"/>
  <c r="K159" i="27"/>
  <c r="K150" i="27"/>
  <c r="G150" i="27"/>
  <c r="L150" i="27"/>
  <c r="M150" i="27"/>
  <c r="H150" i="27"/>
  <c r="I150" i="27"/>
  <c r="J150" i="27"/>
  <c r="K22" i="6"/>
  <c r="M63" i="26" s="1"/>
  <c r="J14" i="6"/>
  <c r="J28" i="6" s="1"/>
  <c r="L80" i="26" s="1"/>
  <c r="E42" i="25"/>
  <c r="N362" i="5" l="1"/>
  <c r="N507" i="5"/>
  <c r="M103" i="27"/>
  <c r="E14" i="30"/>
  <c r="E26" i="30"/>
  <c r="E16" i="30"/>
  <c r="E28" i="30"/>
  <c r="E31" i="30"/>
  <c r="E19" i="30"/>
  <c r="H215" i="27"/>
  <c r="I215" i="27" s="1"/>
  <c r="J215" i="27" s="1"/>
  <c r="K215" i="27" s="1"/>
  <c r="L215" i="27" s="1"/>
  <c r="M215" i="27" s="1"/>
  <c r="E85" i="20" s="1"/>
  <c r="H217" i="27"/>
  <c r="I217" i="27" s="1"/>
  <c r="J217" i="27" s="1"/>
  <c r="K217" i="27" s="1"/>
  <c r="L217" i="27" s="1"/>
  <c r="M217" i="27" s="1"/>
  <c r="E87" i="20" s="1"/>
  <c r="G211" i="27"/>
  <c r="H211" i="27" s="1"/>
  <c r="I211" i="27" s="1"/>
  <c r="J211" i="27" s="1"/>
  <c r="K211" i="27" s="1"/>
  <c r="L211" i="27" s="1"/>
  <c r="M211" i="27" s="1"/>
  <c r="E81" i="20" s="1"/>
  <c r="G212" i="27"/>
  <c r="H212" i="27" s="1"/>
  <c r="I212" i="27" s="1"/>
  <c r="J212" i="27" s="1"/>
  <c r="K212" i="27" s="1"/>
  <c r="L212" i="27" s="1"/>
  <c r="M212" i="27" s="1"/>
  <c r="E82" i="20" s="1"/>
  <c r="G219" i="27"/>
  <c r="H219" i="27" s="1"/>
  <c r="I219" i="27" s="1"/>
  <c r="J219" i="27" s="1"/>
  <c r="K219" i="27" s="1"/>
  <c r="L219" i="27" s="1"/>
  <c r="M219" i="27" s="1"/>
  <c r="E89" i="20" s="1"/>
  <c r="G214" i="27"/>
  <c r="H214" i="27" s="1"/>
  <c r="I214" i="27" s="1"/>
  <c r="J214" i="27" s="1"/>
  <c r="K214" i="27" s="1"/>
  <c r="L214" i="27" s="1"/>
  <c r="M214" i="27" s="1"/>
  <c r="E84" i="20" s="1"/>
  <c r="G125" i="5"/>
  <c r="G270" i="5" s="1"/>
  <c r="G415" i="5" s="1"/>
  <c r="G324" i="27"/>
  <c r="G213" i="27"/>
  <c r="H213" i="27" s="1"/>
  <c r="I213" i="27" s="1"/>
  <c r="J213" i="27" s="1"/>
  <c r="K213" i="27" s="1"/>
  <c r="L213" i="27" s="1"/>
  <c r="M213" i="27" s="1"/>
  <c r="E83" i="20" s="1"/>
  <c r="G220" i="27"/>
  <c r="H220" i="27" s="1"/>
  <c r="I220" i="27" s="1"/>
  <c r="J220" i="27" s="1"/>
  <c r="K220" i="27" s="1"/>
  <c r="L220" i="27" s="1"/>
  <c r="M220" i="27" s="1"/>
  <c r="E90" i="20" s="1"/>
  <c r="G222" i="27"/>
  <c r="H222" i="27" s="1"/>
  <c r="I222" i="27" s="1"/>
  <c r="J222" i="27" s="1"/>
  <c r="K222" i="27" s="1"/>
  <c r="L222" i="27" s="1"/>
  <c r="M222" i="27" s="1"/>
  <c r="E92" i="20" s="1"/>
  <c r="G379" i="27"/>
  <c r="G223" i="27"/>
  <c r="H223" i="27" s="1"/>
  <c r="I223" i="27" s="1"/>
  <c r="J223" i="27" s="1"/>
  <c r="K223" i="27" s="1"/>
  <c r="L223" i="27" s="1"/>
  <c r="M223" i="27" s="1"/>
  <c r="E93" i="20" s="1"/>
  <c r="G203" i="27"/>
  <c r="H203" i="27" s="1"/>
  <c r="I203" i="27" s="1"/>
  <c r="J203" i="27" s="1"/>
  <c r="K203" i="27" s="1"/>
  <c r="L203" i="27" s="1"/>
  <c r="M203" i="27" s="1"/>
  <c r="E73" i="20" s="1"/>
  <c r="G204" i="27"/>
  <c r="H204" i="27" s="1"/>
  <c r="I204" i="27" s="1"/>
  <c r="J204" i="27" s="1"/>
  <c r="K204" i="27" s="1"/>
  <c r="L204" i="27" s="1"/>
  <c r="M204" i="27" s="1"/>
  <c r="E74" i="20" s="1"/>
  <c r="G218" i="27"/>
  <c r="H218" i="27" s="1"/>
  <c r="I218" i="27" s="1"/>
  <c r="J218" i="27" s="1"/>
  <c r="K218" i="27" s="1"/>
  <c r="L218" i="27" s="1"/>
  <c r="M218" i="27" s="1"/>
  <c r="E88" i="20" s="1"/>
  <c r="G216" i="27"/>
  <c r="H216" i="27" s="1"/>
  <c r="I216" i="27" s="1"/>
  <c r="J216" i="27" s="1"/>
  <c r="K216" i="27" s="1"/>
  <c r="L216" i="27" s="1"/>
  <c r="M216" i="27" s="1"/>
  <c r="E86" i="20" s="1"/>
  <c r="G126" i="5"/>
  <c r="G271" i="5" s="1"/>
  <c r="G416" i="5" s="1"/>
  <c r="G114" i="5"/>
  <c r="G259" i="5" s="1"/>
  <c r="G404" i="5" s="1"/>
  <c r="G385" i="27"/>
  <c r="G391" i="27"/>
  <c r="G370" i="27"/>
  <c r="G390" i="27"/>
  <c r="M146" i="26"/>
  <c r="E23" i="20" s="1"/>
  <c r="M135" i="26"/>
  <c r="E12" i="20" s="1"/>
  <c r="M147" i="26"/>
  <c r="E24" i="20" s="1"/>
  <c r="E17" i="20"/>
  <c r="G382" i="27"/>
  <c r="G384" i="27"/>
  <c r="G380" i="27"/>
  <c r="G381" i="27"/>
  <c r="G371" i="27"/>
  <c r="G383" i="27"/>
  <c r="G386" i="27"/>
  <c r="G378" i="27"/>
  <c r="G389" i="27"/>
  <c r="G387" i="27"/>
  <c r="G326" i="27"/>
  <c r="G325" i="27"/>
  <c r="G331" i="27"/>
  <c r="G323" i="27"/>
  <c r="H126" i="5"/>
  <c r="H271" i="5" s="1"/>
  <c r="H416" i="5" s="1"/>
  <c r="I229" i="26"/>
  <c r="H229" i="26"/>
  <c r="H269" i="26"/>
  <c r="I178" i="26"/>
  <c r="H218" i="26"/>
  <c r="H258" i="26"/>
  <c r="H270" i="26"/>
  <c r="H230" i="26"/>
  <c r="H189" i="26"/>
  <c r="H178" i="26"/>
  <c r="H190" i="26"/>
  <c r="N151" i="27"/>
  <c r="N97" i="27"/>
  <c r="N157" i="27"/>
  <c r="N103" i="27"/>
  <c r="N165" i="27"/>
  <c r="N111" i="27"/>
  <c r="N146" i="27"/>
  <c r="N92" i="27"/>
  <c r="N23" i="27"/>
  <c r="K14" i="6"/>
  <c r="K28" i="6" s="1"/>
  <c r="M80" i="26" s="1"/>
  <c r="H331" i="27" l="1"/>
  <c r="G193" i="5"/>
  <c r="G338" i="5" s="1"/>
  <c r="G483" i="5" s="1"/>
  <c r="H386" i="27"/>
  <c r="J190" i="26"/>
  <c r="H276" i="27"/>
  <c r="I189" i="26"/>
  <c r="I190" i="26"/>
  <c r="I230" i="26"/>
  <c r="I270" i="26"/>
  <c r="H125" i="5"/>
  <c r="H270" i="5" s="1"/>
  <c r="H415" i="5" s="1"/>
  <c r="J189" i="26"/>
  <c r="I269" i="26"/>
  <c r="I329" i="27"/>
  <c r="I384" i="27"/>
  <c r="H383" i="27"/>
  <c r="H328" i="27"/>
  <c r="H268" i="27"/>
  <c r="H378" i="27"/>
  <c r="H323" i="27"/>
  <c r="H261" i="27"/>
  <c r="H371" i="27"/>
  <c r="H316" i="27"/>
  <c r="H274" i="27"/>
  <c r="H329" i="27"/>
  <c r="H384" i="27"/>
  <c r="H379" i="27"/>
  <c r="H324" i="27"/>
  <c r="H280" i="27"/>
  <c r="H335" i="27"/>
  <c r="H390" i="27"/>
  <c r="H381" i="27"/>
  <c r="H326" i="27"/>
  <c r="H270" i="27"/>
  <c r="H325" i="27"/>
  <c r="H380" i="27"/>
  <c r="H277" i="27"/>
  <c r="H387" i="27"/>
  <c r="H332" i="27"/>
  <c r="H279" i="27"/>
  <c r="H389" i="27"/>
  <c r="H334" i="27"/>
  <c r="H281" i="27"/>
  <c r="H391" i="27"/>
  <c r="H336" i="27"/>
  <c r="H370" i="27"/>
  <c r="H315" i="27"/>
  <c r="I276" i="27"/>
  <c r="I386" i="27"/>
  <c r="I331" i="27"/>
  <c r="H272" i="27"/>
  <c r="H327" i="27"/>
  <c r="H382" i="27"/>
  <c r="H275" i="27"/>
  <c r="H330" i="27"/>
  <c r="H385" i="27"/>
  <c r="G191" i="5"/>
  <c r="G336" i="5" s="1"/>
  <c r="G481" i="5" s="1"/>
  <c r="H191" i="5"/>
  <c r="H336" i="5" s="1"/>
  <c r="H481" i="5" s="1"/>
  <c r="I274" i="27"/>
  <c r="G190" i="5"/>
  <c r="G335" i="5" s="1"/>
  <c r="G480" i="5" s="1"/>
  <c r="H273" i="27"/>
  <c r="G177" i="5"/>
  <c r="G322" i="5" s="1"/>
  <c r="G467" i="5" s="1"/>
  <c r="H260" i="27"/>
  <c r="G186" i="5"/>
  <c r="G331" i="5" s="1"/>
  <c r="G476" i="5" s="1"/>
  <c r="H269" i="27"/>
  <c r="G188" i="5"/>
  <c r="G333" i="5" s="1"/>
  <c r="G478" i="5" s="1"/>
  <c r="H271" i="27"/>
  <c r="J230" i="26"/>
  <c r="I218" i="26"/>
  <c r="I258" i="26"/>
  <c r="J178" i="26"/>
  <c r="H114" i="5"/>
  <c r="H259" i="5" s="1"/>
  <c r="H404" i="5" s="1"/>
  <c r="G192" i="5"/>
  <c r="G337" i="5" s="1"/>
  <c r="G482" i="5" s="1"/>
  <c r="G187" i="5"/>
  <c r="G332" i="5" s="1"/>
  <c r="G477" i="5" s="1"/>
  <c r="G194" i="5"/>
  <c r="G339" i="5" s="1"/>
  <c r="G484" i="5" s="1"/>
  <c r="G196" i="5"/>
  <c r="G343" i="5"/>
  <c r="G488" i="5" s="1"/>
  <c r="H193" i="5"/>
  <c r="H338" i="5" s="1"/>
  <c r="H483" i="5" s="1"/>
  <c r="G185" i="5"/>
  <c r="G330" i="5" s="1"/>
  <c r="G475" i="5" s="1"/>
  <c r="G178" i="5"/>
  <c r="G323" i="5" s="1"/>
  <c r="G468" i="5" s="1"/>
  <c r="G189" i="5"/>
  <c r="G197" i="5"/>
  <c r="G342" i="5" s="1"/>
  <c r="G487" i="5" s="1"/>
  <c r="N161" i="27"/>
  <c r="N107" i="27"/>
  <c r="N150" i="27"/>
  <c r="N96" i="27"/>
  <c r="N155" i="27"/>
  <c r="N101" i="27"/>
  <c r="N153" i="27"/>
  <c r="N99" i="27"/>
  <c r="N57" i="27"/>
  <c r="N27" i="27"/>
  <c r="N158" i="27"/>
  <c r="N104" i="27"/>
  <c r="N159" i="27"/>
  <c r="N105" i="27"/>
  <c r="N145" i="27"/>
  <c r="N91" i="27"/>
  <c r="N49" i="27"/>
  <c r="N152" i="27"/>
  <c r="N98" i="27"/>
  <c r="G13" i="25"/>
  <c r="G8" i="25"/>
  <c r="G18" i="25"/>
  <c r="G17" i="25"/>
  <c r="G9" i="25"/>
  <c r="G11" i="25"/>
  <c r="G10" i="25"/>
  <c r="G7" i="25"/>
  <c r="G16" i="25"/>
  <c r="G15" i="25"/>
  <c r="G12" i="25"/>
  <c r="G6" i="25"/>
  <c r="G14" i="25"/>
  <c r="H203" i="5"/>
  <c r="I203" i="5" s="1"/>
  <c r="J203" i="5" s="1"/>
  <c r="K203" i="5" s="1"/>
  <c r="L203" i="5" s="1"/>
  <c r="M203" i="5" s="1"/>
  <c r="D5" i="8"/>
  <c r="C5" i="8"/>
  <c r="G341" i="5" l="1"/>
  <c r="G486" i="5" s="1"/>
  <c r="G240" i="5"/>
  <c r="G334" i="5"/>
  <c r="G479" i="5" s="1"/>
  <c r="G239" i="5"/>
  <c r="I126" i="5"/>
  <c r="K190" i="26"/>
  <c r="J270" i="26"/>
  <c r="I125" i="5"/>
  <c r="J269" i="26"/>
  <c r="J229" i="26"/>
  <c r="I114" i="5"/>
  <c r="K178" i="26"/>
  <c r="I191" i="5"/>
  <c r="I280" i="27"/>
  <c r="I335" i="27"/>
  <c r="I390" i="27"/>
  <c r="J269" i="27"/>
  <c r="J379" i="27"/>
  <c r="J324" i="27"/>
  <c r="I328" i="27"/>
  <c r="I383" i="27"/>
  <c r="I272" i="27"/>
  <c r="I327" i="27"/>
  <c r="I382" i="27"/>
  <c r="I370" i="27"/>
  <c r="I315" i="27"/>
  <c r="K274" i="27"/>
  <c r="K329" i="27"/>
  <c r="K384" i="27"/>
  <c r="I261" i="27"/>
  <c r="I371" i="27"/>
  <c r="I316" i="27"/>
  <c r="I279" i="27"/>
  <c r="I389" i="27"/>
  <c r="I334" i="27"/>
  <c r="I269" i="27"/>
  <c r="I379" i="27"/>
  <c r="I324" i="27"/>
  <c r="I268" i="27"/>
  <c r="I378" i="27"/>
  <c r="I323" i="27"/>
  <c r="I277" i="27"/>
  <c r="I387" i="27"/>
  <c r="I332" i="27"/>
  <c r="J276" i="27"/>
  <c r="J386" i="27"/>
  <c r="J331" i="27"/>
  <c r="I270" i="27"/>
  <c r="I380" i="27"/>
  <c r="I325" i="27"/>
  <c r="J274" i="27"/>
  <c r="J329" i="27"/>
  <c r="J384" i="27"/>
  <c r="I275" i="27"/>
  <c r="I330" i="27"/>
  <c r="I385" i="27"/>
  <c r="I281" i="27"/>
  <c r="I391" i="27"/>
  <c r="I336" i="27"/>
  <c r="I271" i="27"/>
  <c r="I326" i="27"/>
  <c r="I381" i="27"/>
  <c r="H186" i="5"/>
  <c r="H331" i="5" s="1"/>
  <c r="H476" i="5" s="1"/>
  <c r="I273" i="27"/>
  <c r="I260" i="27"/>
  <c r="G238" i="5"/>
  <c r="H190" i="5"/>
  <c r="H335" i="5" s="1"/>
  <c r="H480" i="5" s="1"/>
  <c r="J258" i="26"/>
  <c r="J218" i="26"/>
  <c r="H177" i="5"/>
  <c r="H322" i="5" s="1"/>
  <c r="H467" i="5" s="1"/>
  <c r="I186" i="5"/>
  <c r="H189" i="5"/>
  <c r="H178" i="5"/>
  <c r="H323" i="5" s="1"/>
  <c r="H468" i="5" s="1"/>
  <c r="J191" i="5"/>
  <c r="J336" i="5" s="1"/>
  <c r="J481" i="5" s="1"/>
  <c r="H185" i="5"/>
  <c r="H330" i="5" s="1"/>
  <c r="H475" i="5" s="1"/>
  <c r="H196" i="5"/>
  <c r="H194" i="5"/>
  <c r="H339" i="5" s="1"/>
  <c r="H484" i="5" s="1"/>
  <c r="H188" i="5"/>
  <c r="H333" i="5" s="1"/>
  <c r="H478" i="5" s="1"/>
  <c r="I193" i="5"/>
  <c r="H187" i="5"/>
  <c r="H332" i="5" s="1"/>
  <c r="H477" i="5" s="1"/>
  <c r="H197" i="5"/>
  <c r="H342" i="5" s="1"/>
  <c r="H487" i="5" s="1"/>
  <c r="H343" i="5"/>
  <c r="H488" i="5" s="1"/>
  <c r="H192" i="5"/>
  <c r="H337" i="5" s="1"/>
  <c r="H482" i="5" s="1"/>
  <c r="N147" i="27"/>
  <c r="N93" i="27"/>
  <c r="N37" i="27"/>
  <c r="N149" i="27"/>
  <c r="N95" i="27"/>
  <c r="N148" i="27"/>
  <c r="N94" i="27"/>
  <c r="N35" i="27"/>
  <c r="N45" i="27"/>
  <c r="N51" i="27"/>
  <c r="N154" i="27"/>
  <c r="N100" i="27"/>
  <c r="N164" i="27"/>
  <c r="N110" i="27"/>
  <c r="N53" i="27"/>
  <c r="N47" i="27"/>
  <c r="N44" i="27"/>
  <c r="N50" i="27"/>
  <c r="N163" i="27"/>
  <c r="N109" i="27"/>
  <c r="N22" i="27"/>
  <c r="G23" i="25"/>
  <c r="D10" i="5"/>
  <c r="C10" i="5"/>
  <c r="G52" i="5"/>
  <c r="H52" i="5"/>
  <c r="I52" i="5"/>
  <c r="F52" i="5"/>
  <c r="H107" i="5"/>
  <c r="I107" i="5" s="1"/>
  <c r="J107" i="5" s="1"/>
  <c r="K107" i="5" s="1"/>
  <c r="L107" i="5" s="1"/>
  <c r="M107" i="5" s="1"/>
  <c r="D5" i="19"/>
  <c r="H341" i="5" l="1"/>
  <c r="H486" i="5" s="1"/>
  <c r="H240" i="5"/>
  <c r="F43" i="30"/>
  <c r="F42" i="30"/>
  <c r="I270" i="5"/>
  <c r="I264" i="5"/>
  <c r="I409" i="5" s="1"/>
  <c r="I336" i="5"/>
  <c r="I271" i="5"/>
  <c r="I338" i="5"/>
  <c r="I331" i="5"/>
  <c r="I259" i="5"/>
  <c r="H334" i="5"/>
  <c r="H479" i="5" s="1"/>
  <c r="H239" i="5"/>
  <c r="K230" i="26"/>
  <c r="K270" i="26"/>
  <c r="J126" i="5"/>
  <c r="J271" i="5" s="1"/>
  <c r="J416" i="5" s="1"/>
  <c r="K126" i="5"/>
  <c r="K271" i="5" s="1"/>
  <c r="K416" i="5" s="1"/>
  <c r="K189" i="26"/>
  <c r="J114" i="5"/>
  <c r="J259" i="5" s="1"/>
  <c r="J404" i="5" s="1"/>
  <c r="K229" i="26"/>
  <c r="K269" i="26"/>
  <c r="L178" i="26"/>
  <c r="K258" i="26"/>
  <c r="K218" i="26"/>
  <c r="G383" i="5"/>
  <c r="G528" i="5" s="1"/>
  <c r="G384" i="5"/>
  <c r="G529" i="5" s="1"/>
  <c r="J125" i="5"/>
  <c r="J270" i="5" s="1"/>
  <c r="J415" i="5" s="1"/>
  <c r="J280" i="27"/>
  <c r="J335" i="27"/>
  <c r="J390" i="27"/>
  <c r="J270" i="27"/>
  <c r="J380" i="27"/>
  <c r="J325" i="27"/>
  <c r="J261" i="27"/>
  <c r="J316" i="27"/>
  <c r="J371" i="27"/>
  <c r="K276" i="27"/>
  <c r="K386" i="27"/>
  <c r="K331" i="27"/>
  <c r="J272" i="27"/>
  <c r="J327" i="27"/>
  <c r="J382" i="27"/>
  <c r="J271" i="27"/>
  <c r="J326" i="27"/>
  <c r="J381" i="27"/>
  <c r="J277" i="27"/>
  <c r="J387" i="27"/>
  <c r="J332" i="27"/>
  <c r="K269" i="27"/>
  <c r="K324" i="27"/>
  <c r="K379" i="27"/>
  <c r="J279" i="27"/>
  <c r="J389" i="27"/>
  <c r="J334" i="27"/>
  <c r="J268" i="27"/>
  <c r="J323" i="27"/>
  <c r="J378" i="27"/>
  <c r="J275" i="27"/>
  <c r="J330" i="27"/>
  <c r="J385" i="27"/>
  <c r="J260" i="27"/>
  <c r="J315" i="27"/>
  <c r="J370" i="27"/>
  <c r="J273" i="27"/>
  <c r="J383" i="27"/>
  <c r="J328" i="27"/>
  <c r="J281" i="27"/>
  <c r="J391" i="27"/>
  <c r="J336" i="27"/>
  <c r="L274" i="27"/>
  <c r="L329" i="27"/>
  <c r="L384" i="27"/>
  <c r="I177" i="5"/>
  <c r="I190" i="5"/>
  <c r="L229" i="26"/>
  <c r="L269" i="26"/>
  <c r="L258" i="26"/>
  <c r="J264" i="5"/>
  <c r="J409" i="5" s="1"/>
  <c r="L270" i="26"/>
  <c r="L230" i="26"/>
  <c r="L189" i="26"/>
  <c r="I343" i="5"/>
  <c r="I488" i="5" s="1"/>
  <c r="I196" i="5"/>
  <c r="I197" i="5"/>
  <c r="I185" i="5"/>
  <c r="I187" i="5"/>
  <c r="K125" i="5"/>
  <c r="K270" i="5" s="1"/>
  <c r="K415" i="5" s="1"/>
  <c r="K191" i="5"/>
  <c r="K336" i="5" s="1"/>
  <c r="K481" i="5" s="1"/>
  <c r="J193" i="5"/>
  <c r="J338" i="5" s="1"/>
  <c r="J483" i="5" s="1"/>
  <c r="I178" i="5"/>
  <c r="I188" i="5"/>
  <c r="I189" i="5"/>
  <c r="I194" i="5"/>
  <c r="J186" i="5"/>
  <c r="J331" i="5" s="1"/>
  <c r="J476" i="5" s="1"/>
  <c r="I192" i="5"/>
  <c r="N56" i="27"/>
  <c r="N160" i="27"/>
  <c r="N106" i="27"/>
  <c r="N46" i="27"/>
  <c r="N156" i="27"/>
  <c r="N102" i="27"/>
  <c r="N55" i="27"/>
  <c r="N87" i="26"/>
  <c r="N62" i="26"/>
  <c r="N101" i="26"/>
  <c r="N48" i="26"/>
  <c r="F72" i="6"/>
  <c r="G72" i="6"/>
  <c r="F73" i="6"/>
  <c r="G73" i="6"/>
  <c r="F74" i="6"/>
  <c r="G74" i="6"/>
  <c r="F75" i="6"/>
  <c r="G75" i="6"/>
  <c r="F76" i="6"/>
  <c r="G76" i="6"/>
  <c r="F77" i="6"/>
  <c r="G77" i="6"/>
  <c r="F78" i="6"/>
  <c r="G78" i="6"/>
  <c r="F79" i="6"/>
  <c r="G79" i="6"/>
  <c r="F80" i="6"/>
  <c r="G80" i="6"/>
  <c r="F81" i="6"/>
  <c r="G81" i="6"/>
  <c r="F82" i="6"/>
  <c r="G82" i="6"/>
  <c r="F83" i="6"/>
  <c r="G83" i="6"/>
  <c r="F84" i="6"/>
  <c r="G84" i="6"/>
  <c r="F85" i="6"/>
  <c r="G85" i="6"/>
  <c r="F86" i="6"/>
  <c r="G86" i="6"/>
  <c r="F87" i="6"/>
  <c r="G87" i="6"/>
  <c r="F88" i="6"/>
  <c r="G88" i="6"/>
  <c r="F89" i="6"/>
  <c r="G89" i="6"/>
  <c r="F90" i="6"/>
  <c r="G90" i="6"/>
  <c r="F92" i="6"/>
  <c r="G92" i="6"/>
  <c r="F93" i="6"/>
  <c r="G93" i="6"/>
  <c r="F94" i="6"/>
  <c r="G94" i="6"/>
  <c r="F95" i="6"/>
  <c r="G95" i="6"/>
  <c r="F96" i="6"/>
  <c r="G96" i="6"/>
  <c r="F97" i="6"/>
  <c r="G97" i="6"/>
  <c r="F98" i="6"/>
  <c r="G98" i="6"/>
  <c r="G71" i="6"/>
  <c r="F71" i="6"/>
  <c r="F34" i="6"/>
  <c r="F149" i="8"/>
  <c r="F112" i="8"/>
  <c r="C5" i="19"/>
  <c r="H231" i="5"/>
  <c r="I231" i="5" s="1"/>
  <c r="J231" i="5" s="1"/>
  <c r="K231" i="5" s="1"/>
  <c r="L231" i="5" s="1"/>
  <c r="M231" i="5" s="1"/>
  <c r="H222" i="5"/>
  <c r="I222" i="5" s="1"/>
  <c r="J222" i="5" s="1"/>
  <c r="K222" i="5" s="1"/>
  <c r="L222" i="5" s="1"/>
  <c r="M222" i="5" s="1"/>
  <c r="I404" i="5" l="1"/>
  <c r="I476" i="5"/>
  <c r="I483" i="5"/>
  <c r="I416" i="5"/>
  <c r="I481" i="5"/>
  <c r="I415" i="5"/>
  <c r="I240" i="5"/>
  <c r="G43" i="30"/>
  <c r="I323" i="5"/>
  <c r="I337" i="5"/>
  <c r="I332" i="5"/>
  <c r="I322" i="5"/>
  <c r="I339" i="5"/>
  <c r="I330" i="5"/>
  <c r="I335" i="5"/>
  <c r="I342" i="5"/>
  <c r="I333" i="5"/>
  <c r="I341" i="5"/>
  <c r="I334" i="5"/>
  <c r="I239" i="5"/>
  <c r="L190" i="26"/>
  <c r="L218" i="26"/>
  <c r="M218" i="26"/>
  <c r="K114" i="5"/>
  <c r="K259" i="5" s="1"/>
  <c r="K404" i="5" s="1"/>
  <c r="J177" i="5"/>
  <c r="J322" i="5" s="1"/>
  <c r="J467" i="5" s="1"/>
  <c r="J88" i="27"/>
  <c r="M88" i="27"/>
  <c r="K88" i="27"/>
  <c r="L88" i="27"/>
  <c r="I88" i="27"/>
  <c r="G88" i="27"/>
  <c r="H88" i="27"/>
  <c r="G79" i="27"/>
  <c r="H79" i="27"/>
  <c r="I79" i="27"/>
  <c r="J79" i="27"/>
  <c r="K79" i="27"/>
  <c r="L79" i="27"/>
  <c r="M79" i="27"/>
  <c r="I70" i="27"/>
  <c r="L70" i="27"/>
  <c r="J70" i="27"/>
  <c r="K70" i="27"/>
  <c r="M70" i="27"/>
  <c r="G70" i="27"/>
  <c r="H70" i="27"/>
  <c r="G87" i="27"/>
  <c r="I87" i="27"/>
  <c r="L87" i="27"/>
  <c r="H87" i="27"/>
  <c r="J87" i="27"/>
  <c r="K87" i="27"/>
  <c r="M87" i="27"/>
  <c r="G78" i="27"/>
  <c r="H78" i="27"/>
  <c r="J78" i="27"/>
  <c r="K78" i="27"/>
  <c r="M78" i="27"/>
  <c r="I78" i="27"/>
  <c r="L78" i="27"/>
  <c r="G69" i="27"/>
  <c r="H69" i="27"/>
  <c r="K69" i="27"/>
  <c r="L69" i="27"/>
  <c r="I69" i="27"/>
  <c r="J69" i="27"/>
  <c r="M69" i="27"/>
  <c r="H86" i="27"/>
  <c r="I86" i="27"/>
  <c r="J86" i="27"/>
  <c r="G86" i="27"/>
  <c r="K86" i="27"/>
  <c r="L86" i="27"/>
  <c r="M86" i="27"/>
  <c r="J77" i="27"/>
  <c r="L77" i="27"/>
  <c r="G77" i="27"/>
  <c r="H77" i="27"/>
  <c r="I77" i="27"/>
  <c r="K77" i="27"/>
  <c r="M77" i="27"/>
  <c r="H68" i="27"/>
  <c r="I68" i="27"/>
  <c r="J68" i="27"/>
  <c r="L68" i="27"/>
  <c r="M68" i="27"/>
  <c r="G68" i="27"/>
  <c r="K68" i="27"/>
  <c r="M85" i="27"/>
  <c r="I85" i="27"/>
  <c r="J85" i="27"/>
  <c r="L85" i="27"/>
  <c r="G85" i="27"/>
  <c r="H85" i="27"/>
  <c r="K85" i="27"/>
  <c r="G76" i="27"/>
  <c r="H76" i="27"/>
  <c r="J76" i="27"/>
  <c r="I76" i="27"/>
  <c r="K76" i="27"/>
  <c r="L76" i="27"/>
  <c r="M76" i="27"/>
  <c r="L67" i="27"/>
  <c r="M67" i="27"/>
  <c r="G67" i="27"/>
  <c r="H67" i="27"/>
  <c r="I67" i="27"/>
  <c r="J67" i="27"/>
  <c r="K67" i="27"/>
  <c r="G84" i="27"/>
  <c r="H84" i="27"/>
  <c r="I84" i="27"/>
  <c r="J84" i="27"/>
  <c r="K84" i="27"/>
  <c r="L84" i="27"/>
  <c r="M84" i="27"/>
  <c r="J75" i="27"/>
  <c r="M75" i="27"/>
  <c r="K75" i="27"/>
  <c r="L75" i="27"/>
  <c r="G75" i="27"/>
  <c r="H75" i="27"/>
  <c r="I75" i="27"/>
  <c r="G66" i="27"/>
  <c r="H66" i="27"/>
  <c r="I66" i="27"/>
  <c r="M66" i="27"/>
  <c r="J66" i="27"/>
  <c r="K66" i="27"/>
  <c r="L66" i="27"/>
  <c r="I83" i="27"/>
  <c r="L83" i="27"/>
  <c r="J83" i="27"/>
  <c r="K83" i="27"/>
  <c r="M83" i="27"/>
  <c r="G83" i="27"/>
  <c r="H83" i="27"/>
  <c r="G74" i="27"/>
  <c r="H74" i="27"/>
  <c r="I74" i="27"/>
  <c r="J74" i="27"/>
  <c r="K74" i="27"/>
  <c r="L74" i="27"/>
  <c r="M74" i="27"/>
  <c r="H65" i="27"/>
  <c r="J65" i="27"/>
  <c r="K65" i="27"/>
  <c r="I65" i="27"/>
  <c r="L65" i="27"/>
  <c r="M65" i="27"/>
  <c r="G65" i="27"/>
  <c r="I73" i="27"/>
  <c r="K73" i="27"/>
  <c r="M73" i="27"/>
  <c r="G73" i="27"/>
  <c r="H73" i="27"/>
  <c r="J73" i="27"/>
  <c r="L73" i="27"/>
  <c r="G64" i="27"/>
  <c r="H64" i="27"/>
  <c r="I64" i="27"/>
  <c r="L64" i="27"/>
  <c r="J64" i="27"/>
  <c r="K64" i="27"/>
  <c r="M64" i="27"/>
  <c r="K62" i="27"/>
  <c r="H62" i="27"/>
  <c r="I62" i="27"/>
  <c r="J62" i="27"/>
  <c r="L62" i="27"/>
  <c r="M62" i="27"/>
  <c r="G62" i="27"/>
  <c r="H81" i="27"/>
  <c r="I81" i="27"/>
  <c r="J81" i="27"/>
  <c r="G81" i="27"/>
  <c r="K81" i="27"/>
  <c r="L81" i="27"/>
  <c r="M81" i="27"/>
  <c r="M72" i="27"/>
  <c r="H72" i="27"/>
  <c r="I72" i="27"/>
  <c r="J72" i="27"/>
  <c r="K72" i="27"/>
  <c r="L72" i="27"/>
  <c r="G72" i="27"/>
  <c r="H63" i="27"/>
  <c r="I63" i="27"/>
  <c r="L63" i="27"/>
  <c r="G63" i="27"/>
  <c r="J63" i="27"/>
  <c r="K63" i="27"/>
  <c r="M63" i="27"/>
  <c r="I89" i="27"/>
  <c r="J89" i="27"/>
  <c r="G89" i="27"/>
  <c r="H89" i="27"/>
  <c r="K89" i="27"/>
  <c r="L89" i="27"/>
  <c r="M89" i="27"/>
  <c r="L80" i="27"/>
  <c r="M80" i="27"/>
  <c r="G80" i="27"/>
  <c r="H80" i="27"/>
  <c r="K80" i="27"/>
  <c r="I80" i="27"/>
  <c r="J80" i="27"/>
  <c r="G71" i="27"/>
  <c r="I71" i="27"/>
  <c r="J71" i="27"/>
  <c r="H71" i="27"/>
  <c r="K71" i="27"/>
  <c r="L71" i="27"/>
  <c r="M71" i="27"/>
  <c r="K275" i="27"/>
  <c r="K385" i="27"/>
  <c r="K330" i="27"/>
  <c r="L260" i="27"/>
  <c r="L370" i="27"/>
  <c r="L315" i="27"/>
  <c r="K277" i="27"/>
  <c r="K332" i="27"/>
  <c r="K387" i="27"/>
  <c r="K273" i="27"/>
  <c r="K383" i="27"/>
  <c r="K328" i="27"/>
  <c r="K270" i="27"/>
  <c r="K380" i="27"/>
  <c r="K325" i="27"/>
  <c r="K260" i="27"/>
  <c r="K315" i="27"/>
  <c r="K370" i="27"/>
  <c r="K268" i="27"/>
  <c r="K323" i="27"/>
  <c r="K378" i="27"/>
  <c r="K261" i="27"/>
  <c r="K316" i="27"/>
  <c r="K371" i="27"/>
  <c r="K280" i="27"/>
  <c r="K390" i="27"/>
  <c r="K335" i="27"/>
  <c r="L276" i="27"/>
  <c r="L386" i="27"/>
  <c r="L331" i="27"/>
  <c r="K279" i="27"/>
  <c r="K389" i="27"/>
  <c r="K334" i="27"/>
  <c r="J190" i="5"/>
  <c r="J335" i="5" s="1"/>
  <c r="J480" i="5" s="1"/>
  <c r="M274" i="27"/>
  <c r="N274" i="27" s="1"/>
  <c r="M329" i="27"/>
  <c r="N329" i="27" s="1"/>
  <c r="M384" i="27"/>
  <c r="N384" i="27" s="1"/>
  <c r="L269" i="27"/>
  <c r="L324" i="27"/>
  <c r="L379" i="27"/>
  <c r="K272" i="27"/>
  <c r="K327" i="27"/>
  <c r="K382" i="27"/>
  <c r="K271" i="27"/>
  <c r="K326" i="27"/>
  <c r="K381" i="27"/>
  <c r="K281" i="27"/>
  <c r="K336" i="27"/>
  <c r="K391" i="27"/>
  <c r="K190" i="5"/>
  <c r="K335" i="5" s="1"/>
  <c r="K480" i="5" s="1"/>
  <c r="M270" i="26"/>
  <c r="N270" i="26" s="1"/>
  <c r="M230" i="26"/>
  <c r="M258" i="26"/>
  <c r="N258" i="26" s="1"/>
  <c r="M269" i="26"/>
  <c r="N269" i="26" s="1"/>
  <c r="M229" i="26"/>
  <c r="M189" i="26"/>
  <c r="N189" i="26" s="1"/>
  <c r="M190" i="26"/>
  <c r="K46" i="26"/>
  <c r="L46" i="26"/>
  <c r="M46" i="26"/>
  <c r="G46" i="26"/>
  <c r="J46" i="26"/>
  <c r="H46" i="26"/>
  <c r="I46" i="26"/>
  <c r="J192" i="5"/>
  <c r="J337" i="5" s="1"/>
  <c r="J482" i="5" s="1"/>
  <c r="L191" i="5"/>
  <c r="M191" i="5"/>
  <c r="M336" i="5" s="1"/>
  <c r="M481" i="5" s="1"/>
  <c r="K186" i="5"/>
  <c r="K331" i="5" s="1"/>
  <c r="K476" i="5" s="1"/>
  <c r="K177" i="5"/>
  <c r="K322" i="5" s="1"/>
  <c r="K467" i="5" s="1"/>
  <c r="J194" i="5"/>
  <c r="J339" i="5" s="1"/>
  <c r="J484" i="5" s="1"/>
  <c r="L125" i="5"/>
  <c r="L270" i="5" s="1"/>
  <c r="L415" i="5" s="1"/>
  <c r="M125" i="5"/>
  <c r="M270" i="5" s="1"/>
  <c r="M415" i="5" s="1"/>
  <c r="J189" i="5"/>
  <c r="J187" i="5"/>
  <c r="J332" i="5" s="1"/>
  <c r="J477" i="5" s="1"/>
  <c r="J188" i="5"/>
  <c r="J333" i="5" s="1"/>
  <c r="J478" i="5" s="1"/>
  <c r="J185" i="5"/>
  <c r="J330" i="5" s="1"/>
  <c r="J475" i="5" s="1"/>
  <c r="J178" i="5"/>
  <c r="J323" i="5" s="1"/>
  <c r="J468" i="5" s="1"/>
  <c r="J197" i="5"/>
  <c r="J342" i="5" s="1"/>
  <c r="J487" i="5" s="1"/>
  <c r="K193" i="5"/>
  <c r="J196" i="5"/>
  <c r="M126" i="5"/>
  <c r="M271" i="5" s="1"/>
  <c r="M416" i="5" s="1"/>
  <c r="L126" i="5"/>
  <c r="L271" i="5" s="1"/>
  <c r="L416" i="5" s="1"/>
  <c r="J343" i="5"/>
  <c r="J488" i="5" s="1"/>
  <c r="I140" i="27"/>
  <c r="H140" i="27"/>
  <c r="J140" i="27"/>
  <c r="K140" i="27"/>
  <c r="L140" i="27"/>
  <c r="G140" i="27"/>
  <c r="M140" i="27"/>
  <c r="I123" i="27"/>
  <c r="G123" i="27"/>
  <c r="H123" i="27"/>
  <c r="J123" i="27"/>
  <c r="K123" i="27"/>
  <c r="L123" i="27"/>
  <c r="M123" i="27"/>
  <c r="L139" i="27"/>
  <c r="G139" i="27"/>
  <c r="H139" i="27"/>
  <c r="I139" i="27"/>
  <c r="J139" i="27"/>
  <c r="K139" i="27"/>
  <c r="M139" i="27"/>
  <c r="G131" i="27"/>
  <c r="J131" i="27"/>
  <c r="K131" i="27"/>
  <c r="I131" i="27"/>
  <c r="L131" i="27"/>
  <c r="M131" i="27"/>
  <c r="H131" i="27"/>
  <c r="L122" i="27"/>
  <c r="K122" i="27"/>
  <c r="M122" i="27"/>
  <c r="G122" i="27"/>
  <c r="J122" i="27"/>
  <c r="H122" i="27"/>
  <c r="I122" i="27"/>
  <c r="I138" i="27"/>
  <c r="J138" i="27"/>
  <c r="K138" i="27"/>
  <c r="L138" i="27"/>
  <c r="M138" i="27"/>
  <c r="G138" i="27"/>
  <c r="H138" i="27"/>
  <c r="J130" i="27"/>
  <c r="K130" i="27"/>
  <c r="L130" i="27"/>
  <c r="M130" i="27"/>
  <c r="G130" i="27"/>
  <c r="H130" i="27"/>
  <c r="I130" i="27"/>
  <c r="K121" i="27"/>
  <c r="L121" i="27"/>
  <c r="M121" i="27"/>
  <c r="G121" i="27"/>
  <c r="H121" i="27"/>
  <c r="I121" i="27"/>
  <c r="J121" i="27"/>
  <c r="L137" i="27"/>
  <c r="H137" i="27"/>
  <c r="G137" i="27"/>
  <c r="I137" i="27"/>
  <c r="J137" i="27"/>
  <c r="K137" i="27"/>
  <c r="M137" i="27"/>
  <c r="G129" i="27"/>
  <c r="H129" i="27"/>
  <c r="I129" i="27"/>
  <c r="J129" i="27"/>
  <c r="K129" i="27"/>
  <c r="L129" i="27"/>
  <c r="M129" i="27"/>
  <c r="L120" i="27"/>
  <c r="H120" i="27"/>
  <c r="G120" i="27"/>
  <c r="I120" i="27"/>
  <c r="J120" i="27"/>
  <c r="K120" i="27"/>
  <c r="M120" i="27"/>
  <c r="J128" i="27"/>
  <c r="K128" i="27"/>
  <c r="L128" i="27"/>
  <c r="G128" i="27"/>
  <c r="H128" i="27"/>
  <c r="I128" i="27"/>
  <c r="M128" i="27"/>
  <c r="L119" i="27"/>
  <c r="M119" i="27"/>
  <c r="G119" i="27"/>
  <c r="H119" i="27"/>
  <c r="I119" i="27"/>
  <c r="J119" i="27"/>
  <c r="K119" i="27"/>
  <c r="H135" i="27"/>
  <c r="G135" i="27"/>
  <c r="I135" i="27"/>
  <c r="J135" i="27"/>
  <c r="K135" i="27"/>
  <c r="L135" i="27"/>
  <c r="M135" i="27"/>
  <c r="M127" i="27"/>
  <c r="G127" i="27"/>
  <c r="H127" i="27"/>
  <c r="I127" i="27"/>
  <c r="J127" i="27"/>
  <c r="K127" i="27"/>
  <c r="L127" i="27"/>
  <c r="H118" i="27"/>
  <c r="J118" i="27"/>
  <c r="K118" i="27"/>
  <c r="L118" i="27"/>
  <c r="M118" i="27"/>
  <c r="G118" i="27"/>
  <c r="I118" i="27"/>
  <c r="H116" i="27"/>
  <c r="J116" i="27"/>
  <c r="K116" i="27"/>
  <c r="L116" i="27"/>
  <c r="M116" i="27"/>
  <c r="I116" i="27"/>
  <c r="G116" i="27"/>
  <c r="J143" i="27"/>
  <c r="K143" i="27"/>
  <c r="L143" i="27"/>
  <c r="M143" i="27"/>
  <c r="G143" i="27"/>
  <c r="H143" i="27"/>
  <c r="I143" i="27"/>
  <c r="K134" i="27"/>
  <c r="G134" i="27"/>
  <c r="H134" i="27"/>
  <c r="I134" i="27"/>
  <c r="J134" i="27"/>
  <c r="L134" i="27"/>
  <c r="M134" i="27"/>
  <c r="L126" i="27"/>
  <c r="M126" i="27"/>
  <c r="H126" i="27"/>
  <c r="I126" i="27"/>
  <c r="J126" i="27"/>
  <c r="K126" i="27"/>
  <c r="G126" i="27"/>
  <c r="K117" i="27"/>
  <c r="G117" i="27"/>
  <c r="H117" i="27"/>
  <c r="I117" i="27"/>
  <c r="J117" i="27"/>
  <c r="L117" i="27"/>
  <c r="M117" i="27"/>
  <c r="M142" i="27"/>
  <c r="I142" i="27"/>
  <c r="G142" i="27"/>
  <c r="J142" i="27"/>
  <c r="K142" i="27"/>
  <c r="L142" i="27"/>
  <c r="H142" i="27"/>
  <c r="I133" i="27"/>
  <c r="J133" i="27"/>
  <c r="L133" i="27"/>
  <c r="M133" i="27"/>
  <c r="H133" i="27"/>
  <c r="K133" i="27"/>
  <c r="G133" i="27"/>
  <c r="M125" i="27"/>
  <c r="I125" i="27"/>
  <c r="K125" i="27"/>
  <c r="L125" i="27"/>
  <c r="G125" i="27"/>
  <c r="H125" i="27"/>
  <c r="J125" i="27"/>
  <c r="M141" i="27"/>
  <c r="G141" i="27"/>
  <c r="H141" i="27"/>
  <c r="I141" i="27"/>
  <c r="J141" i="27"/>
  <c r="K141" i="27"/>
  <c r="L141" i="27"/>
  <c r="K132" i="27"/>
  <c r="G132" i="27"/>
  <c r="H132" i="27"/>
  <c r="I132" i="27"/>
  <c r="J132" i="27"/>
  <c r="L132" i="27"/>
  <c r="M132" i="27"/>
  <c r="L124" i="27"/>
  <c r="M124" i="27"/>
  <c r="G124" i="27"/>
  <c r="H124" i="27"/>
  <c r="I124" i="27"/>
  <c r="J124" i="27"/>
  <c r="K124" i="27"/>
  <c r="N144" i="27"/>
  <c r="N90" i="27"/>
  <c r="N52" i="27"/>
  <c r="N48" i="27"/>
  <c r="N108" i="26"/>
  <c r="N105" i="26"/>
  <c r="N66" i="26"/>
  <c r="N112" i="26"/>
  <c r="N73" i="26"/>
  <c r="N92" i="26"/>
  <c r="N53" i="26"/>
  <c r="N69" i="26"/>
  <c r="N94" i="26"/>
  <c r="N55" i="26"/>
  <c r="N117" i="26"/>
  <c r="N78" i="26"/>
  <c r="G228" i="5"/>
  <c r="G227" i="5"/>
  <c r="I10" i="8" a="1"/>
  <c r="I10" i="8" s="1"/>
  <c r="F10" i="8" a="1"/>
  <c r="F10" i="8" s="1"/>
  <c r="G10" i="8" a="1"/>
  <c r="G10" i="8" s="1"/>
  <c r="H10" i="8" a="1"/>
  <c r="H10" i="8" s="1"/>
  <c r="J10" i="8" a="1"/>
  <c r="J10" i="8" s="1"/>
  <c r="K10" i="8" a="1"/>
  <c r="K10" i="8" s="1"/>
  <c r="M10" i="8" a="1"/>
  <c r="M10" i="8" s="1"/>
  <c r="L10" i="8" a="1"/>
  <c r="L10" i="8" s="1"/>
  <c r="F223" i="5"/>
  <c r="N270" i="5" l="1"/>
  <c r="L336" i="5"/>
  <c r="N191" i="5"/>
  <c r="I482" i="5"/>
  <c r="I468" i="5"/>
  <c r="I486" i="5"/>
  <c r="I478" i="5"/>
  <c r="I487" i="5"/>
  <c r="N415" i="5"/>
  <c r="I480" i="5"/>
  <c r="I475" i="5"/>
  <c r="I484" i="5"/>
  <c r="I467" i="5"/>
  <c r="N271" i="5"/>
  <c r="I477" i="5"/>
  <c r="N416" i="5"/>
  <c r="K338" i="5"/>
  <c r="I479" i="5"/>
  <c r="J341" i="5"/>
  <c r="J486" i="5" s="1"/>
  <c r="J240" i="5"/>
  <c r="K11" i="8"/>
  <c r="L11" i="8"/>
  <c r="I11" i="8"/>
  <c r="H11" i="8"/>
  <c r="F11" i="8"/>
  <c r="M11" i="8"/>
  <c r="J11" i="8"/>
  <c r="G11" i="8"/>
  <c r="G36" i="8"/>
  <c r="G39" i="8" s="1"/>
  <c r="H43" i="30"/>
  <c r="F17" i="30"/>
  <c r="F29" i="30"/>
  <c r="F18" i="30"/>
  <c r="F30" i="30"/>
  <c r="E4" i="30"/>
  <c r="G4" i="30" s="1"/>
  <c r="N125" i="5"/>
  <c r="N126" i="5"/>
  <c r="K264" i="5"/>
  <c r="K409" i="5" s="1"/>
  <c r="G74" i="8"/>
  <c r="G73" i="8"/>
  <c r="G251" i="8" s="1"/>
  <c r="G19" i="27" s="1"/>
  <c r="G243" i="27" s="1"/>
  <c r="F36" i="8"/>
  <c r="J334" i="5"/>
  <c r="J479" i="5" s="1"/>
  <c r="J239" i="5"/>
  <c r="D87" i="20"/>
  <c r="F368" i="5"/>
  <c r="F513" i="5" s="1"/>
  <c r="G190" i="27"/>
  <c r="H190" i="27" s="1"/>
  <c r="I190" i="27" s="1"/>
  <c r="J190" i="27" s="1"/>
  <c r="K190" i="27" s="1"/>
  <c r="L190" i="27" s="1"/>
  <c r="M190" i="27" s="1"/>
  <c r="E60" i="20" s="1"/>
  <c r="I73" i="8"/>
  <c r="I251" i="8" s="1"/>
  <c r="G189" i="27"/>
  <c r="H189" i="27" s="1"/>
  <c r="I189" i="27" s="1"/>
  <c r="J189" i="27" s="1"/>
  <c r="K189" i="27" s="1"/>
  <c r="L189" i="27" s="1"/>
  <c r="M189" i="27" s="1"/>
  <c r="E59" i="20" s="1"/>
  <c r="G202" i="27"/>
  <c r="H202" i="27" s="1"/>
  <c r="I202" i="27" s="1"/>
  <c r="J202" i="27" s="1"/>
  <c r="K202" i="27" s="1"/>
  <c r="L202" i="27" s="1"/>
  <c r="M202" i="27" s="1"/>
  <c r="E72" i="20" s="1"/>
  <c r="G194" i="27"/>
  <c r="H194" i="27" s="1"/>
  <c r="I194" i="27" s="1"/>
  <c r="J194" i="27" s="1"/>
  <c r="K194" i="27" s="1"/>
  <c r="L194" i="27" s="1"/>
  <c r="M194" i="27" s="1"/>
  <c r="E64" i="20" s="1"/>
  <c r="L73" i="8"/>
  <c r="L251" i="8" s="1"/>
  <c r="M73" i="8"/>
  <c r="M251" i="8" s="1"/>
  <c r="K73" i="8"/>
  <c r="K251" i="8" s="1"/>
  <c r="J73" i="8"/>
  <c r="J251" i="8" s="1"/>
  <c r="H73" i="8"/>
  <c r="H251" i="8" s="1"/>
  <c r="N190" i="26"/>
  <c r="M114" i="5"/>
  <c r="M259" i="5" s="1"/>
  <c r="M404" i="5" s="1"/>
  <c r="M178" i="26"/>
  <c r="N178" i="26" s="1"/>
  <c r="L114" i="5"/>
  <c r="G372" i="5"/>
  <c r="G517" i="5" s="1"/>
  <c r="G373" i="5"/>
  <c r="G518" i="5" s="1"/>
  <c r="L36" i="8"/>
  <c r="L91" i="8"/>
  <c r="L86" i="8"/>
  <c r="L92" i="8"/>
  <c r="G356" i="27"/>
  <c r="G301" i="27"/>
  <c r="M36" i="8"/>
  <c r="M92" i="8"/>
  <c r="M91" i="8"/>
  <c r="M86" i="8"/>
  <c r="G369" i="27"/>
  <c r="G314" i="27"/>
  <c r="G357" i="27"/>
  <c r="G302" i="27"/>
  <c r="K36" i="8"/>
  <c r="K39" i="8" s="1"/>
  <c r="J7" i="29" s="1"/>
  <c r="K91" i="8"/>
  <c r="K92" i="8"/>
  <c r="K86" i="8"/>
  <c r="J36" i="8"/>
  <c r="J86" i="8"/>
  <c r="J91" i="8"/>
  <c r="J92" i="8"/>
  <c r="G361" i="27"/>
  <c r="G306" i="27"/>
  <c r="H36" i="8"/>
  <c r="H86" i="8"/>
  <c r="H92" i="8"/>
  <c r="H91" i="8"/>
  <c r="H93" i="8"/>
  <c r="G91" i="8"/>
  <c r="G86" i="8"/>
  <c r="G92" i="8"/>
  <c r="I36" i="8"/>
  <c r="I86" i="8"/>
  <c r="I91" i="8"/>
  <c r="I92" i="8"/>
  <c r="M276" i="27"/>
  <c r="N276" i="27" s="1"/>
  <c r="M386" i="27"/>
  <c r="N386" i="27" s="1"/>
  <c r="M331" i="27"/>
  <c r="N331" i="27" s="1"/>
  <c r="M260" i="27"/>
  <c r="N260" i="27" s="1"/>
  <c r="M370" i="27"/>
  <c r="N370" i="27" s="1"/>
  <c r="M315" i="27"/>
  <c r="N315" i="27" s="1"/>
  <c r="L280" i="27"/>
  <c r="L390" i="27"/>
  <c r="L335" i="27"/>
  <c r="M269" i="27"/>
  <c r="N269" i="27" s="1"/>
  <c r="M324" i="27"/>
  <c r="N324" i="27" s="1"/>
  <c r="M379" i="27"/>
  <c r="N379" i="27" s="1"/>
  <c r="L261" i="27"/>
  <c r="L371" i="27"/>
  <c r="L316" i="27"/>
  <c r="L275" i="27"/>
  <c r="L385" i="27"/>
  <c r="L330" i="27"/>
  <c r="L273" i="27"/>
  <c r="L383" i="27"/>
  <c r="L328" i="27"/>
  <c r="L271" i="27"/>
  <c r="L326" i="27"/>
  <c r="L381" i="27"/>
  <c r="L281" i="27"/>
  <c r="L336" i="27"/>
  <c r="L391" i="27"/>
  <c r="L270" i="27"/>
  <c r="L380" i="27"/>
  <c r="L325" i="27"/>
  <c r="L272" i="27"/>
  <c r="L382" i="27"/>
  <c r="L327" i="27"/>
  <c r="L279" i="27"/>
  <c r="L389" i="27"/>
  <c r="L334" i="27"/>
  <c r="L277" i="27"/>
  <c r="L332" i="27"/>
  <c r="L387" i="27"/>
  <c r="L268" i="27"/>
  <c r="L323" i="27"/>
  <c r="L378" i="27"/>
  <c r="N263" i="26"/>
  <c r="L264" i="5"/>
  <c r="L409" i="5" s="1"/>
  <c r="M264" i="5"/>
  <c r="M409" i="5" s="1"/>
  <c r="K189" i="5"/>
  <c r="K185" i="5"/>
  <c r="K330" i="5" s="1"/>
  <c r="K475" i="5" s="1"/>
  <c r="K192" i="5"/>
  <c r="K196" i="5"/>
  <c r="K194" i="5"/>
  <c r="M193" i="5"/>
  <c r="M338" i="5" s="1"/>
  <c r="M483" i="5" s="1"/>
  <c r="L193" i="5"/>
  <c r="L338" i="5" s="1"/>
  <c r="L483" i="5" s="1"/>
  <c r="L177" i="5"/>
  <c r="L322" i="5" s="1"/>
  <c r="L467" i="5" s="1"/>
  <c r="M177" i="5"/>
  <c r="M322" i="5" s="1"/>
  <c r="M467" i="5" s="1"/>
  <c r="K197" i="5"/>
  <c r="K342" i="5" s="1"/>
  <c r="K487" i="5" s="1"/>
  <c r="M186" i="5"/>
  <c r="M331" i="5" s="1"/>
  <c r="M476" i="5" s="1"/>
  <c r="L186" i="5"/>
  <c r="K178" i="5"/>
  <c r="K188" i="5"/>
  <c r="N70" i="27"/>
  <c r="K343" i="5"/>
  <c r="K488" i="5" s="1"/>
  <c r="K187" i="5"/>
  <c r="K332" i="5" s="1"/>
  <c r="K477" i="5" s="1"/>
  <c r="N126" i="27"/>
  <c r="N141" i="27"/>
  <c r="N75" i="27"/>
  <c r="N116" i="27"/>
  <c r="N78" i="27"/>
  <c r="N132" i="27"/>
  <c r="N62" i="27"/>
  <c r="N143" i="27"/>
  <c r="N83" i="27"/>
  <c r="N77" i="27"/>
  <c r="N129" i="27"/>
  <c r="N124" i="27"/>
  <c r="N65" i="27"/>
  <c r="N86" i="27"/>
  <c r="N73" i="27"/>
  <c r="N82" i="27"/>
  <c r="N76" i="27"/>
  <c r="N121" i="27"/>
  <c r="N69" i="27"/>
  <c r="N118" i="27"/>
  <c r="N66" i="27"/>
  <c r="N71" i="27"/>
  <c r="N128" i="27"/>
  <c r="N140" i="27"/>
  <c r="N72" i="27"/>
  <c r="N89" i="27"/>
  <c r="N137" i="27"/>
  <c r="N131" i="27"/>
  <c r="N68" i="27"/>
  <c r="N122" i="27"/>
  <c r="N117" i="27"/>
  <c r="N119" i="27"/>
  <c r="N88" i="27"/>
  <c r="N135" i="27"/>
  <c r="N81" i="27"/>
  <c r="N120" i="27"/>
  <c r="N130" i="27"/>
  <c r="N85" i="27"/>
  <c r="N125" i="27"/>
  <c r="N142" i="27"/>
  <c r="N74" i="27"/>
  <c r="N123" i="27"/>
  <c r="N87" i="27"/>
  <c r="N64" i="27"/>
  <c r="N136" i="27"/>
  <c r="N134" i="27"/>
  <c r="N80" i="27"/>
  <c r="N84" i="27"/>
  <c r="N139" i="27"/>
  <c r="N127" i="27"/>
  <c r="N79" i="27"/>
  <c r="N133" i="27"/>
  <c r="N63" i="27"/>
  <c r="N67" i="27"/>
  <c r="N138" i="27"/>
  <c r="N36" i="27"/>
  <c r="N99" i="26"/>
  <c r="N95" i="26"/>
  <c r="N115" i="26"/>
  <c r="N93" i="26"/>
  <c r="N54" i="26"/>
  <c r="N89" i="26"/>
  <c r="N50" i="26"/>
  <c r="N98" i="26"/>
  <c r="N59" i="26"/>
  <c r="N76" i="26"/>
  <c r="N113" i="26"/>
  <c r="N74" i="26"/>
  <c r="N88" i="26"/>
  <c r="N49" i="26"/>
  <c r="N103" i="26"/>
  <c r="N25" i="26"/>
  <c r="N64" i="26"/>
  <c r="N86" i="26"/>
  <c r="N47" i="26"/>
  <c r="N68" i="26"/>
  <c r="N107" i="26"/>
  <c r="N67" i="26"/>
  <c r="N106" i="26"/>
  <c r="N111" i="26"/>
  <c r="N72" i="26"/>
  <c r="N24" i="26"/>
  <c r="N102" i="26"/>
  <c r="N63" i="26"/>
  <c r="N104" i="26"/>
  <c r="N65" i="26"/>
  <c r="I98" i="8"/>
  <c r="I106" i="8"/>
  <c r="I94" i="8"/>
  <c r="I74" i="8"/>
  <c r="I102" i="8"/>
  <c r="I97" i="8"/>
  <c r="I103" i="8"/>
  <c r="I93" i="8"/>
  <c r="I101" i="8"/>
  <c r="I104" i="8"/>
  <c r="I99" i="8"/>
  <c r="I105" i="8"/>
  <c r="I100" i="8"/>
  <c r="L105" i="8"/>
  <c r="L101" i="8"/>
  <c r="L104" i="8"/>
  <c r="L94" i="8"/>
  <c r="L74" i="8"/>
  <c r="L100" i="8"/>
  <c r="L103" i="8"/>
  <c r="L98" i="8"/>
  <c r="L93" i="8"/>
  <c r="L106" i="8"/>
  <c r="L99" i="8"/>
  <c r="L102" i="8"/>
  <c r="L97" i="8"/>
  <c r="M100" i="8"/>
  <c r="M106" i="8"/>
  <c r="M99" i="8"/>
  <c r="M94" i="8"/>
  <c r="M105" i="8"/>
  <c r="M103" i="8"/>
  <c r="M98" i="8"/>
  <c r="M93" i="8"/>
  <c r="M101" i="8"/>
  <c r="M104" i="8"/>
  <c r="M74" i="8"/>
  <c r="M97" i="8"/>
  <c r="M102" i="8"/>
  <c r="K100" i="8"/>
  <c r="K98" i="8"/>
  <c r="K104" i="8"/>
  <c r="K99" i="8"/>
  <c r="K74" i="8"/>
  <c r="K103" i="8"/>
  <c r="K93" i="8"/>
  <c r="K106" i="8"/>
  <c r="K101" i="8"/>
  <c r="K94" i="8"/>
  <c r="K102" i="8"/>
  <c r="K105" i="8"/>
  <c r="K97" i="8"/>
  <c r="J93" i="8"/>
  <c r="J99" i="8"/>
  <c r="J94" i="8"/>
  <c r="J74" i="8"/>
  <c r="J102" i="8"/>
  <c r="J103" i="8"/>
  <c r="J98" i="8"/>
  <c r="J106" i="8"/>
  <c r="J101" i="8"/>
  <c r="J104" i="8"/>
  <c r="J97" i="8"/>
  <c r="J100" i="8"/>
  <c r="J105" i="8"/>
  <c r="H103" i="8"/>
  <c r="H101" i="8"/>
  <c r="H99" i="8"/>
  <c r="H74" i="8"/>
  <c r="H97" i="8"/>
  <c r="H105" i="8"/>
  <c r="H98" i="8"/>
  <c r="H106" i="8"/>
  <c r="H104" i="8"/>
  <c r="H94" i="8"/>
  <c r="H102" i="8"/>
  <c r="H100" i="8"/>
  <c r="G98" i="8"/>
  <c r="G106" i="8"/>
  <c r="G101" i="8"/>
  <c r="G94" i="8"/>
  <c r="G102" i="8"/>
  <c r="G97" i="8"/>
  <c r="G105" i="8"/>
  <c r="G100" i="8"/>
  <c r="G93" i="8"/>
  <c r="G104" i="8"/>
  <c r="G99" i="8"/>
  <c r="G103" i="8"/>
  <c r="L61" i="8"/>
  <c r="M61" i="8"/>
  <c r="K61" i="8"/>
  <c r="J61" i="8"/>
  <c r="H61" i="8"/>
  <c r="G61" i="8"/>
  <c r="I61" i="8"/>
  <c r="K483" i="5" l="1"/>
  <c r="N483" i="5" s="1"/>
  <c r="N338" i="5"/>
  <c r="L481" i="5"/>
  <c r="N481" i="5" s="1"/>
  <c r="N336" i="5"/>
  <c r="N177" i="5"/>
  <c r="N322" i="5"/>
  <c r="N467" i="5"/>
  <c r="K333" i="5"/>
  <c r="K323" i="5"/>
  <c r="L331" i="5"/>
  <c r="N186" i="5"/>
  <c r="N193" i="5"/>
  <c r="K341" i="5"/>
  <c r="K240" i="5"/>
  <c r="M62" i="8"/>
  <c r="J62" i="8"/>
  <c r="H62" i="8"/>
  <c r="G62" i="8"/>
  <c r="I62" i="8"/>
  <c r="L62" i="8"/>
  <c r="K62" i="8"/>
  <c r="F37" i="8"/>
  <c r="F39" i="8"/>
  <c r="I43" i="30"/>
  <c r="E20" i="30"/>
  <c r="E25" i="30"/>
  <c r="E13" i="30"/>
  <c r="E33" i="30"/>
  <c r="K337" i="5"/>
  <c r="L259" i="5"/>
  <c r="N114" i="5"/>
  <c r="K339" i="5"/>
  <c r="N119" i="5"/>
  <c r="G89" i="8"/>
  <c r="G256" i="8" s="1"/>
  <c r="I89" i="8"/>
  <c r="I257" i="8" s="1"/>
  <c r="M89" i="8"/>
  <c r="M257" i="8" s="1"/>
  <c r="M25" i="27" s="1"/>
  <c r="K89" i="8"/>
  <c r="K257" i="8" s="1"/>
  <c r="K25" i="27" s="1"/>
  <c r="H39" i="8"/>
  <c r="G7" i="29" s="1"/>
  <c r="G11" i="29" s="1"/>
  <c r="G13" i="29" s="1"/>
  <c r="H169" i="5" s="1"/>
  <c r="H89" i="8"/>
  <c r="J39" i="8"/>
  <c r="I7" i="29" s="1"/>
  <c r="I11" i="29" s="1"/>
  <c r="I13" i="29" s="1"/>
  <c r="J169" i="5" s="1"/>
  <c r="J89" i="8"/>
  <c r="L37" i="8"/>
  <c r="L89" i="8"/>
  <c r="G87" i="8"/>
  <c r="G37" i="8"/>
  <c r="K334" i="5"/>
  <c r="K479" i="5" s="1"/>
  <c r="K239" i="5"/>
  <c r="D73" i="20"/>
  <c r="D89" i="20"/>
  <c r="D82" i="20"/>
  <c r="J262" i="8"/>
  <c r="J30" i="27" s="1"/>
  <c r="J253" i="8"/>
  <c r="J21" i="27" s="1"/>
  <c r="J244" i="8"/>
  <c r="J12" i="27" s="1"/>
  <c r="J252" i="8"/>
  <c r="J20" i="27" s="1"/>
  <c r="J241" i="8"/>
  <c r="J9" i="27" s="1"/>
  <c r="J247" i="8"/>
  <c r="J15" i="27" s="1"/>
  <c r="J246" i="8"/>
  <c r="J14" i="27" s="1"/>
  <c r="J243" i="8"/>
  <c r="J11" i="27" s="1"/>
  <c r="J261" i="8"/>
  <c r="J29" i="27" s="1"/>
  <c r="J248" i="8"/>
  <c r="J16" i="27" s="1"/>
  <c r="J245" i="8"/>
  <c r="J13" i="27" s="1"/>
  <c r="J242" i="8"/>
  <c r="J10" i="27" s="1"/>
  <c r="J250" i="8"/>
  <c r="J18" i="27" s="1"/>
  <c r="J249" i="8"/>
  <c r="J17" i="27" s="1"/>
  <c r="J263" i="8"/>
  <c r="J31" i="27" s="1"/>
  <c r="J218" i="8"/>
  <c r="J22" i="26" s="1"/>
  <c r="J232" i="8"/>
  <c r="J36" i="26" s="1"/>
  <c r="J205" i="8"/>
  <c r="J9" i="26" s="1"/>
  <c r="J222" i="8"/>
  <c r="J26" i="26" s="1"/>
  <c r="J230" i="8"/>
  <c r="J34" i="26" s="1"/>
  <c r="J236" i="8"/>
  <c r="J40" i="26" s="1"/>
  <c r="J225" i="8"/>
  <c r="J29" i="26" s="1"/>
  <c r="J237" i="8"/>
  <c r="J41" i="26" s="1"/>
  <c r="J207" i="8"/>
  <c r="J11" i="26" s="1"/>
  <c r="J229" i="8"/>
  <c r="J33" i="26" s="1"/>
  <c r="J227" i="8"/>
  <c r="J31" i="26" s="1"/>
  <c r="J226" i="8"/>
  <c r="J30" i="26" s="1"/>
  <c r="J215" i="8"/>
  <c r="J19" i="26" s="1"/>
  <c r="J223" i="8"/>
  <c r="J27" i="26" s="1"/>
  <c r="J234" i="8"/>
  <c r="J38" i="26" s="1"/>
  <c r="J233" i="8"/>
  <c r="J37" i="26" s="1"/>
  <c r="J208" i="8"/>
  <c r="J12" i="26" s="1"/>
  <c r="J231" i="8"/>
  <c r="J35" i="26" s="1"/>
  <c r="J235" i="8"/>
  <c r="J39" i="26" s="1"/>
  <c r="J228" i="8"/>
  <c r="J32" i="26" s="1"/>
  <c r="J216" i="8"/>
  <c r="J20" i="26" s="1"/>
  <c r="J206" i="8"/>
  <c r="J10" i="26" s="1"/>
  <c r="J219" i="8"/>
  <c r="J23" i="26" s="1"/>
  <c r="J224" i="8"/>
  <c r="J28" i="26" s="1"/>
  <c r="J204" i="8"/>
  <c r="J8" i="26" s="1"/>
  <c r="J217" i="8"/>
  <c r="J21" i="26" s="1"/>
  <c r="J203" i="8"/>
  <c r="J7" i="26" s="1"/>
  <c r="J240" i="8"/>
  <c r="J8" i="27" s="1"/>
  <c r="J271" i="8"/>
  <c r="J39" i="27" s="1"/>
  <c r="J270" i="8"/>
  <c r="J38" i="27" s="1"/>
  <c r="J273" i="8"/>
  <c r="J41" i="27" s="1"/>
  <c r="J272" i="8"/>
  <c r="J40" i="27" s="1"/>
  <c r="J274" i="8"/>
  <c r="J42" i="27" s="1"/>
  <c r="J275" i="8"/>
  <c r="J43" i="27" s="1"/>
  <c r="I244" i="8"/>
  <c r="I12" i="27" s="1"/>
  <c r="I246" i="8"/>
  <c r="I14" i="27" s="1"/>
  <c r="I252" i="8"/>
  <c r="I20" i="27" s="1"/>
  <c r="I241" i="8"/>
  <c r="I9" i="27" s="1"/>
  <c r="I249" i="8"/>
  <c r="I17" i="27" s="1"/>
  <c r="I248" i="8"/>
  <c r="I16" i="27" s="1"/>
  <c r="I253" i="8"/>
  <c r="I21" i="27" s="1"/>
  <c r="I250" i="8"/>
  <c r="I18" i="27" s="1"/>
  <c r="I261" i="8"/>
  <c r="I29" i="27" s="1"/>
  <c r="I247" i="8"/>
  <c r="I15" i="27" s="1"/>
  <c r="I263" i="8"/>
  <c r="I31" i="27" s="1"/>
  <c r="I262" i="8"/>
  <c r="I30" i="27" s="1"/>
  <c r="I243" i="8"/>
  <c r="I11" i="27" s="1"/>
  <c r="I245" i="8"/>
  <c r="I13" i="27" s="1"/>
  <c r="I242" i="8"/>
  <c r="I10" i="27" s="1"/>
  <c r="I222" i="8"/>
  <c r="I26" i="26" s="1"/>
  <c r="I225" i="8"/>
  <c r="I29" i="26" s="1"/>
  <c r="I229" i="8"/>
  <c r="I33" i="26" s="1"/>
  <c r="I219" i="8"/>
  <c r="I23" i="26" s="1"/>
  <c r="I226" i="8"/>
  <c r="I30" i="26" s="1"/>
  <c r="I208" i="8"/>
  <c r="I12" i="26" s="1"/>
  <c r="I236" i="8"/>
  <c r="I40" i="26" s="1"/>
  <c r="I206" i="8"/>
  <c r="I10" i="26" s="1"/>
  <c r="I204" i="8"/>
  <c r="I8" i="26" s="1"/>
  <c r="I218" i="8"/>
  <c r="I22" i="26" s="1"/>
  <c r="I234" i="8"/>
  <c r="I38" i="26" s="1"/>
  <c r="I230" i="8"/>
  <c r="I34" i="26" s="1"/>
  <c r="I205" i="8"/>
  <c r="I9" i="26" s="1"/>
  <c r="I227" i="8"/>
  <c r="I31" i="26" s="1"/>
  <c r="I233" i="8"/>
  <c r="I37" i="26" s="1"/>
  <c r="I215" i="8"/>
  <c r="I19" i="26" s="1"/>
  <c r="I235" i="8"/>
  <c r="I39" i="26" s="1"/>
  <c r="I231" i="8"/>
  <c r="I35" i="26" s="1"/>
  <c r="I223" i="8"/>
  <c r="I27" i="26" s="1"/>
  <c r="I216" i="8"/>
  <c r="I20" i="26" s="1"/>
  <c r="I228" i="8"/>
  <c r="I32" i="26" s="1"/>
  <c r="I224" i="8"/>
  <c r="I28" i="26" s="1"/>
  <c r="I237" i="8"/>
  <c r="I41" i="26" s="1"/>
  <c r="I232" i="8"/>
  <c r="I36" i="26" s="1"/>
  <c r="I217" i="8"/>
  <c r="I21" i="26" s="1"/>
  <c r="I207" i="8"/>
  <c r="I11" i="26" s="1"/>
  <c r="I203" i="8"/>
  <c r="I7" i="26" s="1"/>
  <c r="I240" i="8"/>
  <c r="I8" i="27" s="1"/>
  <c r="K271" i="8"/>
  <c r="K39" i="27" s="1"/>
  <c r="K270" i="8"/>
  <c r="K38" i="27" s="1"/>
  <c r="K275" i="8"/>
  <c r="K43" i="27" s="1"/>
  <c r="K272" i="8"/>
  <c r="K40" i="27" s="1"/>
  <c r="K274" i="8"/>
  <c r="K42" i="27" s="1"/>
  <c r="K273" i="8"/>
  <c r="K41" i="27" s="1"/>
  <c r="G274" i="8"/>
  <c r="G272" i="8"/>
  <c r="G270" i="8"/>
  <c r="G275" i="8"/>
  <c r="G273" i="8"/>
  <c r="G271" i="8"/>
  <c r="M246" i="8"/>
  <c r="M14" i="27" s="1"/>
  <c r="M263" i="8"/>
  <c r="M31" i="27" s="1"/>
  <c r="M262" i="8"/>
  <c r="M30" i="27" s="1"/>
  <c r="M248" i="8"/>
  <c r="M16" i="27" s="1"/>
  <c r="M253" i="8"/>
  <c r="M21" i="27" s="1"/>
  <c r="M261" i="8"/>
  <c r="M29" i="27" s="1"/>
  <c r="M252" i="8"/>
  <c r="M20" i="27" s="1"/>
  <c r="M249" i="8"/>
  <c r="M17" i="27" s="1"/>
  <c r="M244" i="8"/>
  <c r="M12" i="27" s="1"/>
  <c r="M241" i="8"/>
  <c r="M9" i="27" s="1"/>
  <c r="M247" i="8"/>
  <c r="M15" i="27" s="1"/>
  <c r="M243" i="8"/>
  <c r="M11" i="27" s="1"/>
  <c r="M250" i="8"/>
  <c r="M18" i="27" s="1"/>
  <c r="M245" i="8"/>
  <c r="M13" i="27" s="1"/>
  <c r="M242" i="8"/>
  <c r="M10" i="27" s="1"/>
  <c r="M237" i="8"/>
  <c r="M41" i="26" s="1"/>
  <c r="M217" i="8"/>
  <c r="M21" i="26" s="1"/>
  <c r="M207" i="8"/>
  <c r="M11" i="26" s="1"/>
  <c r="M228" i="8"/>
  <c r="M32" i="26" s="1"/>
  <c r="M208" i="8"/>
  <c r="M12" i="26" s="1"/>
  <c r="M231" i="8"/>
  <c r="M35" i="26" s="1"/>
  <c r="M236" i="8"/>
  <c r="M40" i="26" s="1"/>
  <c r="M224" i="8"/>
  <c r="M28" i="26" s="1"/>
  <c r="M222" i="8"/>
  <c r="M26" i="26" s="1"/>
  <c r="M218" i="8"/>
  <c r="M22" i="26" s="1"/>
  <c r="M215" i="8"/>
  <c r="M19" i="26" s="1"/>
  <c r="M205" i="8"/>
  <c r="M9" i="26" s="1"/>
  <c r="M232" i="8"/>
  <c r="M36" i="26" s="1"/>
  <c r="M227" i="8"/>
  <c r="M31" i="26" s="1"/>
  <c r="M230" i="8"/>
  <c r="M34" i="26" s="1"/>
  <c r="M226" i="8"/>
  <c r="M30" i="26" s="1"/>
  <c r="M229" i="8"/>
  <c r="M33" i="26" s="1"/>
  <c r="M233" i="8"/>
  <c r="M37" i="26" s="1"/>
  <c r="M223" i="8"/>
  <c r="M27" i="26" s="1"/>
  <c r="M234" i="8"/>
  <c r="M38" i="26" s="1"/>
  <c r="M204" i="8"/>
  <c r="M8" i="26" s="1"/>
  <c r="M235" i="8"/>
  <c r="M39" i="26" s="1"/>
  <c r="M206" i="8"/>
  <c r="M10" i="26" s="1"/>
  <c r="M216" i="8"/>
  <c r="M20" i="26" s="1"/>
  <c r="M219" i="8"/>
  <c r="M23" i="26" s="1"/>
  <c r="M225" i="8"/>
  <c r="M29" i="26" s="1"/>
  <c r="M240" i="8"/>
  <c r="M8" i="27" s="1"/>
  <c r="M203" i="8"/>
  <c r="M7" i="26" s="1"/>
  <c r="L263" i="8"/>
  <c r="L31" i="27" s="1"/>
  <c r="L248" i="8"/>
  <c r="L16" i="27" s="1"/>
  <c r="L250" i="8"/>
  <c r="L18" i="27" s="1"/>
  <c r="L253" i="8"/>
  <c r="L21" i="27" s="1"/>
  <c r="L249" i="8"/>
  <c r="L17" i="27" s="1"/>
  <c r="L244" i="8"/>
  <c r="L12" i="27" s="1"/>
  <c r="L252" i="8"/>
  <c r="L20" i="27" s="1"/>
  <c r="L241" i="8"/>
  <c r="L9" i="27" s="1"/>
  <c r="L246" i="8"/>
  <c r="L14" i="27" s="1"/>
  <c r="L247" i="8"/>
  <c r="L15" i="27" s="1"/>
  <c r="L262" i="8"/>
  <c r="L30" i="27" s="1"/>
  <c r="L243" i="8"/>
  <c r="L11" i="27" s="1"/>
  <c r="L261" i="8"/>
  <c r="L29" i="27" s="1"/>
  <c r="L242" i="8"/>
  <c r="L10" i="27" s="1"/>
  <c r="L245" i="8"/>
  <c r="L13" i="27" s="1"/>
  <c r="L217" i="8"/>
  <c r="L21" i="26" s="1"/>
  <c r="L224" i="8"/>
  <c r="L28" i="26" s="1"/>
  <c r="L218" i="8"/>
  <c r="L22" i="26" s="1"/>
  <c r="L215" i="8"/>
  <c r="L19" i="26" s="1"/>
  <c r="L231" i="8"/>
  <c r="L35" i="26" s="1"/>
  <c r="L208" i="8"/>
  <c r="L12" i="26" s="1"/>
  <c r="L236" i="8"/>
  <c r="L40" i="26" s="1"/>
  <c r="L219" i="8"/>
  <c r="L23" i="26" s="1"/>
  <c r="L232" i="8"/>
  <c r="L36" i="26" s="1"/>
  <c r="L205" i="8"/>
  <c r="L9" i="26" s="1"/>
  <c r="L226" i="8"/>
  <c r="L30" i="26" s="1"/>
  <c r="L207" i="8"/>
  <c r="L11" i="26" s="1"/>
  <c r="L229" i="8"/>
  <c r="L33" i="26" s="1"/>
  <c r="L234" i="8"/>
  <c r="L38" i="26" s="1"/>
  <c r="L233" i="8"/>
  <c r="L37" i="26" s="1"/>
  <c r="L223" i="8"/>
  <c r="L27" i="26" s="1"/>
  <c r="L228" i="8"/>
  <c r="L32" i="26" s="1"/>
  <c r="L230" i="8"/>
  <c r="L34" i="26" s="1"/>
  <c r="L227" i="8"/>
  <c r="L31" i="26" s="1"/>
  <c r="L235" i="8"/>
  <c r="L39" i="26" s="1"/>
  <c r="L206" i="8"/>
  <c r="L10" i="26" s="1"/>
  <c r="L216" i="8"/>
  <c r="L20" i="26" s="1"/>
  <c r="L222" i="8"/>
  <c r="L26" i="26" s="1"/>
  <c r="L204" i="8"/>
  <c r="L8" i="26" s="1"/>
  <c r="L225" i="8"/>
  <c r="L29" i="26" s="1"/>
  <c r="L237" i="8"/>
  <c r="L41" i="26" s="1"/>
  <c r="L203" i="8"/>
  <c r="L7" i="26" s="1"/>
  <c r="L240" i="8"/>
  <c r="L8" i="27" s="1"/>
  <c r="L274" i="8"/>
  <c r="L42" i="27" s="1"/>
  <c r="L273" i="8"/>
  <c r="L41" i="27" s="1"/>
  <c r="L271" i="8"/>
  <c r="L39" i="27" s="1"/>
  <c r="L270" i="8"/>
  <c r="L38" i="27" s="1"/>
  <c r="L275" i="8"/>
  <c r="L43" i="27" s="1"/>
  <c r="L272" i="8"/>
  <c r="L40" i="27" s="1"/>
  <c r="G247" i="8"/>
  <c r="G15" i="27" s="1"/>
  <c r="G182" i="27" s="1"/>
  <c r="G244" i="8"/>
  <c r="G12" i="27" s="1"/>
  <c r="G179" i="27" s="1"/>
  <c r="G243" i="8"/>
  <c r="G11" i="27" s="1"/>
  <c r="G178" i="27" s="1"/>
  <c r="G253" i="8"/>
  <c r="G241" i="8"/>
  <c r="G9" i="27" s="1"/>
  <c r="G176" i="27" s="1"/>
  <c r="G249" i="8"/>
  <c r="G17" i="27" s="1"/>
  <c r="G184" i="27" s="1"/>
  <c r="G263" i="8"/>
  <c r="G31" i="27" s="1"/>
  <c r="G198" i="27" s="1"/>
  <c r="G262" i="8"/>
  <c r="G30" i="27" s="1"/>
  <c r="G197" i="27" s="1"/>
  <c r="G246" i="8"/>
  <c r="G14" i="27" s="1"/>
  <c r="G181" i="27" s="1"/>
  <c r="G248" i="8"/>
  <c r="G16" i="27" s="1"/>
  <c r="G183" i="27" s="1"/>
  <c r="G242" i="8"/>
  <c r="G10" i="27" s="1"/>
  <c r="G177" i="27" s="1"/>
  <c r="G261" i="8"/>
  <c r="G29" i="27" s="1"/>
  <c r="G196" i="27" s="1"/>
  <c r="G250" i="8"/>
  <c r="G18" i="27" s="1"/>
  <c r="G185" i="27" s="1"/>
  <c r="G252" i="8"/>
  <c r="G20" i="27" s="1"/>
  <c r="G187" i="27" s="1"/>
  <c r="G245" i="8"/>
  <c r="G13" i="27" s="1"/>
  <c r="G180" i="27" s="1"/>
  <c r="G207" i="8"/>
  <c r="G230" i="8"/>
  <c r="G217" i="8"/>
  <c r="G222" i="8"/>
  <c r="G229" i="8"/>
  <c r="G237" i="8"/>
  <c r="G234" i="8"/>
  <c r="G218" i="8"/>
  <c r="G205" i="8"/>
  <c r="G227" i="8"/>
  <c r="G215" i="8"/>
  <c r="G208" i="8"/>
  <c r="G235" i="8"/>
  <c r="G206" i="8"/>
  <c r="G223" i="8"/>
  <c r="G216" i="8"/>
  <c r="G228" i="8"/>
  <c r="G233" i="8"/>
  <c r="G204" i="8"/>
  <c r="G224" i="8"/>
  <c r="G231" i="8"/>
  <c r="G225" i="8"/>
  <c r="G236" i="8"/>
  <c r="G226" i="8"/>
  <c r="G232" i="8"/>
  <c r="G219" i="8"/>
  <c r="G203" i="8"/>
  <c r="G240" i="8"/>
  <c r="K262" i="8"/>
  <c r="K30" i="27" s="1"/>
  <c r="K253" i="8"/>
  <c r="K21" i="27" s="1"/>
  <c r="K263" i="8"/>
  <c r="K31" i="27" s="1"/>
  <c r="K249" i="8"/>
  <c r="K17" i="27" s="1"/>
  <c r="K244" i="8"/>
  <c r="K12" i="27" s="1"/>
  <c r="K252" i="8"/>
  <c r="K20" i="27" s="1"/>
  <c r="K241" i="8"/>
  <c r="K9" i="27" s="1"/>
  <c r="K247" i="8"/>
  <c r="K15" i="27" s="1"/>
  <c r="K246" i="8"/>
  <c r="K14" i="27" s="1"/>
  <c r="K243" i="8"/>
  <c r="K11" i="27" s="1"/>
  <c r="K261" i="8"/>
  <c r="K29" i="27" s="1"/>
  <c r="K248" i="8"/>
  <c r="K16" i="27" s="1"/>
  <c r="K245" i="8"/>
  <c r="K13" i="27" s="1"/>
  <c r="K242" i="8"/>
  <c r="K10" i="27" s="1"/>
  <c r="K250" i="8"/>
  <c r="K18" i="27" s="1"/>
  <c r="K226" i="8"/>
  <c r="K30" i="26" s="1"/>
  <c r="K232" i="8"/>
  <c r="K36" i="26" s="1"/>
  <c r="K205" i="8"/>
  <c r="K9" i="26" s="1"/>
  <c r="K228" i="8"/>
  <c r="K32" i="26" s="1"/>
  <c r="K230" i="8"/>
  <c r="K34" i="26" s="1"/>
  <c r="K231" i="8"/>
  <c r="K35" i="26" s="1"/>
  <c r="K235" i="8"/>
  <c r="K39" i="26" s="1"/>
  <c r="K236" i="8"/>
  <c r="K40" i="26" s="1"/>
  <c r="K216" i="8"/>
  <c r="K20" i="26" s="1"/>
  <c r="K206" i="8"/>
  <c r="K10" i="26" s="1"/>
  <c r="K219" i="8"/>
  <c r="K23" i="26" s="1"/>
  <c r="K225" i="8"/>
  <c r="K29" i="26" s="1"/>
  <c r="K222" i="8"/>
  <c r="K26" i="26" s="1"/>
  <c r="K218" i="8"/>
  <c r="K22" i="26" s="1"/>
  <c r="K207" i="8"/>
  <c r="K11" i="26" s="1"/>
  <c r="K229" i="8"/>
  <c r="K33" i="26" s="1"/>
  <c r="K215" i="8"/>
  <c r="K19" i="26" s="1"/>
  <c r="K223" i="8"/>
  <c r="K27" i="26" s="1"/>
  <c r="K234" i="8"/>
  <c r="K38" i="26" s="1"/>
  <c r="K227" i="8"/>
  <c r="K31" i="26" s="1"/>
  <c r="K233" i="8"/>
  <c r="K37" i="26" s="1"/>
  <c r="K208" i="8"/>
  <c r="K12" i="26" s="1"/>
  <c r="K204" i="8"/>
  <c r="K8" i="26" s="1"/>
  <c r="K237" i="8"/>
  <c r="K41" i="26" s="1"/>
  <c r="K217" i="8"/>
  <c r="K21" i="26" s="1"/>
  <c r="K224" i="8"/>
  <c r="K28" i="26" s="1"/>
  <c r="K203" i="8"/>
  <c r="K7" i="26" s="1"/>
  <c r="K240" i="8"/>
  <c r="K8" i="27" s="1"/>
  <c r="H275" i="8"/>
  <c r="H43" i="27" s="1"/>
  <c r="H274" i="8"/>
  <c r="H42" i="27" s="1"/>
  <c r="H270" i="8"/>
  <c r="H38" i="27" s="1"/>
  <c r="H272" i="8"/>
  <c r="H40" i="27" s="1"/>
  <c r="H273" i="8"/>
  <c r="H41" i="27" s="1"/>
  <c r="H271" i="8"/>
  <c r="H39" i="27" s="1"/>
  <c r="M275" i="8"/>
  <c r="M43" i="27" s="1"/>
  <c r="M274" i="8"/>
  <c r="M42" i="27" s="1"/>
  <c r="M273" i="8"/>
  <c r="M41" i="27" s="1"/>
  <c r="M270" i="8"/>
  <c r="M38" i="27" s="1"/>
  <c r="M271" i="8"/>
  <c r="M39" i="27" s="1"/>
  <c r="M272" i="8"/>
  <c r="M40" i="27" s="1"/>
  <c r="H252" i="8"/>
  <c r="H20" i="27" s="1"/>
  <c r="H241" i="8"/>
  <c r="H9" i="27" s="1"/>
  <c r="H249" i="8"/>
  <c r="H17" i="27" s="1"/>
  <c r="H245" i="8"/>
  <c r="H13" i="27" s="1"/>
  <c r="H247" i="8"/>
  <c r="H15" i="27" s="1"/>
  <c r="H253" i="8"/>
  <c r="H21" i="27" s="1"/>
  <c r="H250" i="8"/>
  <c r="H18" i="27" s="1"/>
  <c r="H261" i="8"/>
  <c r="H29" i="27" s="1"/>
  <c r="H244" i="8"/>
  <c r="H12" i="27" s="1"/>
  <c r="H263" i="8"/>
  <c r="H31" i="27" s="1"/>
  <c r="H262" i="8"/>
  <c r="H30" i="27" s="1"/>
  <c r="H243" i="8"/>
  <c r="H11" i="27" s="1"/>
  <c r="H248" i="8"/>
  <c r="H16" i="27" s="1"/>
  <c r="H242" i="8"/>
  <c r="H10" i="27" s="1"/>
  <c r="H246" i="8"/>
  <c r="H14" i="27" s="1"/>
  <c r="H229" i="8"/>
  <c r="H33" i="26" s="1"/>
  <c r="H219" i="8"/>
  <c r="H23" i="26" s="1"/>
  <c r="H237" i="8"/>
  <c r="H41" i="26" s="1"/>
  <c r="H228" i="8"/>
  <c r="H32" i="26" s="1"/>
  <c r="H236" i="8"/>
  <c r="H40" i="26" s="1"/>
  <c r="H230" i="8"/>
  <c r="H34" i="26" s="1"/>
  <c r="H234" i="8"/>
  <c r="H38" i="26" s="1"/>
  <c r="H218" i="8"/>
  <c r="H22" i="26" s="1"/>
  <c r="H205" i="8"/>
  <c r="H9" i="26" s="1"/>
  <c r="H227" i="8"/>
  <c r="H31" i="26" s="1"/>
  <c r="H215" i="8"/>
  <c r="H19" i="26" s="1"/>
  <c r="H208" i="8"/>
  <c r="H12" i="26" s="1"/>
  <c r="H235" i="8"/>
  <c r="H39" i="26" s="1"/>
  <c r="H231" i="8"/>
  <c r="H35" i="26" s="1"/>
  <c r="H223" i="8"/>
  <c r="H27" i="26" s="1"/>
  <c r="H216" i="8"/>
  <c r="H20" i="26" s="1"/>
  <c r="H206" i="8"/>
  <c r="H10" i="26" s="1"/>
  <c r="H233" i="8"/>
  <c r="H37" i="26" s="1"/>
  <c r="H204" i="8"/>
  <c r="H8" i="26" s="1"/>
  <c r="H225" i="8"/>
  <c r="H29" i="26" s="1"/>
  <c r="H217" i="8"/>
  <c r="H21" i="26" s="1"/>
  <c r="H232" i="8"/>
  <c r="H36" i="26" s="1"/>
  <c r="H207" i="8"/>
  <c r="H11" i="26" s="1"/>
  <c r="H224" i="8"/>
  <c r="H28" i="26" s="1"/>
  <c r="H222" i="8"/>
  <c r="H26" i="26" s="1"/>
  <c r="H226" i="8"/>
  <c r="H30" i="26" s="1"/>
  <c r="H203" i="8"/>
  <c r="H7" i="26" s="1"/>
  <c r="H240" i="8"/>
  <c r="H8" i="27" s="1"/>
  <c r="I273" i="8"/>
  <c r="I41" i="27" s="1"/>
  <c r="I272" i="8"/>
  <c r="I40" i="27" s="1"/>
  <c r="I275" i="8"/>
  <c r="I43" i="27" s="1"/>
  <c r="I274" i="8"/>
  <c r="I42" i="27" s="1"/>
  <c r="I270" i="8"/>
  <c r="I38" i="27" s="1"/>
  <c r="I271" i="8"/>
  <c r="I39" i="27" s="1"/>
  <c r="J37" i="8"/>
  <c r="L39" i="8"/>
  <c r="K7" i="29" s="1"/>
  <c r="L79" i="8"/>
  <c r="L34" i="27" s="1"/>
  <c r="M78" i="8"/>
  <c r="H37" i="8"/>
  <c r="L80" i="8"/>
  <c r="I84" i="8"/>
  <c r="L81" i="8"/>
  <c r="M37" i="8"/>
  <c r="K87" i="8"/>
  <c r="K84" i="8"/>
  <c r="M39" i="8"/>
  <c r="L7" i="29" s="1"/>
  <c r="K83" i="8"/>
  <c r="M80" i="8"/>
  <c r="K82" i="8"/>
  <c r="H84" i="8"/>
  <c r="M75" i="8"/>
  <c r="M79" i="8"/>
  <c r="M34" i="27" s="1"/>
  <c r="M81" i="8"/>
  <c r="M82" i="8"/>
  <c r="K76" i="8"/>
  <c r="J82" i="8"/>
  <c r="K75" i="8"/>
  <c r="I83" i="8"/>
  <c r="I85" i="8"/>
  <c r="L76" i="8"/>
  <c r="I77" i="8"/>
  <c r="I75" i="8"/>
  <c r="I79" i="8"/>
  <c r="I34" i="27" s="1"/>
  <c r="J81" i="8"/>
  <c r="I80" i="8"/>
  <c r="I37" i="8"/>
  <c r="I39" i="8"/>
  <c r="J83" i="8"/>
  <c r="I81" i="8"/>
  <c r="L87" i="8"/>
  <c r="J76" i="8"/>
  <c r="J87" i="8"/>
  <c r="K79" i="8"/>
  <c r="K34" i="27" s="1"/>
  <c r="L84" i="8"/>
  <c r="J78" i="8"/>
  <c r="M83" i="8"/>
  <c r="M84" i="8"/>
  <c r="L78" i="8"/>
  <c r="I78" i="8"/>
  <c r="M76" i="8"/>
  <c r="G83" i="8"/>
  <c r="M85" i="8"/>
  <c r="J85" i="8"/>
  <c r="J80" i="8"/>
  <c r="K78" i="8"/>
  <c r="K37" i="8"/>
  <c r="L82" i="8"/>
  <c r="K85" i="8"/>
  <c r="I87" i="8"/>
  <c r="J77" i="8"/>
  <c r="I76" i="8"/>
  <c r="L77" i="8"/>
  <c r="J75" i="8"/>
  <c r="M87" i="8"/>
  <c r="L85" i="8"/>
  <c r="J79" i="8"/>
  <c r="J34" i="27" s="1"/>
  <c r="M77" i="8"/>
  <c r="L75" i="8"/>
  <c r="K77" i="8"/>
  <c r="L83" i="8"/>
  <c r="J84" i="8"/>
  <c r="J11" i="29"/>
  <c r="J13" i="29" s="1"/>
  <c r="K169" i="5" s="1"/>
  <c r="I82" i="8"/>
  <c r="K80" i="8"/>
  <c r="K81" i="8"/>
  <c r="H259" i="27"/>
  <c r="H369" i="27"/>
  <c r="H314" i="27"/>
  <c r="M261" i="27"/>
  <c r="N261" i="27" s="1"/>
  <c r="M371" i="27"/>
  <c r="N371" i="27" s="1"/>
  <c r="M316" i="27"/>
  <c r="N316" i="27" s="1"/>
  <c r="M272" i="27"/>
  <c r="N272" i="27" s="1"/>
  <c r="M382" i="27"/>
  <c r="N382" i="27" s="1"/>
  <c r="M327" i="27"/>
  <c r="N327" i="27" s="1"/>
  <c r="M280" i="27"/>
  <c r="N280" i="27" s="1"/>
  <c r="M390" i="27"/>
  <c r="N390" i="27" s="1"/>
  <c r="M335" i="27"/>
  <c r="N335" i="27" s="1"/>
  <c r="H251" i="27"/>
  <c r="H306" i="27"/>
  <c r="H361" i="27"/>
  <c r="H247" i="27"/>
  <c r="H302" i="27"/>
  <c r="H357" i="27"/>
  <c r="M270" i="27"/>
  <c r="N270" i="27" s="1"/>
  <c r="M380" i="27"/>
  <c r="N380" i="27" s="1"/>
  <c r="M325" i="27"/>
  <c r="N325" i="27" s="1"/>
  <c r="M273" i="27"/>
  <c r="N273" i="27" s="1"/>
  <c r="M383" i="27"/>
  <c r="N383" i="27" s="1"/>
  <c r="M328" i="27"/>
  <c r="N328" i="27" s="1"/>
  <c r="M277" i="27"/>
  <c r="N277" i="27" s="1"/>
  <c r="M387" i="27"/>
  <c r="N387" i="27" s="1"/>
  <c r="M332" i="27"/>
  <c r="N332" i="27" s="1"/>
  <c r="M281" i="27"/>
  <c r="N281" i="27" s="1"/>
  <c r="M336" i="27"/>
  <c r="N336" i="27" s="1"/>
  <c r="M391" i="27"/>
  <c r="N391" i="27" s="1"/>
  <c r="M279" i="27"/>
  <c r="N279" i="27" s="1"/>
  <c r="M334" i="27"/>
  <c r="N334" i="27" s="1"/>
  <c r="M389" i="27"/>
  <c r="N389" i="27" s="1"/>
  <c r="L190" i="5"/>
  <c r="H246" i="27"/>
  <c r="H301" i="27"/>
  <c r="H356" i="27"/>
  <c r="M190" i="5"/>
  <c r="M335" i="5" s="1"/>
  <c r="M480" i="5" s="1"/>
  <c r="M275" i="27"/>
  <c r="N275" i="27" s="1"/>
  <c r="M330" i="27"/>
  <c r="N330" i="27" s="1"/>
  <c r="M385" i="27"/>
  <c r="N385" i="27" s="1"/>
  <c r="M271" i="27"/>
  <c r="N271" i="27" s="1"/>
  <c r="M326" i="27"/>
  <c r="N326" i="27" s="1"/>
  <c r="M381" i="27"/>
  <c r="N381" i="27" s="1"/>
  <c r="M268" i="27"/>
  <c r="N268" i="27" s="1"/>
  <c r="M378" i="27"/>
  <c r="N378" i="27" s="1"/>
  <c r="M323" i="27"/>
  <c r="N323" i="27" s="1"/>
  <c r="H75" i="8"/>
  <c r="H79" i="8"/>
  <c r="H34" i="27" s="1"/>
  <c r="F7" i="29"/>
  <c r="F11" i="29" s="1"/>
  <c r="F13" i="29" s="1"/>
  <c r="G169" i="5" s="1"/>
  <c r="G81" i="8"/>
  <c r="M197" i="5"/>
  <c r="M342" i="5" s="1"/>
  <c r="M487" i="5" s="1"/>
  <c r="L197" i="5"/>
  <c r="L342" i="5" s="1"/>
  <c r="L487" i="5" s="1"/>
  <c r="N487" i="5" s="1"/>
  <c r="G82" i="8"/>
  <c r="M188" i="5"/>
  <c r="M333" i="5" s="1"/>
  <c r="M478" i="5" s="1"/>
  <c r="L188" i="5"/>
  <c r="L333" i="5" s="1"/>
  <c r="L478" i="5" s="1"/>
  <c r="G164" i="5"/>
  <c r="G309" i="5" s="1"/>
  <c r="G454" i="5" s="1"/>
  <c r="M194" i="5"/>
  <c r="M339" i="5" s="1"/>
  <c r="M484" i="5" s="1"/>
  <c r="L194" i="5"/>
  <c r="M343" i="5"/>
  <c r="M488" i="5" s="1"/>
  <c r="L343" i="5"/>
  <c r="L488" i="5" s="1"/>
  <c r="M185" i="5"/>
  <c r="M330" i="5" s="1"/>
  <c r="M475" i="5" s="1"/>
  <c r="L185" i="5"/>
  <c r="L330" i="5" s="1"/>
  <c r="L475" i="5" s="1"/>
  <c r="M196" i="5"/>
  <c r="L196" i="5"/>
  <c r="G163" i="5"/>
  <c r="G308" i="5" s="1"/>
  <c r="G453" i="5" s="1"/>
  <c r="M192" i="5"/>
  <c r="M337" i="5" s="1"/>
  <c r="M482" i="5" s="1"/>
  <c r="L192" i="5"/>
  <c r="L337" i="5" s="1"/>
  <c r="L482" i="5" s="1"/>
  <c r="G176" i="5"/>
  <c r="G321" i="5" s="1"/>
  <c r="G466" i="5" s="1"/>
  <c r="G168" i="5"/>
  <c r="G313" i="5" s="1"/>
  <c r="G458" i="5" s="1"/>
  <c r="M187" i="5"/>
  <c r="M332" i="5" s="1"/>
  <c r="M477" i="5" s="1"/>
  <c r="L187" i="5"/>
  <c r="M178" i="5"/>
  <c r="M323" i="5" s="1"/>
  <c r="M468" i="5" s="1"/>
  <c r="L178" i="5"/>
  <c r="L323" i="5" s="1"/>
  <c r="L468" i="5" s="1"/>
  <c r="M189" i="5"/>
  <c r="L189" i="5"/>
  <c r="G79" i="8"/>
  <c r="G75" i="8"/>
  <c r="G80" i="8"/>
  <c r="H85" i="8"/>
  <c r="H83" i="8"/>
  <c r="H77" i="8"/>
  <c r="G77" i="8"/>
  <c r="H78" i="8"/>
  <c r="G76" i="8"/>
  <c r="H81" i="8"/>
  <c r="H76" i="8"/>
  <c r="H82" i="8"/>
  <c r="G78" i="8"/>
  <c r="G84" i="8"/>
  <c r="H87" i="8"/>
  <c r="G85" i="8"/>
  <c r="H80" i="8"/>
  <c r="N56" i="26"/>
  <c r="N60" i="26"/>
  <c r="N119" i="26"/>
  <c r="N80" i="26"/>
  <c r="N97" i="26"/>
  <c r="N58" i="26"/>
  <c r="N114" i="26"/>
  <c r="N75" i="26"/>
  <c r="N110" i="26"/>
  <c r="N71" i="26"/>
  <c r="N91" i="26"/>
  <c r="N13" i="26"/>
  <c r="N52" i="26"/>
  <c r="N100" i="26"/>
  <c r="N61" i="26"/>
  <c r="N116" i="26"/>
  <c r="N77" i="26"/>
  <c r="N118" i="26"/>
  <c r="N79" i="26"/>
  <c r="N51" i="26"/>
  <c r="N90" i="26"/>
  <c r="N109" i="26"/>
  <c r="N70" i="26"/>
  <c r="N57" i="26"/>
  <c r="N96" i="26"/>
  <c r="N18" i="26"/>
  <c r="M32" i="27"/>
  <c r="L32" i="27"/>
  <c r="I32" i="27"/>
  <c r="H32" i="27"/>
  <c r="J32" i="27"/>
  <c r="K32" i="27"/>
  <c r="K16" i="26"/>
  <c r="K15" i="26"/>
  <c r="K17" i="26"/>
  <c r="K14" i="26"/>
  <c r="L16" i="26"/>
  <c r="L14" i="26"/>
  <c r="L17" i="26"/>
  <c r="L15" i="26"/>
  <c r="H16" i="26"/>
  <c r="H15" i="26"/>
  <c r="H17" i="26"/>
  <c r="H14" i="26"/>
  <c r="I14" i="26"/>
  <c r="I16" i="26"/>
  <c r="I15" i="26"/>
  <c r="I17" i="26"/>
  <c r="M16" i="26"/>
  <c r="M17" i="26"/>
  <c r="M14" i="26"/>
  <c r="M15" i="26"/>
  <c r="J16" i="26"/>
  <c r="J14" i="26"/>
  <c r="J15" i="26"/>
  <c r="J17" i="26"/>
  <c r="G186" i="27"/>
  <c r="I19" i="27"/>
  <c r="H19" i="27"/>
  <c r="L19" i="27"/>
  <c r="J19" i="27"/>
  <c r="K19" i="27"/>
  <c r="M19" i="27"/>
  <c r="H148" i="5"/>
  <c r="I148" i="5" s="1"/>
  <c r="J148" i="5" s="1"/>
  <c r="K148" i="5" s="1"/>
  <c r="L148" i="5" s="1"/>
  <c r="M148" i="5" s="1"/>
  <c r="H7" i="29" l="1"/>
  <c r="H11" i="29" s="1"/>
  <c r="H13" i="29" s="1"/>
  <c r="I169" i="5" s="1"/>
  <c r="N475" i="5"/>
  <c r="N189" i="5"/>
  <c r="N196" i="5"/>
  <c r="L339" i="5"/>
  <c r="L484" i="5" s="1"/>
  <c r="N194" i="5"/>
  <c r="N190" i="5"/>
  <c r="K486" i="5"/>
  <c r="L476" i="5"/>
  <c r="N476" i="5" s="1"/>
  <c r="N331" i="5"/>
  <c r="N178" i="5"/>
  <c r="N185" i="5"/>
  <c r="L404" i="5"/>
  <c r="N404" i="5" s="1"/>
  <c r="N259" i="5"/>
  <c r="K482" i="5"/>
  <c r="N482" i="5" s="1"/>
  <c r="N337" i="5"/>
  <c r="K468" i="5"/>
  <c r="N468" i="5" s="1"/>
  <c r="N323" i="5"/>
  <c r="N197" i="5"/>
  <c r="N188" i="5"/>
  <c r="K478" i="5"/>
  <c r="N478" i="5" s="1"/>
  <c r="N333" i="5"/>
  <c r="N342" i="5"/>
  <c r="N330" i="5"/>
  <c r="L332" i="5"/>
  <c r="N187" i="5"/>
  <c r="K484" i="5"/>
  <c r="N192" i="5"/>
  <c r="M341" i="5"/>
  <c r="M486" i="5" s="1"/>
  <c r="M240" i="5"/>
  <c r="L341" i="5"/>
  <c r="L486" i="5" s="1"/>
  <c r="L240" i="5"/>
  <c r="F199" i="5"/>
  <c r="F314" i="5"/>
  <c r="F459" i="5" s="1"/>
  <c r="F234" i="5"/>
  <c r="K11" i="29"/>
  <c r="K13" i="29" s="1"/>
  <c r="L169" i="5" s="1"/>
  <c r="L11" i="29"/>
  <c r="L13" i="29" s="1"/>
  <c r="M169" i="5" s="1"/>
  <c r="J43" i="30"/>
  <c r="G257" i="8"/>
  <c r="M239" i="5"/>
  <c r="L335" i="5"/>
  <c r="G258" i="8"/>
  <c r="I256" i="8"/>
  <c r="I24" i="27" s="1"/>
  <c r="M256" i="8"/>
  <c r="M24" i="27" s="1"/>
  <c r="I258" i="8"/>
  <c r="I26" i="27" s="1"/>
  <c r="I90" i="8"/>
  <c r="H90" i="8"/>
  <c r="K256" i="8"/>
  <c r="K24" i="27" s="1"/>
  <c r="K258" i="8"/>
  <c r="K26" i="27" s="1"/>
  <c r="M258" i="8"/>
  <c r="M26" i="27" s="1"/>
  <c r="M88" i="8"/>
  <c r="L88" i="8"/>
  <c r="L257" i="8"/>
  <c r="L25" i="27" s="1"/>
  <c r="L258" i="8"/>
  <c r="L26" i="27" s="1"/>
  <c r="L256" i="8"/>
  <c r="L24" i="27" s="1"/>
  <c r="J257" i="8"/>
  <c r="J25" i="27" s="1"/>
  <c r="J258" i="8"/>
  <c r="J26" i="27" s="1"/>
  <c r="J256" i="8"/>
  <c r="J24" i="27" s="1"/>
  <c r="H257" i="8"/>
  <c r="H25" i="27" s="1"/>
  <c r="H258" i="8"/>
  <c r="H26" i="27" s="1"/>
  <c r="H256" i="8"/>
  <c r="H24" i="27" s="1"/>
  <c r="M334" i="5"/>
  <c r="M479" i="5" s="1"/>
  <c r="L334" i="5"/>
  <c r="L239" i="5"/>
  <c r="D84" i="20"/>
  <c r="D83" i="20"/>
  <c r="D92" i="20"/>
  <c r="D93" i="20"/>
  <c r="D86" i="20"/>
  <c r="D81" i="20"/>
  <c r="D90" i="20"/>
  <c r="D85" i="20"/>
  <c r="D88" i="20"/>
  <c r="D74" i="20"/>
  <c r="E91" i="20"/>
  <c r="J265" i="8"/>
  <c r="J33" i="27" s="1"/>
  <c r="H265" i="8"/>
  <c r="K265" i="8"/>
  <c r="K33" i="27" s="1"/>
  <c r="I265" i="8"/>
  <c r="I33" i="27" s="1"/>
  <c r="L265" i="8"/>
  <c r="L33" i="27" s="1"/>
  <c r="G265" i="8"/>
  <c r="G33" i="27" s="1"/>
  <c r="G200" i="27" s="1"/>
  <c r="M265" i="8"/>
  <c r="M33" i="27" s="1"/>
  <c r="H177" i="27"/>
  <c r="I177" i="27" s="1"/>
  <c r="J177" i="27" s="1"/>
  <c r="K177" i="27" s="1"/>
  <c r="L177" i="27" s="1"/>
  <c r="M177" i="27" s="1"/>
  <c r="E47" i="20" s="1"/>
  <c r="H182" i="27"/>
  <c r="I182" i="27" s="1"/>
  <c r="J182" i="27" s="1"/>
  <c r="K182" i="27" s="1"/>
  <c r="L182" i="27" s="1"/>
  <c r="M182" i="27" s="1"/>
  <c r="E52" i="20" s="1"/>
  <c r="J88" i="8"/>
  <c r="H88" i="8"/>
  <c r="H197" i="27"/>
  <c r="I197" i="27" s="1"/>
  <c r="J197" i="27" s="1"/>
  <c r="K197" i="27" s="1"/>
  <c r="L197" i="27" s="1"/>
  <c r="M197" i="27" s="1"/>
  <c r="E67" i="20" s="1"/>
  <c r="H176" i="27"/>
  <c r="I176" i="27" s="1"/>
  <c r="J176" i="27" s="1"/>
  <c r="K176" i="27" s="1"/>
  <c r="L176" i="27" s="1"/>
  <c r="M176" i="27" s="1"/>
  <c r="E46" i="20" s="1"/>
  <c r="H178" i="27"/>
  <c r="I178" i="27" s="1"/>
  <c r="J178" i="27" s="1"/>
  <c r="K178" i="27" s="1"/>
  <c r="L178" i="27" s="1"/>
  <c r="M178" i="27" s="1"/>
  <c r="E48" i="20" s="1"/>
  <c r="H180" i="27"/>
  <c r="I180" i="27" s="1"/>
  <c r="J180" i="27" s="1"/>
  <c r="K180" i="27" s="1"/>
  <c r="L180" i="27" s="1"/>
  <c r="M180" i="27" s="1"/>
  <c r="E50" i="20" s="1"/>
  <c r="H181" i="27"/>
  <c r="I181" i="27" s="1"/>
  <c r="J181" i="27" s="1"/>
  <c r="K181" i="27" s="1"/>
  <c r="L181" i="27" s="1"/>
  <c r="M181" i="27" s="1"/>
  <c r="E51" i="20" s="1"/>
  <c r="H183" i="27"/>
  <c r="I183" i="27" s="1"/>
  <c r="J183" i="27" s="1"/>
  <c r="K183" i="27" s="1"/>
  <c r="L183" i="27" s="1"/>
  <c r="M183" i="27" s="1"/>
  <c r="E53" i="20" s="1"/>
  <c r="H179" i="27"/>
  <c r="I179" i="27" s="1"/>
  <c r="J179" i="27" s="1"/>
  <c r="K179" i="27" s="1"/>
  <c r="L179" i="27" s="1"/>
  <c r="M179" i="27" s="1"/>
  <c r="E49" i="20" s="1"/>
  <c r="H186" i="27"/>
  <c r="I186" i="27" s="1"/>
  <c r="J186" i="27" s="1"/>
  <c r="K186" i="27" s="1"/>
  <c r="L186" i="27" s="1"/>
  <c r="M186" i="27" s="1"/>
  <c r="E56" i="20" s="1"/>
  <c r="H184" i="27"/>
  <c r="I184" i="27" s="1"/>
  <c r="J184" i="27" s="1"/>
  <c r="K184" i="27" s="1"/>
  <c r="L184" i="27" s="1"/>
  <c r="M184" i="27" s="1"/>
  <c r="E54" i="20" s="1"/>
  <c r="H198" i="27"/>
  <c r="I198" i="27" s="1"/>
  <c r="J198" i="27" s="1"/>
  <c r="K198" i="27" s="1"/>
  <c r="L198" i="27" s="1"/>
  <c r="M198" i="27" s="1"/>
  <c r="E68" i="20" s="1"/>
  <c r="H185" i="27"/>
  <c r="I185" i="27" s="1"/>
  <c r="J185" i="27" s="1"/>
  <c r="K185" i="27" s="1"/>
  <c r="L185" i="27" s="1"/>
  <c r="M185" i="27" s="1"/>
  <c r="E55" i="20" s="1"/>
  <c r="H196" i="27"/>
  <c r="I196" i="27" s="1"/>
  <c r="J196" i="27" s="1"/>
  <c r="K196" i="27" s="1"/>
  <c r="L196" i="27" s="1"/>
  <c r="M196" i="27" s="1"/>
  <c r="E66" i="20" s="1"/>
  <c r="H187" i="27"/>
  <c r="I187" i="27" s="1"/>
  <c r="J187" i="27" s="1"/>
  <c r="K187" i="27" s="1"/>
  <c r="L187" i="27" s="1"/>
  <c r="M187" i="27" s="1"/>
  <c r="E57" i="20" s="1"/>
  <c r="L90" i="8"/>
  <c r="M90" i="8"/>
  <c r="J90" i="8"/>
  <c r="G90" i="8"/>
  <c r="K90" i="8"/>
  <c r="I88" i="8"/>
  <c r="G88" i="8"/>
  <c r="K88" i="8"/>
  <c r="G234" i="27"/>
  <c r="G344" i="27"/>
  <c r="G289" i="27"/>
  <c r="G254" i="27"/>
  <c r="G364" i="27"/>
  <c r="G309" i="27"/>
  <c r="G235" i="27"/>
  <c r="G290" i="27"/>
  <c r="G345" i="27"/>
  <c r="G240" i="27"/>
  <c r="G350" i="27"/>
  <c r="G295" i="27"/>
  <c r="G237" i="27"/>
  <c r="G292" i="27"/>
  <c r="G347" i="27"/>
  <c r="G241" i="27"/>
  <c r="G296" i="27"/>
  <c r="G351" i="27"/>
  <c r="G255" i="27"/>
  <c r="G365" i="27"/>
  <c r="G310" i="27"/>
  <c r="G242" i="27"/>
  <c r="G352" i="27"/>
  <c r="G297" i="27"/>
  <c r="G253" i="27"/>
  <c r="G308" i="27"/>
  <c r="G363" i="27"/>
  <c r="G244" i="27"/>
  <c r="G299" i="27"/>
  <c r="G354" i="27"/>
  <c r="G239" i="27"/>
  <c r="G349" i="27"/>
  <c r="G294" i="27"/>
  <c r="G233" i="27"/>
  <c r="G343" i="27"/>
  <c r="G288" i="27"/>
  <c r="G238" i="27"/>
  <c r="G293" i="27"/>
  <c r="G348" i="27"/>
  <c r="G236" i="27"/>
  <c r="G291" i="27"/>
  <c r="G346" i="27"/>
  <c r="F24" i="12"/>
  <c r="F25" i="12" s="1"/>
  <c r="F26" i="12" s="1"/>
  <c r="G298" i="27"/>
  <c r="G353" i="27"/>
  <c r="I259" i="27"/>
  <c r="I369" i="27"/>
  <c r="I314" i="27"/>
  <c r="I246" i="27"/>
  <c r="I301" i="27"/>
  <c r="I356" i="27"/>
  <c r="I247" i="27"/>
  <c r="I357" i="27"/>
  <c r="I302" i="27"/>
  <c r="I251" i="27"/>
  <c r="I306" i="27"/>
  <c r="I361" i="27"/>
  <c r="H176" i="5"/>
  <c r="H321" i="5" s="1"/>
  <c r="H466" i="5" s="1"/>
  <c r="H168" i="5"/>
  <c r="H313" i="5" s="1"/>
  <c r="H458" i="5" s="1"/>
  <c r="H163" i="5"/>
  <c r="H308" i="5" s="1"/>
  <c r="H453" i="5" s="1"/>
  <c r="H164" i="5"/>
  <c r="H309" i="5" s="1"/>
  <c r="H454" i="5" s="1"/>
  <c r="N17" i="27"/>
  <c r="G27" i="26"/>
  <c r="G149" i="26" s="1"/>
  <c r="H149" i="26" s="1"/>
  <c r="I149" i="26" s="1"/>
  <c r="J149" i="26" s="1"/>
  <c r="K149" i="26" s="1"/>
  <c r="L149" i="26" s="1"/>
  <c r="M149" i="26" s="1"/>
  <c r="E26" i="20" s="1"/>
  <c r="G32" i="27"/>
  <c r="G199" i="27" s="1"/>
  <c r="H199" i="27" s="1"/>
  <c r="I199" i="27" s="1"/>
  <c r="J199" i="27" s="1"/>
  <c r="K199" i="27" s="1"/>
  <c r="L199" i="27" s="1"/>
  <c r="M199" i="27" s="1"/>
  <c r="E69" i="20" s="1"/>
  <c r="N31" i="27"/>
  <c r="G32" i="26"/>
  <c r="G154" i="26" s="1"/>
  <c r="H154" i="26" s="1"/>
  <c r="I154" i="26" s="1"/>
  <c r="J154" i="26" s="1"/>
  <c r="K154" i="26" s="1"/>
  <c r="L154" i="26" s="1"/>
  <c r="M154" i="26" s="1"/>
  <c r="E31" i="20" s="1"/>
  <c r="G21" i="27"/>
  <c r="G188" i="27" s="1"/>
  <c r="H188" i="27" s="1"/>
  <c r="I188" i="27" s="1"/>
  <c r="J188" i="27" s="1"/>
  <c r="K188" i="27" s="1"/>
  <c r="L188" i="27" s="1"/>
  <c r="M188" i="27" s="1"/>
  <c r="E58" i="20" s="1"/>
  <c r="G29" i="26"/>
  <c r="G151" i="26" s="1"/>
  <c r="H151" i="26" s="1"/>
  <c r="I151" i="26" s="1"/>
  <c r="J151" i="26" s="1"/>
  <c r="K151" i="26" s="1"/>
  <c r="L151" i="26" s="1"/>
  <c r="M151" i="26" s="1"/>
  <c r="E28" i="20" s="1"/>
  <c r="G34" i="26"/>
  <c r="G156" i="26" s="1"/>
  <c r="H156" i="26" s="1"/>
  <c r="I156" i="26" s="1"/>
  <c r="J156" i="26" s="1"/>
  <c r="K156" i="26" s="1"/>
  <c r="L156" i="26" s="1"/>
  <c r="M156" i="26" s="1"/>
  <c r="E33" i="20" s="1"/>
  <c r="G8" i="27"/>
  <c r="G175" i="27" s="1"/>
  <c r="G21" i="26"/>
  <c r="G40" i="27"/>
  <c r="G207" i="27" s="1"/>
  <c r="H207" i="27" s="1"/>
  <c r="I207" i="27" s="1"/>
  <c r="J207" i="27" s="1"/>
  <c r="K207" i="27" s="1"/>
  <c r="L207" i="27" s="1"/>
  <c r="M207" i="27" s="1"/>
  <c r="E77" i="20" s="1"/>
  <c r="G37" i="26"/>
  <c r="G159" i="26" s="1"/>
  <c r="H159" i="26" s="1"/>
  <c r="I159" i="26" s="1"/>
  <c r="J159" i="26" s="1"/>
  <c r="K159" i="26" s="1"/>
  <c r="L159" i="26" s="1"/>
  <c r="M159" i="26" s="1"/>
  <c r="E36" i="20" s="1"/>
  <c r="G36" i="26"/>
  <c r="G158" i="26" s="1"/>
  <c r="H158" i="26" s="1"/>
  <c r="I158" i="26" s="1"/>
  <c r="J158" i="26" s="1"/>
  <c r="K158" i="26" s="1"/>
  <c r="L158" i="26" s="1"/>
  <c r="M158" i="26" s="1"/>
  <c r="E35" i="20" s="1"/>
  <c r="N14" i="27"/>
  <c r="G39" i="27"/>
  <c r="G206" i="27" s="1"/>
  <c r="H206" i="27" s="1"/>
  <c r="I206" i="27" s="1"/>
  <c r="J206" i="27" s="1"/>
  <c r="K206" i="27" s="1"/>
  <c r="L206" i="27" s="1"/>
  <c r="M206" i="27" s="1"/>
  <c r="E76" i="20" s="1"/>
  <c r="G38" i="27"/>
  <c r="G205" i="27" s="1"/>
  <c r="H205" i="27" s="1"/>
  <c r="I205" i="27" s="1"/>
  <c r="J205" i="27" s="1"/>
  <c r="K205" i="27" s="1"/>
  <c r="L205" i="27" s="1"/>
  <c r="M205" i="27" s="1"/>
  <c r="E75" i="20" s="1"/>
  <c r="G26" i="26"/>
  <c r="G148" i="26" s="1"/>
  <c r="H148" i="26" s="1"/>
  <c r="I148" i="26" s="1"/>
  <c r="J148" i="26" s="1"/>
  <c r="K148" i="26" s="1"/>
  <c r="L148" i="26" s="1"/>
  <c r="M148" i="26" s="1"/>
  <c r="E25" i="20" s="1"/>
  <c r="G16" i="26"/>
  <c r="G138" i="26" s="1"/>
  <c r="H138" i="26" s="1"/>
  <c r="I138" i="26" s="1"/>
  <c r="J138" i="26" s="1"/>
  <c r="K138" i="26" s="1"/>
  <c r="L138" i="26" s="1"/>
  <c r="M138" i="26" s="1"/>
  <c r="E15" i="20" s="1"/>
  <c r="N20" i="27"/>
  <c r="G17" i="26"/>
  <c r="G139" i="26" s="1"/>
  <c r="H139" i="26" s="1"/>
  <c r="I139" i="26" s="1"/>
  <c r="J139" i="26" s="1"/>
  <c r="K139" i="26" s="1"/>
  <c r="L139" i="26" s="1"/>
  <c r="M139" i="26" s="1"/>
  <c r="E16" i="20" s="1"/>
  <c r="N10" i="27"/>
  <c r="N16" i="27"/>
  <c r="N12" i="27"/>
  <c r="G35" i="26"/>
  <c r="G157" i="26" s="1"/>
  <c r="H157" i="26" s="1"/>
  <c r="I157" i="26" s="1"/>
  <c r="J157" i="26" s="1"/>
  <c r="K157" i="26" s="1"/>
  <c r="L157" i="26" s="1"/>
  <c r="M157" i="26" s="1"/>
  <c r="E34" i="20" s="1"/>
  <c r="G7" i="26"/>
  <c r="G129" i="26" s="1"/>
  <c r="N29" i="27"/>
  <c r="G40" i="26"/>
  <c r="G162" i="26" s="1"/>
  <c r="H162" i="26" s="1"/>
  <c r="I162" i="26" s="1"/>
  <c r="J162" i="26" s="1"/>
  <c r="K162" i="26" s="1"/>
  <c r="L162" i="26" s="1"/>
  <c r="M162" i="26" s="1"/>
  <c r="E39" i="20" s="1"/>
  <c r="G30" i="26"/>
  <c r="G152" i="26" s="1"/>
  <c r="H152" i="26" s="1"/>
  <c r="I152" i="26" s="1"/>
  <c r="J152" i="26" s="1"/>
  <c r="K152" i="26" s="1"/>
  <c r="L152" i="26" s="1"/>
  <c r="M152" i="26" s="1"/>
  <c r="E29" i="20" s="1"/>
  <c r="G43" i="27"/>
  <c r="G210" i="27" s="1"/>
  <c r="H210" i="27" s="1"/>
  <c r="I210" i="27" s="1"/>
  <c r="J210" i="27" s="1"/>
  <c r="K210" i="27" s="1"/>
  <c r="L210" i="27" s="1"/>
  <c r="M210" i="27" s="1"/>
  <c r="E80" i="20" s="1"/>
  <c r="N11" i="27"/>
  <c r="G15" i="26"/>
  <c r="G137" i="26" s="1"/>
  <c r="H137" i="26" s="1"/>
  <c r="I137" i="26" s="1"/>
  <c r="J137" i="26" s="1"/>
  <c r="K137" i="26" s="1"/>
  <c r="L137" i="26" s="1"/>
  <c r="M137" i="26" s="1"/>
  <c r="E14" i="20" s="1"/>
  <c r="G33" i="26"/>
  <c r="G155" i="26" s="1"/>
  <c r="H155" i="26" s="1"/>
  <c r="I155" i="26" s="1"/>
  <c r="J155" i="26" s="1"/>
  <c r="K155" i="26" s="1"/>
  <c r="L155" i="26" s="1"/>
  <c r="M155" i="26" s="1"/>
  <c r="E32" i="20" s="1"/>
  <c r="G12" i="26"/>
  <c r="G134" i="26" s="1"/>
  <c r="H134" i="26" s="1"/>
  <c r="I134" i="26" s="1"/>
  <c r="J134" i="26" s="1"/>
  <c r="K134" i="26" s="1"/>
  <c r="L134" i="26" s="1"/>
  <c r="M134" i="26" s="1"/>
  <c r="E11" i="20" s="1"/>
  <c r="G39" i="26"/>
  <c r="G161" i="26" s="1"/>
  <c r="H161" i="26" s="1"/>
  <c r="I161" i="26" s="1"/>
  <c r="J161" i="26" s="1"/>
  <c r="K161" i="26" s="1"/>
  <c r="L161" i="26" s="1"/>
  <c r="M161" i="26" s="1"/>
  <c r="E38" i="20" s="1"/>
  <c r="G38" i="26"/>
  <c r="G160" i="26" s="1"/>
  <c r="H160" i="26" s="1"/>
  <c r="I160" i="26" s="1"/>
  <c r="J160" i="26" s="1"/>
  <c r="K160" i="26" s="1"/>
  <c r="L160" i="26" s="1"/>
  <c r="M160" i="26" s="1"/>
  <c r="E37" i="20" s="1"/>
  <c r="G42" i="27"/>
  <c r="G209" i="27" s="1"/>
  <c r="H209" i="27" s="1"/>
  <c r="I209" i="27" s="1"/>
  <c r="J209" i="27" s="1"/>
  <c r="K209" i="27" s="1"/>
  <c r="L209" i="27" s="1"/>
  <c r="M209" i="27" s="1"/>
  <c r="E79" i="20" s="1"/>
  <c r="G31" i="26"/>
  <c r="G153" i="26" s="1"/>
  <c r="H153" i="26" s="1"/>
  <c r="I153" i="26" s="1"/>
  <c r="J153" i="26" s="1"/>
  <c r="K153" i="26" s="1"/>
  <c r="L153" i="26" s="1"/>
  <c r="M153" i="26" s="1"/>
  <c r="E30" i="20" s="1"/>
  <c r="G8" i="26"/>
  <c r="G130" i="26" s="1"/>
  <c r="H130" i="26" s="1"/>
  <c r="I130" i="26" s="1"/>
  <c r="J130" i="26" s="1"/>
  <c r="K130" i="26" s="1"/>
  <c r="L130" i="26" s="1"/>
  <c r="M130" i="26" s="1"/>
  <c r="E7" i="20" s="1"/>
  <c r="G11" i="26"/>
  <c r="G133" i="26" s="1"/>
  <c r="H133" i="26" s="1"/>
  <c r="I133" i="26" s="1"/>
  <c r="J133" i="26" s="1"/>
  <c r="K133" i="26" s="1"/>
  <c r="L133" i="26" s="1"/>
  <c r="M133" i="26" s="1"/>
  <c r="E10" i="20" s="1"/>
  <c r="G28" i="26"/>
  <c r="G150" i="26" s="1"/>
  <c r="H150" i="26" s="1"/>
  <c r="I150" i="26" s="1"/>
  <c r="J150" i="26" s="1"/>
  <c r="K150" i="26" s="1"/>
  <c r="L150" i="26" s="1"/>
  <c r="M150" i="26" s="1"/>
  <c r="E27" i="20" s="1"/>
  <c r="N15" i="27"/>
  <c r="G41" i="27"/>
  <c r="G208" i="27" s="1"/>
  <c r="H208" i="27" s="1"/>
  <c r="I208" i="27" s="1"/>
  <c r="J208" i="27" s="1"/>
  <c r="K208" i="27" s="1"/>
  <c r="L208" i="27" s="1"/>
  <c r="M208" i="27" s="1"/>
  <c r="E78" i="20" s="1"/>
  <c r="N9" i="27"/>
  <c r="G23" i="26"/>
  <c r="G145" i="26" s="1"/>
  <c r="H145" i="26" s="1"/>
  <c r="I145" i="26" s="1"/>
  <c r="J145" i="26" s="1"/>
  <c r="K145" i="26" s="1"/>
  <c r="L145" i="26" s="1"/>
  <c r="M145" i="26" s="1"/>
  <c r="E22" i="20" s="1"/>
  <c r="G22" i="26"/>
  <c r="G144" i="26" s="1"/>
  <c r="H144" i="26" s="1"/>
  <c r="I144" i="26" s="1"/>
  <c r="J144" i="26" s="1"/>
  <c r="K144" i="26" s="1"/>
  <c r="L144" i="26" s="1"/>
  <c r="M144" i="26" s="1"/>
  <c r="E21" i="20" s="1"/>
  <c r="N19" i="27"/>
  <c r="N18" i="27"/>
  <c r="G41" i="26"/>
  <c r="G163" i="26" s="1"/>
  <c r="H163" i="26" s="1"/>
  <c r="I163" i="26" s="1"/>
  <c r="J163" i="26" s="1"/>
  <c r="K163" i="26" s="1"/>
  <c r="L163" i="26" s="1"/>
  <c r="M163" i="26" s="1"/>
  <c r="E40" i="20" s="1"/>
  <c r="G10" i="26"/>
  <c r="G132" i="26" s="1"/>
  <c r="H132" i="26" s="1"/>
  <c r="I132" i="26" s="1"/>
  <c r="J132" i="26" s="1"/>
  <c r="K132" i="26" s="1"/>
  <c r="L132" i="26" s="1"/>
  <c r="M132" i="26" s="1"/>
  <c r="E9" i="20" s="1"/>
  <c r="G9" i="26"/>
  <c r="G131" i="26" s="1"/>
  <c r="H131" i="26" s="1"/>
  <c r="I131" i="26" s="1"/>
  <c r="J131" i="26" s="1"/>
  <c r="K131" i="26" s="1"/>
  <c r="L131" i="26" s="1"/>
  <c r="M131" i="26" s="1"/>
  <c r="E8" i="20" s="1"/>
  <c r="G20" i="26"/>
  <c r="G142" i="26" s="1"/>
  <c r="H142" i="26" s="1"/>
  <c r="I142" i="26" s="1"/>
  <c r="J142" i="26" s="1"/>
  <c r="K142" i="26" s="1"/>
  <c r="L142" i="26" s="1"/>
  <c r="M142" i="26" s="1"/>
  <c r="E19" i="20" s="1"/>
  <c r="G14" i="26"/>
  <c r="G136" i="26" s="1"/>
  <c r="H136" i="26" s="1"/>
  <c r="I136" i="26" s="1"/>
  <c r="J136" i="26" s="1"/>
  <c r="K136" i="26" s="1"/>
  <c r="L136" i="26" s="1"/>
  <c r="M136" i="26" s="1"/>
  <c r="E13" i="20" s="1"/>
  <c r="N30" i="27"/>
  <c r="N13" i="27"/>
  <c r="G19" i="26"/>
  <c r="G141" i="26" s="1"/>
  <c r="H141" i="26" s="1"/>
  <c r="I141" i="26" s="1"/>
  <c r="J141" i="26" s="1"/>
  <c r="K141" i="26" s="1"/>
  <c r="L141" i="26" s="1"/>
  <c r="M141" i="26" s="1"/>
  <c r="E18" i="20" s="1"/>
  <c r="G34" i="27"/>
  <c r="G201" i="27" s="1"/>
  <c r="H201" i="27" s="1"/>
  <c r="I201" i="27" s="1"/>
  <c r="J201" i="27" s="1"/>
  <c r="K201" i="27" s="1"/>
  <c r="L201" i="27" s="1"/>
  <c r="M201" i="27" s="1"/>
  <c r="E71" i="20" s="1"/>
  <c r="I25" i="27"/>
  <c r="F5" i="6"/>
  <c r="G5" i="6" s="1"/>
  <c r="H5" i="6" s="1"/>
  <c r="I5" i="6" s="1"/>
  <c r="J5" i="6" s="1"/>
  <c r="K5" i="6" s="1"/>
  <c r="N239" i="5" l="1"/>
  <c r="N169" i="5"/>
  <c r="N339" i="5"/>
  <c r="N240" i="5"/>
  <c r="N484" i="5"/>
  <c r="L479" i="5"/>
  <c r="N334" i="5"/>
  <c r="N479" i="5"/>
  <c r="G143" i="26"/>
  <c r="H143" i="26" s="1"/>
  <c r="I143" i="26" s="1"/>
  <c r="J143" i="26" s="1"/>
  <c r="K143" i="26" s="1"/>
  <c r="L143" i="26" s="1"/>
  <c r="M143" i="26" s="1"/>
  <c r="E20" i="20" s="1"/>
  <c r="N21" i="26"/>
  <c r="L480" i="5"/>
  <c r="N480" i="5" s="1"/>
  <c r="N335" i="5"/>
  <c r="N341" i="5"/>
  <c r="L477" i="5"/>
  <c r="N477" i="5" s="1"/>
  <c r="N332" i="5"/>
  <c r="N486" i="5"/>
  <c r="F344" i="5"/>
  <c r="F489" i="5" s="1"/>
  <c r="E38" i="30"/>
  <c r="F379" i="5"/>
  <c r="F524" i="5" s="1"/>
  <c r="L43" i="30"/>
  <c r="K43" i="30"/>
  <c r="E65" i="20"/>
  <c r="H33" i="27"/>
  <c r="H200" i="27" s="1"/>
  <c r="I200" i="27" s="1"/>
  <c r="J200" i="27" s="1"/>
  <c r="K200" i="27" s="1"/>
  <c r="L200" i="27" s="1"/>
  <c r="M200" i="27" s="1"/>
  <c r="E70" i="20" s="1"/>
  <c r="H175" i="27"/>
  <c r="I175" i="27" s="1"/>
  <c r="J175" i="27" s="1"/>
  <c r="K175" i="27" s="1"/>
  <c r="L175" i="27" s="1"/>
  <c r="M175" i="27" s="1"/>
  <c r="E45" i="20" s="1"/>
  <c r="H129" i="26"/>
  <c r="G256" i="27"/>
  <c r="G366" i="27"/>
  <c r="G311" i="27"/>
  <c r="G205" i="26"/>
  <c r="G245" i="26"/>
  <c r="G285" i="26"/>
  <c r="G179" i="26"/>
  <c r="G219" i="26"/>
  <c r="G259" i="26"/>
  <c r="G203" i="26"/>
  <c r="G283" i="26"/>
  <c r="G243" i="26"/>
  <c r="G191" i="26"/>
  <c r="G271" i="26"/>
  <c r="G231" i="26"/>
  <c r="G204" i="26"/>
  <c r="G244" i="26"/>
  <c r="G284" i="26"/>
  <c r="G172" i="26"/>
  <c r="G252" i="26"/>
  <c r="G212" i="26"/>
  <c r="G262" i="27"/>
  <c r="G372" i="27"/>
  <c r="G317" i="27"/>
  <c r="G199" i="26"/>
  <c r="G239" i="26"/>
  <c r="G279" i="26"/>
  <c r="G194" i="26"/>
  <c r="G234" i="26"/>
  <c r="G274" i="26"/>
  <c r="G198" i="26"/>
  <c r="G278" i="26"/>
  <c r="G238" i="26"/>
  <c r="G206" i="26"/>
  <c r="G286" i="26"/>
  <c r="G246" i="26"/>
  <c r="G193" i="26"/>
  <c r="G233" i="26"/>
  <c r="G273" i="26"/>
  <c r="G180" i="26"/>
  <c r="G260" i="26"/>
  <c r="G220" i="26"/>
  <c r="G201" i="26"/>
  <c r="G241" i="26"/>
  <c r="G281" i="26"/>
  <c r="G245" i="27"/>
  <c r="G355" i="27"/>
  <c r="G300" i="27"/>
  <c r="G258" i="27"/>
  <c r="G313" i="27"/>
  <c r="G368" i="27"/>
  <c r="G202" i="26"/>
  <c r="G282" i="26"/>
  <c r="G242" i="26"/>
  <c r="G197" i="26"/>
  <c r="G277" i="26"/>
  <c r="G237" i="26"/>
  <c r="G187" i="26"/>
  <c r="G267" i="26"/>
  <c r="G227" i="26"/>
  <c r="G196" i="26"/>
  <c r="G276" i="26"/>
  <c r="G236" i="26"/>
  <c r="G195" i="26"/>
  <c r="G275" i="26"/>
  <c r="G235" i="26"/>
  <c r="G264" i="27"/>
  <c r="G319" i="27"/>
  <c r="G374" i="27"/>
  <c r="G188" i="26"/>
  <c r="G268" i="26"/>
  <c r="G228" i="26"/>
  <c r="G266" i="27"/>
  <c r="G376" i="27"/>
  <c r="G321" i="27"/>
  <c r="G181" i="26"/>
  <c r="G261" i="26"/>
  <c r="G221" i="26"/>
  <c r="G186" i="26"/>
  <c r="G266" i="26"/>
  <c r="G226" i="26"/>
  <c r="G192" i="26"/>
  <c r="G232" i="26"/>
  <c r="G272" i="26"/>
  <c r="H232" i="27"/>
  <c r="G342" i="27"/>
  <c r="G287" i="27"/>
  <c r="G185" i="26"/>
  <c r="G225" i="26"/>
  <c r="G265" i="26"/>
  <c r="G257" i="27"/>
  <c r="G312" i="27"/>
  <c r="G367" i="27"/>
  <c r="G174" i="26"/>
  <c r="G214" i="26"/>
  <c r="G254" i="26"/>
  <c r="G265" i="27"/>
  <c r="G375" i="27"/>
  <c r="G320" i="27"/>
  <c r="G177" i="26"/>
  <c r="G217" i="26"/>
  <c r="G257" i="26"/>
  <c r="G200" i="26"/>
  <c r="G280" i="26"/>
  <c r="G240" i="26"/>
  <c r="G263" i="27"/>
  <c r="G318" i="27"/>
  <c r="G373" i="27"/>
  <c r="G175" i="26"/>
  <c r="G215" i="26"/>
  <c r="G255" i="26"/>
  <c r="G176" i="26"/>
  <c r="G216" i="26"/>
  <c r="G256" i="26"/>
  <c r="G264" i="26"/>
  <c r="G224" i="26"/>
  <c r="G173" i="26"/>
  <c r="G213" i="26"/>
  <c r="G253" i="26"/>
  <c r="G267" i="27"/>
  <c r="G322" i="27"/>
  <c r="G377" i="27"/>
  <c r="G182" i="26"/>
  <c r="G222" i="26"/>
  <c r="G262" i="26"/>
  <c r="H239" i="27"/>
  <c r="H294" i="27"/>
  <c r="H349" i="27"/>
  <c r="H236" i="27"/>
  <c r="H346" i="27"/>
  <c r="H291" i="27"/>
  <c r="H238" i="27"/>
  <c r="H348" i="27"/>
  <c r="H293" i="27"/>
  <c r="J247" i="27"/>
  <c r="J357" i="27"/>
  <c r="J302" i="27"/>
  <c r="H240" i="27"/>
  <c r="H350" i="27"/>
  <c r="H295" i="27"/>
  <c r="H242" i="27"/>
  <c r="H352" i="27"/>
  <c r="H297" i="27"/>
  <c r="H234" i="27"/>
  <c r="H344" i="27"/>
  <c r="H289" i="27"/>
  <c r="H255" i="27"/>
  <c r="H365" i="27"/>
  <c r="H310" i="27"/>
  <c r="H237" i="27"/>
  <c r="H347" i="27"/>
  <c r="H292" i="27"/>
  <c r="H244" i="27"/>
  <c r="H299" i="27"/>
  <c r="H354" i="27"/>
  <c r="H254" i="27"/>
  <c r="H309" i="27"/>
  <c r="H364" i="27"/>
  <c r="H253" i="27"/>
  <c r="H363" i="27"/>
  <c r="H308" i="27"/>
  <c r="H233" i="27"/>
  <c r="H288" i="27"/>
  <c r="H343" i="27"/>
  <c r="H241" i="27"/>
  <c r="H296" i="27"/>
  <c r="H351" i="27"/>
  <c r="J246" i="27"/>
  <c r="J301" i="27"/>
  <c r="J356" i="27"/>
  <c r="H235" i="27"/>
  <c r="H345" i="27"/>
  <c r="H290" i="27"/>
  <c r="J251" i="27"/>
  <c r="J306" i="27"/>
  <c r="J361" i="27"/>
  <c r="H243" i="27"/>
  <c r="G24" i="12" s="1"/>
  <c r="G25" i="12" s="1"/>
  <c r="G26" i="12" s="1"/>
  <c r="H298" i="27"/>
  <c r="H353" i="27"/>
  <c r="J259" i="27"/>
  <c r="J369" i="27"/>
  <c r="J314" i="27"/>
  <c r="G232" i="27"/>
  <c r="G184" i="26"/>
  <c r="G171" i="5"/>
  <c r="G316" i="5" s="1"/>
  <c r="G461" i="5" s="1"/>
  <c r="G150" i="5"/>
  <c r="G295" i="5" s="1"/>
  <c r="G440" i="5" s="1"/>
  <c r="G170" i="5"/>
  <c r="G315" i="5" s="1"/>
  <c r="G460" i="5" s="1"/>
  <c r="G158" i="5"/>
  <c r="G303" i="5" s="1"/>
  <c r="G448" i="5" s="1"/>
  <c r="G174" i="5"/>
  <c r="G319" i="5" s="1"/>
  <c r="G464" i="5" s="1"/>
  <c r="G157" i="5"/>
  <c r="G302" i="5" s="1"/>
  <c r="G447" i="5" s="1"/>
  <c r="G151" i="5"/>
  <c r="G296" i="5" s="1"/>
  <c r="G441" i="5" s="1"/>
  <c r="I163" i="5"/>
  <c r="G340" i="5"/>
  <c r="G485" i="5" s="1"/>
  <c r="G156" i="5"/>
  <c r="G301" i="5" s="1"/>
  <c r="G446" i="5" s="1"/>
  <c r="G153" i="5"/>
  <c r="G298" i="5" s="1"/>
  <c r="G443" i="5" s="1"/>
  <c r="G155" i="5"/>
  <c r="G300" i="5" s="1"/>
  <c r="G445" i="5" s="1"/>
  <c r="G159" i="5"/>
  <c r="G304" i="5" s="1"/>
  <c r="G449" i="5" s="1"/>
  <c r="G152" i="5"/>
  <c r="G297" i="5" s="1"/>
  <c r="G442" i="5" s="1"/>
  <c r="G160" i="5"/>
  <c r="G305" i="5" s="1"/>
  <c r="G450" i="5" s="1"/>
  <c r="I168" i="5"/>
  <c r="I164" i="5"/>
  <c r="G172" i="5"/>
  <c r="G317" i="5" s="1"/>
  <c r="G462" i="5" s="1"/>
  <c r="G154" i="5"/>
  <c r="G299" i="5" s="1"/>
  <c r="G444" i="5" s="1"/>
  <c r="G161" i="5"/>
  <c r="G306" i="5" s="1"/>
  <c r="G451" i="5" s="1"/>
  <c r="I176" i="5"/>
  <c r="N19" i="26"/>
  <c r="N41" i="27"/>
  <c r="N10" i="26"/>
  <c r="N33" i="26"/>
  <c r="N29" i="26"/>
  <c r="N15" i="26"/>
  <c r="N23" i="26"/>
  <c r="N42" i="27"/>
  <c r="N40" i="26"/>
  <c r="N16" i="26"/>
  <c r="N35" i="26"/>
  <c r="N31" i="26"/>
  <c r="G26" i="27"/>
  <c r="G193" i="27" s="1"/>
  <c r="H193" i="27" s="1"/>
  <c r="I193" i="27" s="1"/>
  <c r="J193" i="27" s="1"/>
  <c r="K193" i="27" s="1"/>
  <c r="L193" i="27" s="1"/>
  <c r="M193" i="27" s="1"/>
  <c r="E63" i="20" s="1"/>
  <c r="N27" i="26"/>
  <c r="N39" i="27"/>
  <c r="N37" i="26"/>
  <c r="N32" i="26"/>
  <c r="N8" i="26"/>
  <c r="N43" i="27"/>
  <c r="N22" i="26"/>
  <c r="N30" i="26"/>
  <c r="N32" i="27"/>
  <c r="G25" i="27"/>
  <c r="G192" i="27" s="1"/>
  <c r="H192" i="27" s="1"/>
  <c r="I192" i="27" s="1"/>
  <c r="J192" i="27" s="1"/>
  <c r="K192" i="27" s="1"/>
  <c r="L192" i="27" s="1"/>
  <c r="M192" i="27" s="1"/>
  <c r="E62" i="20" s="1"/>
  <c r="N14" i="26"/>
  <c r="N38" i="26"/>
  <c r="N26" i="26"/>
  <c r="N8" i="27"/>
  <c r="N12" i="26"/>
  <c r="N41" i="26"/>
  <c r="N28" i="26"/>
  <c r="N21" i="27"/>
  <c r="N17" i="26"/>
  <c r="N40" i="27"/>
  <c r="G24" i="27"/>
  <c r="G191" i="27" s="1"/>
  <c r="H191" i="27" s="1"/>
  <c r="I191" i="27" s="1"/>
  <c r="J191" i="27" s="1"/>
  <c r="K191" i="27" s="1"/>
  <c r="L191" i="27" s="1"/>
  <c r="M191" i="27" s="1"/>
  <c r="E61" i="20" s="1"/>
  <c r="N9" i="26"/>
  <c r="N36" i="26"/>
  <c r="N34" i="27"/>
  <c r="N11" i="26"/>
  <c r="N28" i="27"/>
  <c r="N20" i="26"/>
  <c r="N39" i="26"/>
  <c r="N38" i="27"/>
  <c r="N34" i="26"/>
  <c r="H238" i="5"/>
  <c r="G165" i="26" l="1"/>
  <c r="G40" i="25" s="1"/>
  <c r="M43" i="30"/>
  <c r="G42" i="30"/>
  <c r="I309" i="5"/>
  <c r="I313" i="5"/>
  <c r="I308" i="5"/>
  <c r="I321" i="5"/>
  <c r="H312" i="27"/>
  <c r="H367" i="27"/>
  <c r="N33" i="27"/>
  <c r="H257" i="27"/>
  <c r="G225" i="27"/>
  <c r="I129" i="26"/>
  <c r="H165" i="26"/>
  <c r="H40" i="25" s="1"/>
  <c r="H383" i="5"/>
  <c r="H528" i="5" s="1"/>
  <c r="H287" i="27"/>
  <c r="H342" i="27"/>
  <c r="G287" i="26"/>
  <c r="H212" i="26"/>
  <c r="H252" i="26"/>
  <c r="G248" i="27"/>
  <c r="G303" i="27"/>
  <c r="G358" i="27"/>
  <c r="G249" i="27"/>
  <c r="G359" i="27"/>
  <c r="G304" i="27"/>
  <c r="G250" i="27"/>
  <c r="G360" i="27"/>
  <c r="G305" i="27"/>
  <c r="G247" i="26"/>
  <c r="H264" i="27"/>
  <c r="H319" i="27"/>
  <c r="H374" i="27"/>
  <c r="I237" i="27"/>
  <c r="I347" i="27"/>
  <c r="I292" i="27"/>
  <c r="H245" i="27"/>
  <c r="H355" i="27"/>
  <c r="H300" i="27"/>
  <c r="I242" i="27"/>
  <c r="I352" i="27"/>
  <c r="I297" i="27"/>
  <c r="I241" i="27"/>
  <c r="I296" i="27"/>
  <c r="I351" i="27"/>
  <c r="K259" i="27"/>
  <c r="K314" i="27"/>
  <c r="K369" i="27"/>
  <c r="I238" i="27"/>
  <c r="I293" i="27"/>
  <c r="I348" i="27"/>
  <c r="I253" i="27"/>
  <c r="I363" i="27"/>
  <c r="I308" i="27"/>
  <c r="I244" i="27"/>
  <c r="I299" i="27"/>
  <c r="I354" i="27"/>
  <c r="I236" i="27"/>
  <c r="I346" i="27"/>
  <c r="I291" i="27"/>
  <c r="I233" i="27"/>
  <c r="I343" i="27"/>
  <c r="I288" i="27"/>
  <c r="I239" i="27"/>
  <c r="I294" i="27"/>
  <c r="I349" i="27"/>
  <c r="I254" i="27"/>
  <c r="I309" i="27"/>
  <c r="I364" i="27"/>
  <c r="I255" i="27"/>
  <c r="I310" i="27"/>
  <c r="I365" i="27"/>
  <c r="H265" i="27"/>
  <c r="H375" i="27"/>
  <c r="H320" i="27"/>
  <c r="K247" i="27"/>
  <c r="K357" i="27"/>
  <c r="K302" i="27"/>
  <c r="K246" i="27"/>
  <c r="K301" i="27"/>
  <c r="K356" i="27"/>
  <c r="H256" i="27"/>
  <c r="H366" i="27"/>
  <c r="H311" i="27"/>
  <c r="H263" i="27"/>
  <c r="H318" i="27"/>
  <c r="H373" i="27"/>
  <c r="K251" i="27"/>
  <c r="K306" i="27"/>
  <c r="K361" i="27"/>
  <c r="I234" i="27"/>
  <c r="I344" i="27"/>
  <c r="I289" i="27"/>
  <c r="H258" i="27"/>
  <c r="H313" i="27"/>
  <c r="H368" i="27"/>
  <c r="H266" i="27"/>
  <c r="H321" i="27"/>
  <c r="H376" i="27"/>
  <c r="I243" i="27"/>
  <c r="H24" i="12" s="1"/>
  <c r="I298" i="27"/>
  <c r="I353" i="27"/>
  <c r="I240" i="27"/>
  <c r="I350" i="27"/>
  <c r="I295" i="27"/>
  <c r="H262" i="27"/>
  <c r="H317" i="27"/>
  <c r="H372" i="27"/>
  <c r="I235" i="27"/>
  <c r="I345" i="27"/>
  <c r="I290" i="27"/>
  <c r="I257" i="27"/>
  <c r="I367" i="27"/>
  <c r="I312" i="27"/>
  <c r="H267" i="27"/>
  <c r="H322" i="27"/>
  <c r="H377" i="27"/>
  <c r="H237" i="26"/>
  <c r="H277" i="26"/>
  <c r="H240" i="26"/>
  <c r="H280" i="26"/>
  <c r="H222" i="26"/>
  <c r="H262" i="26"/>
  <c r="H261" i="26"/>
  <c r="H221" i="26"/>
  <c r="H216" i="26"/>
  <c r="H256" i="26"/>
  <c r="H239" i="26"/>
  <c r="H279" i="26"/>
  <c r="H273" i="26"/>
  <c r="H233" i="26"/>
  <c r="H267" i="26"/>
  <c r="H227" i="26"/>
  <c r="H260" i="26"/>
  <c r="H220" i="26"/>
  <c r="H265" i="26"/>
  <c r="H225" i="26"/>
  <c r="H213" i="26"/>
  <c r="H253" i="26"/>
  <c r="H231" i="26"/>
  <c r="H271" i="26"/>
  <c r="H274" i="26"/>
  <c r="H234" i="26"/>
  <c r="H283" i="26"/>
  <c r="H243" i="26"/>
  <c r="H278" i="26"/>
  <c r="H238" i="26"/>
  <c r="H219" i="26"/>
  <c r="H259" i="26"/>
  <c r="H255" i="26"/>
  <c r="H215" i="26"/>
  <c r="H226" i="26"/>
  <c r="H266" i="26"/>
  <c r="H242" i="26"/>
  <c r="H282" i="26"/>
  <c r="H245" i="26"/>
  <c r="H285" i="26"/>
  <c r="H275" i="26"/>
  <c r="H235" i="26"/>
  <c r="H241" i="26"/>
  <c r="H281" i="26"/>
  <c r="H286" i="26"/>
  <c r="H246" i="26"/>
  <c r="H232" i="26"/>
  <c r="H272" i="26"/>
  <c r="I252" i="26"/>
  <c r="I212" i="26"/>
  <c r="H268" i="26"/>
  <c r="H228" i="26"/>
  <c r="H254" i="26"/>
  <c r="H214" i="26"/>
  <c r="H257" i="26"/>
  <c r="H217" i="26"/>
  <c r="H244" i="26"/>
  <c r="H284" i="26"/>
  <c r="H236" i="26"/>
  <c r="H276" i="26"/>
  <c r="H264" i="26"/>
  <c r="H224" i="26"/>
  <c r="H195" i="26"/>
  <c r="H201" i="26"/>
  <c r="I172" i="26"/>
  <c r="H188" i="26"/>
  <c r="H174" i="26"/>
  <c r="H180" i="26"/>
  <c r="H185" i="26"/>
  <c r="H173" i="26"/>
  <c r="H194" i="26"/>
  <c r="H172" i="26"/>
  <c r="H200" i="26"/>
  <c r="H179" i="26"/>
  <c r="H184" i="26"/>
  <c r="H182" i="26"/>
  <c r="H181" i="26"/>
  <c r="H206" i="26"/>
  <c r="H192" i="26"/>
  <c r="H187" i="26"/>
  <c r="H177" i="26"/>
  <c r="H204" i="26"/>
  <c r="H191" i="26"/>
  <c r="H196" i="26"/>
  <c r="H203" i="26"/>
  <c r="H197" i="26"/>
  <c r="H198" i="26"/>
  <c r="H175" i="26"/>
  <c r="G207" i="26"/>
  <c r="H186" i="26"/>
  <c r="H202" i="26"/>
  <c r="G120" i="5"/>
  <c r="G265" i="5" s="1"/>
  <c r="G410" i="5" s="1"/>
  <c r="H176" i="26"/>
  <c r="H205" i="26"/>
  <c r="H199" i="26"/>
  <c r="H193" i="26"/>
  <c r="G108" i="5"/>
  <c r="G109" i="5"/>
  <c r="G254" i="5" s="1"/>
  <c r="G399" i="5" s="1"/>
  <c r="G127" i="5"/>
  <c r="G116" i="5"/>
  <c r="G261" i="5" s="1"/>
  <c r="G406" i="5" s="1"/>
  <c r="J164" i="5"/>
  <c r="J309" i="5" s="1"/>
  <c r="J454" i="5" s="1"/>
  <c r="G181" i="5"/>
  <c r="G326" i="5" s="1"/>
  <c r="G471" i="5" s="1"/>
  <c r="G139" i="5"/>
  <c r="G284" i="5" s="1"/>
  <c r="G429" i="5" s="1"/>
  <c r="G133" i="5"/>
  <c r="G278" i="5" s="1"/>
  <c r="G423" i="5" s="1"/>
  <c r="I196" i="26"/>
  <c r="G132" i="5"/>
  <c r="G277" i="5" s="1"/>
  <c r="G422" i="5" s="1"/>
  <c r="G130" i="5"/>
  <c r="G275" i="5" s="1"/>
  <c r="G420" i="5" s="1"/>
  <c r="J168" i="5"/>
  <c r="J313" i="5" s="1"/>
  <c r="J458" i="5" s="1"/>
  <c r="J163" i="5"/>
  <c r="J308" i="5" s="1"/>
  <c r="J453" i="5" s="1"/>
  <c r="G115" i="5"/>
  <c r="G260" i="5" s="1"/>
  <c r="G405" i="5" s="1"/>
  <c r="G136" i="5"/>
  <c r="G281" i="5" s="1"/>
  <c r="G426" i="5" s="1"/>
  <c r="H160" i="5"/>
  <c r="H305" i="5" s="1"/>
  <c r="H450" i="5" s="1"/>
  <c r="G314" i="5"/>
  <c r="G459" i="5" s="1"/>
  <c r="G118" i="5"/>
  <c r="G263" i="5" s="1"/>
  <c r="G408" i="5" s="1"/>
  <c r="G111" i="5"/>
  <c r="G256" i="5" s="1"/>
  <c r="G401" i="5" s="1"/>
  <c r="H152" i="5"/>
  <c r="H297" i="5" s="1"/>
  <c r="H442" i="5" s="1"/>
  <c r="G179" i="5"/>
  <c r="G324" i="5" s="1"/>
  <c r="G469" i="5" s="1"/>
  <c r="G182" i="5"/>
  <c r="G327" i="5" s="1"/>
  <c r="G472" i="5" s="1"/>
  <c r="H108" i="5"/>
  <c r="G141" i="5"/>
  <c r="G286" i="5" s="1"/>
  <c r="G431" i="5" s="1"/>
  <c r="H158" i="5"/>
  <c r="H303" i="5" s="1"/>
  <c r="H448" i="5" s="1"/>
  <c r="G180" i="5"/>
  <c r="G325" i="5" s="1"/>
  <c r="G470" i="5" s="1"/>
  <c r="G140" i="5"/>
  <c r="G285" i="5" s="1"/>
  <c r="G430" i="5" s="1"/>
  <c r="G183" i="5"/>
  <c r="G328" i="5" s="1"/>
  <c r="G473" i="5" s="1"/>
  <c r="H153" i="5"/>
  <c r="H298" i="5" s="1"/>
  <c r="H443" i="5" s="1"/>
  <c r="G110" i="5"/>
  <c r="G255" i="5" s="1"/>
  <c r="G400" i="5" s="1"/>
  <c r="G123" i="5"/>
  <c r="G268" i="5" s="1"/>
  <c r="G413" i="5" s="1"/>
  <c r="G128" i="5"/>
  <c r="G273" i="5" s="1"/>
  <c r="G418" i="5" s="1"/>
  <c r="G134" i="5"/>
  <c r="G279" i="5" s="1"/>
  <c r="G424" i="5" s="1"/>
  <c r="G112" i="5"/>
  <c r="G257" i="5" s="1"/>
  <c r="G402" i="5" s="1"/>
  <c r="H159" i="5"/>
  <c r="H304" i="5" s="1"/>
  <c r="H449" i="5" s="1"/>
  <c r="G129" i="5"/>
  <c r="G274" i="5" s="1"/>
  <c r="G419" i="5" s="1"/>
  <c r="J176" i="5"/>
  <c r="J321" i="5" s="1"/>
  <c r="J466" i="5" s="1"/>
  <c r="H170" i="5"/>
  <c r="H315" i="5" s="1"/>
  <c r="H460" i="5" s="1"/>
  <c r="H151" i="5"/>
  <c r="H296" i="5" s="1"/>
  <c r="H441" i="5" s="1"/>
  <c r="G122" i="5"/>
  <c r="G267" i="5" s="1"/>
  <c r="G412" i="5" s="1"/>
  <c r="H157" i="5"/>
  <c r="H302" i="5" s="1"/>
  <c r="H447" i="5" s="1"/>
  <c r="G135" i="5"/>
  <c r="G280" i="5" s="1"/>
  <c r="G425" i="5" s="1"/>
  <c r="G162" i="5"/>
  <c r="G307" i="5" s="1"/>
  <c r="G452" i="5" s="1"/>
  <c r="G138" i="5"/>
  <c r="G283" i="5" s="1"/>
  <c r="G428" i="5" s="1"/>
  <c r="G117" i="5"/>
  <c r="G262" i="5" s="1"/>
  <c r="G407" i="5" s="1"/>
  <c r="H174" i="5"/>
  <c r="H319" i="5" s="1"/>
  <c r="H464" i="5" s="1"/>
  <c r="G175" i="5"/>
  <c r="G320" i="5" s="1"/>
  <c r="G465" i="5" s="1"/>
  <c r="G173" i="5"/>
  <c r="G318" i="5" s="1"/>
  <c r="G463" i="5" s="1"/>
  <c r="H155" i="5"/>
  <c r="H300" i="5" s="1"/>
  <c r="H445" i="5" s="1"/>
  <c r="G137" i="5"/>
  <c r="G282" i="5" s="1"/>
  <c r="G427" i="5" s="1"/>
  <c r="G131" i="5"/>
  <c r="G276" i="5" s="1"/>
  <c r="G421" i="5" s="1"/>
  <c r="G142" i="5"/>
  <c r="G287" i="5" s="1"/>
  <c r="G432" i="5" s="1"/>
  <c r="H161" i="5"/>
  <c r="H306" i="5" s="1"/>
  <c r="H451" i="5" s="1"/>
  <c r="G121" i="5"/>
  <c r="G266" i="5" s="1"/>
  <c r="G411" i="5" s="1"/>
  <c r="G113" i="5"/>
  <c r="G258" i="5" s="1"/>
  <c r="G403" i="5" s="1"/>
  <c r="G124" i="5"/>
  <c r="G269" i="5" s="1"/>
  <c r="G414" i="5" s="1"/>
  <c r="H154" i="5"/>
  <c r="H299" i="5" s="1"/>
  <c r="H444" i="5" s="1"/>
  <c r="H156" i="5"/>
  <c r="H301" i="5" s="1"/>
  <c r="H446" i="5" s="1"/>
  <c r="H150" i="5"/>
  <c r="H295" i="5" s="1"/>
  <c r="H440" i="5" s="1"/>
  <c r="G184" i="5"/>
  <c r="G329" i="5" s="1"/>
  <c r="G474" i="5" s="1"/>
  <c r="G149" i="5"/>
  <c r="H172" i="5"/>
  <c r="H317" i="5" s="1"/>
  <c r="H462" i="5" s="1"/>
  <c r="H340" i="5"/>
  <c r="H485" i="5" s="1"/>
  <c r="H171" i="5"/>
  <c r="H316" i="5" s="1"/>
  <c r="H461" i="5" s="1"/>
  <c r="N24" i="27"/>
  <c r="N26" i="27"/>
  <c r="N25" i="27"/>
  <c r="G235" i="5"/>
  <c r="I453" i="5" l="1"/>
  <c r="I458" i="5"/>
  <c r="I466" i="5"/>
  <c r="I454" i="5"/>
  <c r="G294" i="5"/>
  <c r="G439" i="5" s="1"/>
  <c r="F44" i="30"/>
  <c r="F39" i="30"/>
  <c r="H25" i="12"/>
  <c r="H26" i="12" s="1"/>
  <c r="G253" i="5"/>
  <c r="G398" i="5" s="1"/>
  <c r="G144" i="5"/>
  <c r="H253" i="5"/>
  <c r="H398" i="5" s="1"/>
  <c r="G272" i="5"/>
  <c r="G417" i="5" s="1"/>
  <c r="G229" i="5"/>
  <c r="J129" i="26"/>
  <c r="G385" i="5"/>
  <c r="G530" i="5" s="1"/>
  <c r="H384" i="5"/>
  <c r="H529" i="5" s="1"/>
  <c r="G380" i="5"/>
  <c r="G525" i="5" s="1"/>
  <c r="G282" i="27"/>
  <c r="G392" i="27"/>
  <c r="G337" i="27"/>
  <c r="I245" i="27"/>
  <c r="I355" i="27"/>
  <c r="I300" i="27"/>
  <c r="J242" i="27"/>
  <c r="J352" i="27"/>
  <c r="J297" i="27"/>
  <c r="I263" i="27"/>
  <c r="I318" i="27"/>
  <c r="I373" i="27"/>
  <c r="I267" i="27"/>
  <c r="I322" i="27"/>
  <c r="I377" i="27"/>
  <c r="H249" i="27"/>
  <c r="H359" i="27"/>
  <c r="H304" i="27"/>
  <c r="J241" i="27"/>
  <c r="J296" i="27"/>
  <c r="J351" i="27"/>
  <c r="J243" i="27"/>
  <c r="I24" i="12" s="1"/>
  <c r="I25" i="12" s="1"/>
  <c r="J298" i="27"/>
  <c r="J353" i="27"/>
  <c r="I264" i="27"/>
  <c r="I319" i="27"/>
  <c r="I374" i="27"/>
  <c r="J239" i="27"/>
  <c r="J294" i="27"/>
  <c r="J349" i="27"/>
  <c r="J237" i="27"/>
  <c r="J347" i="27"/>
  <c r="J292" i="27"/>
  <c r="I265" i="27"/>
  <c r="I375" i="27"/>
  <c r="I320" i="27"/>
  <c r="J233" i="27"/>
  <c r="J343" i="27"/>
  <c r="J288" i="27"/>
  <c r="J240" i="27"/>
  <c r="J350" i="27"/>
  <c r="J295" i="27"/>
  <c r="L247" i="27"/>
  <c r="L357" i="27"/>
  <c r="L302" i="27"/>
  <c r="H250" i="27"/>
  <c r="H360" i="27"/>
  <c r="H305" i="27"/>
  <c r="J238" i="27"/>
  <c r="J293" i="27"/>
  <c r="J348" i="27"/>
  <c r="H248" i="27"/>
  <c r="H303" i="27"/>
  <c r="H358" i="27"/>
  <c r="I256" i="27"/>
  <c r="I366" i="27"/>
  <c r="I311" i="27"/>
  <c r="J234" i="27"/>
  <c r="J344" i="27"/>
  <c r="J289" i="27"/>
  <c r="L246" i="27"/>
  <c r="L301" i="27"/>
  <c r="L356" i="27"/>
  <c r="I258" i="27"/>
  <c r="I313" i="27"/>
  <c r="I368" i="27"/>
  <c r="I262" i="27"/>
  <c r="I317" i="27"/>
  <c r="I372" i="27"/>
  <c r="L251" i="27"/>
  <c r="L306" i="27"/>
  <c r="L361" i="27"/>
  <c r="J254" i="27"/>
  <c r="J309" i="27"/>
  <c r="J364" i="27"/>
  <c r="J257" i="27"/>
  <c r="J367" i="27"/>
  <c r="J312" i="27"/>
  <c r="J253" i="27"/>
  <c r="J363" i="27"/>
  <c r="J308" i="27"/>
  <c r="J236" i="27"/>
  <c r="J291" i="27"/>
  <c r="J346" i="27"/>
  <c r="J235" i="27"/>
  <c r="J290" i="27"/>
  <c r="J345" i="27"/>
  <c r="L259" i="27"/>
  <c r="L314" i="27"/>
  <c r="L369" i="27"/>
  <c r="I266" i="27"/>
  <c r="I321" i="27"/>
  <c r="I376" i="27"/>
  <c r="J255" i="27"/>
  <c r="J310" i="27"/>
  <c r="J365" i="27"/>
  <c r="J244" i="27"/>
  <c r="J299" i="27"/>
  <c r="J354" i="27"/>
  <c r="I232" i="27"/>
  <c r="I287" i="27"/>
  <c r="I342" i="27"/>
  <c r="I236" i="26"/>
  <c r="I276" i="26"/>
  <c r="I246" i="26"/>
  <c r="I286" i="26"/>
  <c r="I283" i="26"/>
  <c r="I243" i="26"/>
  <c r="I275" i="26"/>
  <c r="I235" i="26"/>
  <c r="I279" i="26"/>
  <c r="I239" i="26"/>
  <c r="I285" i="26"/>
  <c r="I245" i="26"/>
  <c r="I240" i="26"/>
  <c r="I280" i="26"/>
  <c r="I226" i="26"/>
  <c r="I266" i="26"/>
  <c r="I232" i="26"/>
  <c r="I272" i="26"/>
  <c r="J252" i="26"/>
  <c r="J212" i="26"/>
  <c r="I219" i="26"/>
  <c r="I259" i="26"/>
  <c r="I260" i="26"/>
  <c r="I220" i="26"/>
  <c r="I231" i="26"/>
  <c r="I271" i="26"/>
  <c r="I257" i="26"/>
  <c r="I217" i="26"/>
  <c r="I253" i="26"/>
  <c r="I213" i="26"/>
  <c r="I234" i="26"/>
  <c r="I274" i="26"/>
  <c r="I261" i="26"/>
  <c r="I221" i="26"/>
  <c r="I255" i="26"/>
  <c r="I215" i="26"/>
  <c r="I282" i="26"/>
  <c r="I242" i="26"/>
  <c r="I273" i="26"/>
  <c r="I233" i="26"/>
  <c r="I284" i="26"/>
  <c r="I244" i="26"/>
  <c r="I222" i="26"/>
  <c r="I262" i="26"/>
  <c r="I277" i="26"/>
  <c r="I237" i="26"/>
  <c r="H247" i="26"/>
  <c r="I216" i="26"/>
  <c r="I256" i="26"/>
  <c r="I281" i="26"/>
  <c r="I241" i="26"/>
  <c r="I278" i="26"/>
  <c r="I238" i="26"/>
  <c r="I267" i="26"/>
  <c r="I227" i="26"/>
  <c r="I268" i="26"/>
  <c r="I228" i="26"/>
  <c r="I254" i="26"/>
  <c r="I214" i="26"/>
  <c r="I264" i="26"/>
  <c r="I224" i="26"/>
  <c r="I265" i="26"/>
  <c r="I225" i="26"/>
  <c r="I192" i="26"/>
  <c r="I179" i="26"/>
  <c r="I184" i="26"/>
  <c r="I177" i="26"/>
  <c r="I194" i="26"/>
  <c r="I185" i="26"/>
  <c r="I181" i="26"/>
  <c r="H207" i="26"/>
  <c r="I193" i="26"/>
  <c r="I182" i="26"/>
  <c r="H120" i="5"/>
  <c r="H265" i="5" s="1"/>
  <c r="H410" i="5" s="1"/>
  <c r="I186" i="26"/>
  <c r="J172" i="26"/>
  <c r="I187" i="26"/>
  <c r="I180" i="26"/>
  <c r="I188" i="26"/>
  <c r="I174" i="26"/>
  <c r="I191" i="26"/>
  <c r="H287" i="26"/>
  <c r="I173" i="26"/>
  <c r="I175" i="26"/>
  <c r="I202" i="26"/>
  <c r="I204" i="26"/>
  <c r="I197" i="26"/>
  <c r="I206" i="26"/>
  <c r="I203" i="26"/>
  <c r="I195" i="26"/>
  <c r="I199" i="26"/>
  <c r="I176" i="26"/>
  <c r="I201" i="26"/>
  <c r="I198" i="26"/>
  <c r="I205" i="26"/>
  <c r="I200" i="26"/>
  <c r="G236" i="5"/>
  <c r="G226" i="5"/>
  <c r="K176" i="5"/>
  <c r="K321" i="5" s="1"/>
  <c r="K466" i="5" s="1"/>
  <c r="H183" i="5"/>
  <c r="H328" i="5" s="1"/>
  <c r="H473" i="5" s="1"/>
  <c r="H111" i="5"/>
  <c r="H256" i="5" s="1"/>
  <c r="H401" i="5" s="1"/>
  <c r="H132" i="5"/>
  <c r="H277" i="5" s="1"/>
  <c r="H422" i="5" s="1"/>
  <c r="I172" i="5"/>
  <c r="I161" i="5"/>
  <c r="G167" i="5"/>
  <c r="G312" i="5" s="1"/>
  <c r="G457" i="5" s="1"/>
  <c r="H138" i="5"/>
  <c r="H283" i="5" s="1"/>
  <c r="H428" i="5" s="1"/>
  <c r="H129" i="5"/>
  <c r="H274" i="5" s="1"/>
  <c r="H419" i="5" s="1"/>
  <c r="H140" i="5"/>
  <c r="H285" i="5" s="1"/>
  <c r="H430" i="5" s="1"/>
  <c r="H118" i="5"/>
  <c r="H263" i="5" s="1"/>
  <c r="H408" i="5" s="1"/>
  <c r="H133" i="5"/>
  <c r="H278" i="5" s="1"/>
  <c r="H423" i="5" s="1"/>
  <c r="H149" i="5"/>
  <c r="G234" i="5"/>
  <c r="H142" i="5"/>
  <c r="H287" i="5" s="1"/>
  <c r="H432" i="5" s="1"/>
  <c r="H180" i="5"/>
  <c r="H325" i="5" s="1"/>
  <c r="H470" i="5" s="1"/>
  <c r="H135" i="5"/>
  <c r="H280" i="5" s="1"/>
  <c r="H425" i="5" s="1"/>
  <c r="G237" i="5"/>
  <c r="H137" i="5"/>
  <c r="H282" i="5" s="1"/>
  <c r="H427" i="5" s="1"/>
  <c r="I156" i="5"/>
  <c r="K164" i="5"/>
  <c r="K309" i="5" s="1"/>
  <c r="K454" i="5" s="1"/>
  <c r="H182" i="5"/>
  <c r="H327" i="5" s="1"/>
  <c r="H472" i="5" s="1"/>
  <c r="H175" i="5"/>
  <c r="H320" i="5" s="1"/>
  <c r="H465" i="5" s="1"/>
  <c r="H110" i="5"/>
  <c r="H255" i="5" s="1"/>
  <c r="H400" i="5" s="1"/>
  <c r="H179" i="5"/>
  <c r="H324" i="5" s="1"/>
  <c r="H469" i="5" s="1"/>
  <c r="K168" i="5"/>
  <c r="K313" i="5" s="1"/>
  <c r="K458" i="5" s="1"/>
  <c r="H127" i="5"/>
  <c r="G165" i="5"/>
  <c r="G310" i="5" s="1"/>
  <c r="G455" i="5" s="1"/>
  <c r="H162" i="5"/>
  <c r="H307" i="5" s="1"/>
  <c r="H452" i="5" s="1"/>
  <c r="I159" i="5"/>
  <c r="H314" i="5"/>
  <c r="H459" i="5" s="1"/>
  <c r="H112" i="5"/>
  <c r="H257" i="5" s="1"/>
  <c r="H402" i="5" s="1"/>
  <c r="I160" i="5"/>
  <c r="H134" i="5"/>
  <c r="H279" i="5" s="1"/>
  <c r="H424" i="5" s="1"/>
  <c r="I108" i="5"/>
  <c r="H173" i="5"/>
  <c r="H318" i="5" s="1"/>
  <c r="H463" i="5" s="1"/>
  <c r="K163" i="5"/>
  <c r="K308" i="5" s="1"/>
  <c r="K453" i="5" s="1"/>
  <c r="H184" i="5"/>
  <c r="H329" i="5" s="1"/>
  <c r="H474" i="5" s="1"/>
  <c r="I158" i="5"/>
  <c r="I150" i="5"/>
  <c r="H141" i="5"/>
  <c r="H286" i="5" s="1"/>
  <c r="H431" i="5" s="1"/>
  <c r="H115" i="5"/>
  <c r="H260" i="5" s="1"/>
  <c r="H405" i="5" s="1"/>
  <c r="I154" i="5"/>
  <c r="I151" i="5"/>
  <c r="H123" i="5"/>
  <c r="H268" i="5" s="1"/>
  <c r="H413" i="5" s="1"/>
  <c r="H116" i="5"/>
  <c r="H261" i="5" s="1"/>
  <c r="H406" i="5" s="1"/>
  <c r="G232" i="5"/>
  <c r="G223" i="5"/>
  <c r="H113" i="5"/>
  <c r="H258" i="5" s="1"/>
  <c r="H403" i="5" s="1"/>
  <c r="I174" i="5"/>
  <c r="I170" i="5"/>
  <c r="I153" i="5"/>
  <c r="I152" i="5"/>
  <c r="H130" i="5"/>
  <c r="H275" i="5" s="1"/>
  <c r="H420" i="5" s="1"/>
  <c r="H117" i="5"/>
  <c r="H262" i="5" s="1"/>
  <c r="H407" i="5" s="1"/>
  <c r="H139" i="5"/>
  <c r="H284" i="5" s="1"/>
  <c r="H429" i="5" s="1"/>
  <c r="H131" i="5"/>
  <c r="H276" i="5" s="1"/>
  <c r="H421" i="5" s="1"/>
  <c r="H181" i="5"/>
  <c r="H326" i="5" s="1"/>
  <c r="H471" i="5" s="1"/>
  <c r="I157" i="5"/>
  <c r="H136" i="5"/>
  <c r="H281" i="5" s="1"/>
  <c r="H426" i="5" s="1"/>
  <c r="I155" i="5"/>
  <c r="H122" i="5"/>
  <c r="H267" i="5" s="1"/>
  <c r="H412" i="5" s="1"/>
  <c r="H128" i="5"/>
  <c r="H273" i="5" s="1"/>
  <c r="H418" i="5" s="1"/>
  <c r="G224" i="5"/>
  <c r="H124" i="5"/>
  <c r="H269" i="5" s="1"/>
  <c r="H414" i="5" s="1"/>
  <c r="I171" i="5"/>
  <c r="G166" i="5"/>
  <c r="G311" i="5" s="1"/>
  <c r="G456" i="5" s="1"/>
  <c r="H121" i="5"/>
  <c r="H266" i="5" s="1"/>
  <c r="H411" i="5" s="1"/>
  <c r="H109" i="5"/>
  <c r="H254" i="5" s="1"/>
  <c r="H399" i="5" s="1"/>
  <c r="I238" i="5"/>
  <c r="H228" i="5"/>
  <c r="H227" i="5"/>
  <c r="I225" i="5"/>
  <c r="I26" i="12" l="1"/>
  <c r="G199" i="5"/>
  <c r="H294" i="5"/>
  <c r="H439" i="5" s="1"/>
  <c r="H27" i="30"/>
  <c r="H15" i="30"/>
  <c r="F19" i="30"/>
  <c r="F31" i="30"/>
  <c r="G17" i="30"/>
  <c r="G29" i="30"/>
  <c r="F41" i="30"/>
  <c r="F28" i="30"/>
  <c r="F16" i="30"/>
  <c r="F38" i="30"/>
  <c r="F25" i="30"/>
  <c r="F33" i="30"/>
  <c r="F20" i="30"/>
  <c r="F13" i="30"/>
  <c r="F26" i="30"/>
  <c r="F14" i="30"/>
  <c r="G18" i="30"/>
  <c r="G30" i="30"/>
  <c r="F40" i="30"/>
  <c r="H42" i="30"/>
  <c r="G44" i="30"/>
  <c r="F36" i="30"/>
  <c r="G289" i="5"/>
  <c r="G434" i="5" s="1"/>
  <c r="H144" i="5"/>
  <c r="I340" i="5"/>
  <c r="I485" i="5" s="1"/>
  <c r="I298" i="5"/>
  <c r="I296" i="5"/>
  <c r="I317" i="5"/>
  <c r="I305" i="5"/>
  <c r="I302" i="5"/>
  <c r="I315" i="5"/>
  <c r="I299" i="5"/>
  <c r="I253" i="5"/>
  <c r="I301" i="5"/>
  <c r="I316" i="5"/>
  <c r="I319" i="5"/>
  <c r="I295" i="5"/>
  <c r="I303" i="5"/>
  <c r="I300" i="5"/>
  <c r="I297" i="5"/>
  <c r="I304" i="5"/>
  <c r="I306" i="5"/>
  <c r="H272" i="5"/>
  <c r="H417" i="5" s="1"/>
  <c r="H229" i="5"/>
  <c r="K129" i="26"/>
  <c r="J165" i="26"/>
  <c r="J40" i="25" s="1"/>
  <c r="I383" i="5"/>
  <c r="H385" i="5"/>
  <c r="H530" i="5" s="1"/>
  <c r="I370" i="5"/>
  <c r="I515" i="5" s="1"/>
  <c r="H372" i="5"/>
  <c r="H517" i="5" s="1"/>
  <c r="H373" i="5"/>
  <c r="H518" i="5" s="1"/>
  <c r="G379" i="5"/>
  <c r="G524" i="5" s="1"/>
  <c r="G368" i="5"/>
  <c r="G513" i="5" s="1"/>
  <c r="G377" i="5"/>
  <c r="G522" i="5" s="1"/>
  <c r="G369" i="5"/>
  <c r="G514" i="5" s="1"/>
  <c r="G382" i="5"/>
  <c r="G527" i="5" s="1"/>
  <c r="G374" i="5"/>
  <c r="G519" i="5" s="1"/>
  <c r="G371" i="5"/>
  <c r="G516" i="5" s="1"/>
  <c r="H392" i="27"/>
  <c r="H337" i="27"/>
  <c r="H282" i="27"/>
  <c r="G381" i="5"/>
  <c r="G526" i="5" s="1"/>
  <c r="I247" i="26"/>
  <c r="M246" i="27"/>
  <c r="N246" i="27" s="1"/>
  <c r="M301" i="27"/>
  <c r="N301" i="27" s="1"/>
  <c r="M356" i="27"/>
  <c r="N356" i="27" s="1"/>
  <c r="K236" i="27"/>
  <c r="K291" i="27"/>
  <c r="K346" i="27"/>
  <c r="K242" i="27"/>
  <c r="K297" i="27"/>
  <c r="K352" i="27"/>
  <c r="J245" i="27"/>
  <c r="J355" i="27"/>
  <c r="J300" i="27"/>
  <c r="K239" i="27"/>
  <c r="K349" i="27"/>
  <c r="K294" i="27"/>
  <c r="M259" i="27"/>
  <c r="N259" i="27" s="1"/>
  <c r="M314" i="27"/>
  <c r="N314" i="27" s="1"/>
  <c r="M369" i="27"/>
  <c r="N369" i="27" s="1"/>
  <c r="I248" i="27"/>
  <c r="I303" i="27"/>
  <c r="I358" i="27"/>
  <c r="J256" i="27"/>
  <c r="J366" i="27"/>
  <c r="J311" i="27"/>
  <c r="K234" i="27"/>
  <c r="K344" i="27"/>
  <c r="K289" i="27"/>
  <c r="K235" i="27"/>
  <c r="K290" i="27"/>
  <c r="K345" i="27"/>
  <c r="M251" i="27"/>
  <c r="N251" i="27" s="1"/>
  <c r="M306" i="27"/>
  <c r="N306" i="27" s="1"/>
  <c r="M361" i="27"/>
  <c r="N361" i="27" s="1"/>
  <c r="K238" i="27"/>
  <c r="K293" i="27"/>
  <c r="K348" i="27"/>
  <c r="K237" i="27"/>
  <c r="K347" i="27"/>
  <c r="K292" i="27"/>
  <c r="J263" i="27"/>
  <c r="J318" i="27"/>
  <c r="J373" i="27"/>
  <c r="I250" i="27"/>
  <c r="I360" i="27"/>
  <c r="I305" i="27"/>
  <c r="J262" i="27"/>
  <c r="J317" i="27"/>
  <c r="J372" i="27"/>
  <c r="K253" i="27"/>
  <c r="K363" i="27"/>
  <c r="K308" i="27"/>
  <c r="K243" i="27"/>
  <c r="J24" i="12" s="1"/>
  <c r="J25" i="12" s="1"/>
  <c r="K298" i="27"/>
  <c r="K353" i="27"/>
  <c r="K244" i="27"/>
  <c r="K299" i="27"/>
  <c r="K354" i="27"/>
  <c r="K240" i="27"/>
  <c r="K350" i="27"/>
  <c r="K295" i="27"/>
  <c r="K257" i="27"/>
  <c r="K367" i="27"/>
  <c r="K312" i="27"/>
  <c r="K255" i="27"/>
  <c r="K310" i="27"/>
  <c r="K365" i="27"/>
  <c r="J258" i="27"/>
  <c r="J313" i="27"/>
  <c r="J368" i="27"/>
  <c r="I249" i="27"/>
  <c r="I304" i="27"/>
  <c r="I359" i="27"/>
  <c r="J264" i="27"/>
  <c r="J319" i="27"/>
  <c r="J374" i="27"/>
  <c r="K233" i="27"/>
  <c r="K343" i="27"/>
  <c r="K288" i="27"/>
  <c r="J265" i="27"/>
  <c r="J375" i="27"/>
  <c r="J320" i="27"/>
  <c r="K241" i="27"/>
  <c r="K296" i="27"/>
  <c r="K351" i="27"/>
  <c r="K254" i="27"/>
  <c r="K309" i="27"/>
  <c r="K364" i="27"/>
  <c r="M247" i="27"/>
  <c r="N247" i="27" s="1"/>
  <c r="M357" i="27"/>
  <c r="N357" i="27" s="1"/>
  <c r="M302" i="27"/>
  <c r="N302" i="27" s="1"/>
  <c r="J267" i="27"/>
  <c r="J322" i="27"/>
  <c r="J377" i="27"/>
  <c r="J266" i="27"/>
  <c r="J321" i="27"/>
  <c r="J376" i="27"/>
  <c r="J232" i="27"/>
  <c r="J342" i="27"/>
  <c r="J287" i="27"/>
  <c r="K264" i="26"/>
  <c r="K224" i="26"/>
  <c r="J283" i="26"/>
  <c r="J243" i="26"/>
  <c r="J277" i="26"/>
  <c r="J237" i="26"/>
  <c r="J222" i="26"/>
  <c r="J262" i="26"/>
  <c r="J271" i="26"/>
  <c r="J231" i="26"/>
  <c r="J213" i="26"/>
  <c r="J253" i="26"/>
  <c r="J282" i="26"/>
  <c r="J242" i="26"/>
  <c r="J265" i="26"/>
  <c r="J225" i="26"/>
  <c r="J280" i="26"/>
  <c r="J240" i="26"/>
  <c r="J259" i="26"/>
  <c r="J219" i="26"/>
  <c r="J278" i="26"/>
  <c r="J238" i="26"/>
  <c r="J285" i="26"/>
  <c r="J245" i="26"/>
  <c r="J246" i="26"/>
  <c r="J286" i="26"/>
  <c r="J254" i="26"/>
  <c r="J214" i="26"/>
  <c r="J216" i="26"/>
  <c r="J256" i="26"/>
  <c r="J264" i="26"/>
  <c r="J224" i="26"/>
  <c r="J257" i="26"/>
  <c r="J217" i="26"/>
  <c r="J275" i="26"/>
  <c r="J235" i="26"/>
  <c r="J255" i="26"/>
  <c r="J215" i="26"/>
  <c r="J228" i="26"/>
  <c r="J268" i="26"/>
  <c r="J260" i="26"/>
  <c r="J220" i="26"/>
  <c r="J221" i="26"/>
  <c r="J261" i="26"/>
  <c r="J267" i="26"/>
  <c r="J227" i="26"/>
  <c r="J232" i="26"/>
  <c r="J272" i="26"/>
  <c r="J274" i="26"/>
  <c r="J234" i="26"/>
  <c r="J284" i="26"/>
  <c r="J244" i="26"/>
  <c r="J241" i="26"/>
  <c r="J281" i="26"/>
  <c r="J266" i="26"/>
  <c r="J226" i="26"/>
  <c r="K252" i="26"/>
  <c r="K212" i="26"/>
  <c r="J273" i="26"/>
  <c r="J233" i="26"/>
  <c r="I120" i="5"/>
  <c r="J279" i="26"/>
  <c r="J239" i="26"/>
  <c r="J187" i="26"/>
  <c r="J192" i="26"/>
  <c r="J194" i="26"/>
  <c r="J204" i="26"/>
  <c r="J201" i="26"/>
  <c r="J186" i="26"/>
  <c r="K172" i="26"/>
  <c r="J193" i="26"/>
  <c r="J191" i="26"/>
  <c r="J173" i="26"/>
  <c r="K184" i="26"/>
  <c r="J199" i="26"/>
  <c r="J202" i="26"/>
  <c r="J185" i="26"/>
  <c r="J200" i="26"/>
  <c r="J179" i="26"/>
  <c r="J198" i="26"/>
  <c r="J205" i="26"/>
  <c r="J206" i="26"/>
  <c r="J174" i="26"/>
  <c r="J176" i="26"/>
  <c r="J177" i="26"/>
  <c r="J195" i="26"/>
  <c r="I287" i="26"/>
  <c r="J203" i="26"/>
  <c r="J197" i="26"/>
  <c r="J175" i="26"/>
  <c r="I207" i="26"/>
  <c r="J188" i="26"/>
  <c r="J180" i="26"/>
  <c r="J184" i="26"/>
  <c r="J181" i="26"/>
  <c r="J182" i="26"/>
  <c r="J151" i="5"/>
  <c r="J296" i="5" s="1"/>
  <c r="J441" i="5" s="1"/>
  <c r="H165" i="5"/>
  <c r="H310" i="5" s="1"/>
  <c r="H455" i="5" s="1"/>
  <c r="I137" i="5"/>
  <c r="I122" i="5"/>
  <c r="J152" i="5"/>
  <c r="J297" i="5" s="1"/>
  <c r="J442" i="5" s="1"/>
  <c r="J108" i="5"/>
  <c r="I129" i="5"/>
  <c r="I127" i="5"/>
  <c r="I109" i="5"/>
  <c r="J155" i="5"/>
  <c r="J300" i="5" s="1"/>
  <c r="J445" i="5" s="1"/>
  <c r="J153" i="5"/>
  <c r="J298" i="5" s="1"/>
  <c r="J443" i="5" s="1"/>
  <c r="J154" i="5"/>
  <c r="J299" i="5" s="1"/>
  <c r="J444" i="5" s="1"/>
  <c r="J120" i="5"/>
  <c r="J265" i="5" s="1"/>
  <c r="J410" i="5" s="1"/>
  <c r="I135" i="5"/>
  <c r="I138" i="5"/>
  <c r="I121" i="5"/>
  <c r="I136" i="5"/>
  <c r="I134" i="5"/>
  <c r="I142" i="5"/>
  <c r="J171" i="5"/>
  <c r="J316" i="5" s="1"/>
  <c r="J461" i="5" s="1"/>
  <c r="I184" i="5"/>
  <c r="I116" i="5"/>
  <c r="J159" i="5"/>
  <c r="J304" i="5" s="1"/>
  <c r="J449" i="5" s="1"/>
  <c r="J170" i="5"/>
  <c r="J315" i="5" s="1"/>
  <c r="J460" i="5" s="1"/>
  <c r="I179" i="5"/>
  <c r="I110" i="5"/>
  <c r="I112" i="5"/>
  <c r="J172" i="5"/>
  <c r="J317" i="5" s="1"/>
  <c r="J462" i="5" s="1"/>
  <c r="H237" i="5"/>
  <c r="I175" i="5"/>
  <c r="I182" i="5"/>
  <c r="I133" i="5"/>
  <c r="I115" i="5"/>
  <c r="I180" i="5"/>
  <c r="J157" i="5"/>
  <c r="J302" i="5" s="1"/>
  <c r="J447" i="5" s="1"/>
  <c r="I141" i="5"/>
  <c r="J161" i="5"/>
  <c r="J306" i="5" s="1"/>
  <c r="J451" i="5" s="1"/>
  <c r="H166" i="5"/>
  <c r="H311" i="5" s="1"/>
  <c r="H456" i="5" s="1"/>
  <c r="I181" i="5"/>
  <c r="J150" i="5"/>
  <c r="J295" i="5" s="1"/>
  <c r="J440" i="5" s="1"/>
  <c r="I113" i="5"/>
  <c r="J158" i="5"/>
  <c r="J303" i="5" s="1"/>
  <c r="J448" i="5" s="1"/>
  <c r="H234" i="5"/>
  <c r="I123" i="5"/>
  <c r="I162" i="5"/>
  <c r="J156" i="5"/>
  <c r="J301" i="5" s="1"/>
  <c r="J446" i="5" s="1"/>
  <c r="M168" i="5"/>
  <c r="M313" i="5" s="1"/>
  <c r="M458" i="5" s="1"/>
  <c r="L168" i="5"/>
  <c r="L313" i="5" s="1"/>
  <c r="L458" i="5" s="1"/>
  <c r="H167" i="5"/>
  <c r="H312" i="5" s="1"/>
  <c r="H457" i="5" s="1"/>
  <c r="J340" i="5"/>
  <c r="J485" i="5" s="1"/>
  <c r="J174" i="5"/>
  <c r="J319" i="5" s="1"/>
  <c r="J464" i="5" s="1"/>
  <c r="J160" i="5"/>
  <c r="J305" i="5" s="1"/>
  <c r="J450" i="5" s="1"/>
  <c r="I131" i="5"/>
  <c r="I149" i="5"/>
  <c r="I139" i="5"/>
  <c r="I111" i="5"/>
  <c r="I124" i="5"/>
  <c r="M164" i="5"/>
  <c r="M309" i="5" s="1"/>
  <c r="M454" i="5" s="1"/>
  <c r="L164" i="5"/>
  <c r="L309" i="5" s="1"/>
  <c r="L454" i="5" s="1"/>
  <c r="I117" i="5"/>
  <c r="M163" i="5"/>
  <c r="M308" i="5" s="1"/>
  <c r="M453" i="5" s="1"/>
  <c r="L163" i="5"/>
  <c r="I118" i="5"/>
  <c r="I183" i="5"/>
  <c r="G233" i="5"/>
  <c r="I128" i="5"/>
  <c r="I130" i="5"/>
  <c r="I173" i="5"/>
  <c r="I140" i="5"/>
  <c r="M176" i="5"/>
  <c r="M321" i="5" s="1"/>
  <c r="M466" i="5" s="1"/>
  <c r="L176" i="5"/>
  <c r="L321" i="5" s="1"/>
  <c r="L466" i="5" s="1"/>
  <c r="H226" i="5"/>
  <c r="H236" i="5"/>
  <c r="H232" i="5"/>
  <c r="H235" i="5"/>
  <c r="H223" i="5"/>
  <c r="N454" i="5" l="1"/>
  <c r="N163" i="5"/>
  <c r="N458" i="5"/>
  <c r="N466" i="5"/>
  <c r="N313" i="5"/>
  <c r="N309" i="5"/>
  <c r="I447" i="5"/>
  <c r="I444" i="5"/>
  <c r="N168" i="5"/>
  <c r="I528" i="5"/>
  <c r="I450" i="5"/>
  <c r="I462" i="5"/>
  <c r="I440" i="5"/>
  <c r="I441" i="5"/>
  <c r="N164" i="5"/>
  <c r="I445" i="5"/>
  <c r="I443" i="5"/>
  <c r="I442" i="5"/>
  <c r="I461" i="5"/>
  <c r="I446" i="5"/>
  <c r="I398" i="5"/>
  <c r="N176" i="5"/>
  <c r="I448" i="5"/>
  <c r="I464" i="5"/>
  <c r="N321" i="5"/>
  <c r="I460" i="5"/>
  <c r="I451" i="5"/>
  <c r="I449" i="5"/>
  <c r="J26" i="12"/>
  <c r="H199" i="5"/>
  <c r="G25" i="30"/>
  <c r="G33" i="30"/>
  <c r="G20" i="30"/>
  <c r="G13" i="30"/>
  <c r="G36" i="30"/>
  <c r="G40" i="30"/>
  <c r="G38" i="30"/>
  <c r="G39" i="30"/>
  <c r="G28" i="30"/>
  <c r="G16" i="30"/>
  <c r="G31" i="30"/>
  <c r="G19" i="30"/>
  <c r="F37" i="30"/>
  <c r="G41" i="30"/>
  <c r="H44" i="30"/>
  <c r="H289" i="5"/>
  <c r="H434" i="5" s="1"/>
  <c r="J253" i="5"/>
  <c r="J398" i="5" s="1"/>
  <c r="I329" i="5"/>
  <c r="I267" i="5"/>
  <c r="I269" i="5"/>
  <c r="I257" i="5"/>
  <c r="I282" i="5"/>
  <c r="I285" i="5"/>
  <c r="I294" i="5"/>
  <c r="I326" i="5"/>
  <c r="I327" i="5"/>
  <c r="I283" i="5"/>
  <c r="I274" i="5"/>
  <c r="I273" i="5"/>
  <c r="I286" i="5"/>
  <c r="I287" i="5"/>
  <c r="I328" i="5"/>
  <c r="I256" i="5"/>
  <c r="I325" i="5"/>
  <c r="I255" i="5"/>
  <c r="I318" i="5"/>
  <c r="I262" i="5"/>
  <c r="I276" i="5"/>
  <c r="I307" i="5"/>
  <c r="I320" i="5"/>
  <c r="I261" i="5"/>
  <c r="I280" i="5"/>
  <c r="I268" i="5"/>
  <c r="I265" i="5"/>
  <c r="I263" i="5"/>
  <c r="I284" i="5"/>
  <c r="I258" i="5"/>
  <c r="I260" i="5"/>
  <c r="I324" i="5"/>
  <c r="I281" i="5"/>
  <c r="I254" i="5"/>
  <c r="I275" i="5"/>
  <c r="I279" i="5"/>
  <c r="L308" i="5"/>
  <c r="I314" i="5"/>
  <c r="I278" i="5"/>
  <c r="I266" i="5"/>
  <c r="I272" i="5"/>
  <c r="D64" i="20"/>
  <c r="D60" i="20"/>
  <c r="D72" i="20"/>
  <c r="D59" i="20"/>
  <c r="L129" i="26"/>
  <c r="K165" i="26"/>
  <c r="K40" i="25" s="1"/>
  <c r="H368" i="5"/>
  <c r="H513" i="5" s="1"/>
  <c r="I384" i="5"/>
  <c r="H379" i="5"/>
  <c r="H524" i="5" s="1"/>
  <c r="H381" i="5"/>
  <c r="H526" i="5" s="1"/>
  <c r="H382" i="5"/>
  <c r="H527" i="5" s="1"/>
  <c r="H377" i="5"/>
  <c r="H522" i="5" s="1"/>
  <c r="I385" i="5"/>
  <c r="H380" i="5"/>
  <c r="H525" i="5" s="1"/>
  <c r="H374" i="5"/>
  <c r="H519" i="5" s="1"/>
  <c r="H371" i="5"/>
  <c r="H516" i="5" s="1"/>
  <c r="G378" i="5"/>
  <c r="G523" i="5" s="1"/>
  <c r="I337" i="27"/>
  <c r="I392" i="27"/>
  <c r="I282" i="27"/>
  <c r="L253" i="27"/>
  <c r="L363" i="27"/>
  <c r="L308" i="27"/>
  <c r="L241" i="27"/>
  <c r="L296" i="27"/>
  <c r="L351" i="27"/>
  <c r="L242" i="27"/>
  <c r="L297" i="27"/>
  <c r="L352" i="27"/>
  <c r="L235" i="27"/>
  <c r="L290" i="27"/>
  <c r="L345" i="27"/>
  <c r="K256" i="27"/>
  <c r="K366" i="27"/>
  <c r="K311" i="27"/>
  <c r="L233" i="27"/>
  <c r="L343" i="27"/>
  <c r="L288" i="27"/>
  <c r="K265" i="27"/>
  <c r="K375" i="27"/>
  <c r="K320" i="27"/>
  <c r="K264" i="27"/>
  <c r="K374" i="27"/>
  <c r="K319" i="27"/>
  <c r="K258" i="27"/>
  <c r="K313" i="27"/>
  <c r="K368" i="27"/>
  <c r="L237" i="27"/>
  <c r="L347" i="27"/>
  <c r="L292" i="27"/>
  <c r="L239" i="27"/>
  <c r="L349" i="27"/>
  <c r="L294" i="27"/>
  <c r="L254" i="27"/>
  <c r="L309" i="27"/>
  <c r="L364" i="27"/>
  <c r="J248" i="27"/>
  <c r="J303" i="27"/>
  <c r="J358" i="27"/>
  <c r="L255" i="27"/>
  <c r="L310" i="27"/>
  <c r="L365" i="27"/>
  <c r="K245" i="27"/>
  <c r="K355" i="27"/>
  <c r="K300" i="27"/>
  <c r="L244" i="27"/>
  <c r="L354" i="27"/>
  <c r="L299" i="27"/>
  <c r="L238" i="27"/>
  <c r="L293" i="27"/>
  <c r="L348" i="27"/>
  <c r="L234" i="27"/>
  <c r="L344" i="27"/>
  <c r="L289" i="27"/>
  <c r="K266" i="27"/>
  <c r="K321" i="27"/>
  <c r="K376" i="27"/>
  <c r="L240" i="27"/>
  <c r="L350" i="27"/>
  <c r="L295" i="27"/>
  <c r="K262" i="27"/>
  <c r="K317" i="27"/>
  <c r="K372" i="27"/>
  <c r="L257" i="27"/>
  <c r="L367" i="27"/>
  <c r="L312" i="27"/>
  <c r="J250" i="27"/>
  <c r="J360" i="27"/>
  <c r="J305" i="27"/>
  <c r="K267" i="27"/>
  <c r="K377" i="27"/>
  <c r="K322" i="27"/>
  <c r="J249" i="27"/>
  <c r="J304" i="27"/>
  <c r="J359" i="27"/>
  <c r="L236" i="27"/>
  <c r="L346" i="27"/>
  <c r="L291" i="27"/>
  <c r="L243" i="27"/>
  <c r="K24" i="12" s="1"/>
  <c r="L353" i="27"/>
  <c r="L298" i="27"/>
  <c r="K263" i="27"/>
  <c r="K318" i="27"/>
  <c r="K373" i="27"/>
  <c r="K232" i="27"/>
  <c r="K342" i="27"/>
  <c r="K287" i="27"/>
  <c r="K255" i="26"/>
  <c r="K215" i="26"/>
  <c r="K241" i="26"/>
  <c r="K281" i="26"/>
  <c r="K234" i="26"/>
  <c r="K274" i="26"/>
  <c r="K232" i="26"/>
  <c r="K272" i="26"/>
  <c r="K283" i="26"/>
  <c r="K243" i="26"/>
  <c r="K246" i="26"/>
  <c r="K286" i="26"/>
  <c r="K216" i="26"/>
  <c r="K256" i="26"/>
  <c r="K227" i="26"/>
  <c r="K267" i="26"/>
  <c r="K285" i="26"/>
  <c r="K245" i="26"/>
  <c r="K278" i="26"/>
  <c r="K238" i="26"/>
  <c r="K213" i="26"/>
  <c r="K253" i="26"/>
  <c r="K262" i="26"/>
  <c r="K222" i="26"/>
  <c r="K254" i="26"/>
  <c r="K214" i="26"/>
  <c r="K275" i="26"/>
  <c r="K235" i="26"/>
  <c r="K280" i="26"/>
  <c r="K240" i="26"/>
  <c r="K271" i="26"/>
  <c r="K231" i="26"/>
  <c r="K265" i="26"/>
  <c r="K225" i="26"/>
  <c r="K273" i="26"/>
  <c r="K233" i="26"/>
  <c r="K261" i="26"/>
  <c r="K221" i="26"/>
  <c r="K219" i="26"/>
  <c r="K259" i="26"/>
  <c r="K282" i="26"/>
  <c r="K242" i="26"/>
  <c r="L252" i="26"/>
  <c r="L212" i="26"/>
  <c r="K244" i="26"/>
  <c r="K284" i="26"/>
  <c r="K257" i="26"/>
  <c r="K217" i="26"/>
  <c r="K237" i="26"/>
  <c r="K277" i="26"/>
  <c r="K279" i="26"/>
  <c r="K239" i="26"/>
  <c r="K228" i="26"/>
  <c r="K268" i="26"/>
  <c r="K260" i="26"/>
  <c r="K220" i="26"/>
  <c r="L224" i="26"/>
  <c r="L264" i="26"/>
  <c r="K266" i="26"/>
  <c r="K226" i="26"/>
  <c r="K204" i="26"/>
  <c r="K177" i="26"/>
  <c r="K197" i="26"/>
  <c r="K199" i="26"/>
  <c r="K188" i="26"/>
  <c r="K180" i="26"/>
  <c r="L184" i="26"/>
  <c r="K186" i="26"/>
  <c r="K194" i="26"/>
  <c r="K175" i="26"/>
  <c r="K201" i="26"/>
  <c r="K192" i="26"/>
  <c r="K203" i="26"/>
  <c r="K206" i="26"/>
  <c r="K176" i="26"/>
  <c r="K187" i="26"/>
  <c r="K205" i="26"/>
  <c r="K198" i="26"/>
  <c r="K173" i="26"/>
  <c r="K182" i="26"/>
  <c r="K174" i="26"/>
  <c r="K195" i="26"/>
  <c r="K200" i="26"/>
  <c r="K191" i="26"/>
  <c r="K185" i="26"/>
  <c r="K193" i="26"/>
  <c r="K181" i="26"/>
  <c r="K179" i="26"/>
  <c r="K202" i="26"/>
  <c r="L172" i="26"/>
  <c r="J183" i="5"/>
  <c r="J328" i="5" s="1"/>
  <c r="J473" i="5" s="1"/>
  <c r="J112" i="5"/>
  <c r="J257" i="5" s="1"/>
  <c r="J402" i="5" s="1"/>
  <c r="J149" i="5"/>
  <c r="J123" i="5"/>
  <c r="J268" i="5" s="1"/>
  <c r="J413" i="5" s="1"/>
  <c r="J141" i="5"/>
  <c r="J286" i="5" s="1"/>
  <c r="J431" i="5" s="1"/>
  <c r="J134" i="5"/>
  <c r="J279" i="5" s="1"/>
  <c r="J424" i="5" s="1"/>
  <c r="J109" i="5"/>
  <c r="J254" i="5" s="1"/>
  <c r="J399" i="5" s="1"/>
  <c r="J118" i="5"/>
  <c r="J263" i="5" s="1"/>
  <c r="J408" i="5" s="1"/>
  <c r="J110" i="5"/>
  <c r="J255" i="5" s="1"/>
  <c r="J400" i="5" s="1"/>
  <c r="J131" i="5"/>
  <c r="J276" i="5" s="1"/>
  <c r="J421" i="5" s="1"/>
  <c r="K157" i="5"/>
  <c r="K302" i="5" s="1"/>
  <c r="K447" i="5" s="1"/>
  <c r="J136" i="5"/>
  <c r="J281" i="5" s="1"/>
  <c r="J426" i="5" s="1"/>
  <c r="J127" i="5"/>
  <c r="J179" i="5"/>
  <c r="J324" i="5" s="1"/>
  <c r="J469" i="5" s="1"/>
  <c r="J129" i="5"/>
  <c r="J274" i="5" s="1"/>
  <c r="J419" i="5" s="1"/>
  <c r="K160" i="5"/>
  <c r="K305" i="5" s="1"/>
  <c r="K450" i="5" s="1"/>
  <c r="J121" i="5"/>
  <c r="J266" i="5" s="1"/>
  <c r="J411" i="5" s="1"/>
  <c r="J180" i="5"/>
  <c r="J325" i="5" s="1"/>
  <c r="J470" i="5" s="1"/>
  <c r="K159" i="5"/>
  <c r="J173" i="5"/>
  <c r="J318" i="5" s="1"/>
  <c r="J463" i="5" s="1"/>
  <c r="K150" i="5"/>
  <c r="J116" i="5"/>
  <c r="J261" i="5" s="1"/>
  <c r="J406" i="5" s="1"/>
  <c r="J175" i="5"/>
  <c r="J320" i="5" s="1"/>
  <c r="J465" i="5" s="1"/>
  <c r="K158" i="5"/>
  <c r="K303" i="5" s="1"/>
  <c r="K448" i="5" s="1"/>
  <c r="J115" i="5"/>
  <c r="J260" i="5" s="1"/>
  <c r="J405" i="5" s="1"/>
  <c r="K108" i="5"/>
  <c r="J140" i="5"/>
  <c r="J285" i="5" s="1"/>
  <c r="J430" i="5" s="1"/>
  <c r="K340" i="5"/>
  <c r="K485" i="5" s="1"/>
  <c r="J113" i="5"/>
  <c r="J258" i="5" s="1"/>
  <c r="J403" i="5" s="1"/>
  <c r="J133" i="5"/>
  <c r="J278" i="5" s="1"/>
  <c r="J423" i="5" s="1"/>
  <c r="J135" i="5"/>
  <c r="J280" i="5" s="1"/>
  <c r="J425" i="5" s="1"/>
  <c r="K120" i="5"/>
  <c r="K265" i="5" s="1"/>
  <c r="K410" i="5" s="1"/>
  <c r="J130" i="5"/>
  <c r="J275" i="5" s="1"/>
  <c r="J420" i="5" s="1"/>
  <c r="J181" i="5"/>
  <c r="J326" i="5" s="1"/>
  <c r="J471" i="5" s="1"/>
  <c r="J137" i="5"/>
  <c r="J282" i="5" s="1"/>
  <c r="J427" i="5" s="1"/>
  <c r="J128" i="5"/>
  <c r="J273" i="5" s="1"/>
  <c r="J418" i="5" s="1"/>
  <c r="J139" i="5"/>
  <c r="J284" i="5" s="1"/>
  <c r="J429" i="5" s="1"/>
  <c r="K156" i="5"/>
  <c r="K301" i="5" s="1"/>
  <c r="K446" i="5" s="1"/>
  <c r="I166" i="5"/>
  <c r="K171" i="5"/>
  <c r="K153" i="5"/>
  <c r="K298" i="5" s="1"/>
  <c r="K443" i="5" s="1"/>
  <c r="I165" i="5"/>
  <c r="K170" i="5"/>
  <c r="K152" i="5"/>
  <c r="K297" i="5" s="1"/>
  <c r="K442" i="5" s="1"/>
  <c r="I167" i="5"/>
  <c r="J182" i="5"/>
  <c r="J327" i="5" s="1"/>
  <c r="J472" i="5" s="1"/>
  <c r="J122" i="5"/>
  <c r="J267" i="5" s="1"/>
  <c r="J412" i="5" s="1"/>
  <c r="K154" i="5"/>
  <c r="K299" i="5" s="1"/>
  <c r="K444" i="5" s="1"/>
  <c r="K172" i="5"/>
  <c r="K317" i="5" s="1"/>
  <c r="K462" i="5" s="1"/>
  <c r="J117" i="5"/>
  <c r="J262" i="5" s="1"/>
  <c r="J407" i="5" s="1"/>
  <c r="K174" i="5"/>
  <c r="K319" i="5" s="1"/>
  <c r="K464" i="5" s="1"/>
  <c r="J138" i="5"/>
  <c r="J283" i="5" s="1"/>
  <c r="J428" i="5" s="1"/>
  <c r="J124" i="5"/>
  <c r="J269" i="5" s="1"/>
  <c r="J414" i="5" s="1"/>
  <c r="J111" i="5"/>
  <c r="J256" i="5" s="1"/>
  <c r="J401" i="5" s="1"/>
  <c r="J184" i="5"/>
  <c r="J329" i="5" s="1"/>
  <c r="J474" i="5" s="1"/>
  <c r="H233" i="5"/>
  <c r="J314" i="5"/>
  <c r="J459" i="5" s="1"/>
  <c r="J162" i="5"/>
  <c r="J307" i="5" s="1"/>
  <c r="J452" i="5" s="1"/>
  <c r="K161" i="5"/>
  <c r="K306" i="5" s="1"/>
  <c r="K451" i="5" s="1"/>
  <c r="J142" i="5"/>
  <c r="J287" i="5" s="1"/>
  <c r="J432" i="5" s="1"/>
  <c r="K155" i="5"/>
  <c r="K300" i="5" s="1"/>
  <c r="K445" i="5" s="1"/>
  <c r="K151" i="5"/>
  <c r="K296" i="5" s="1"/>
  <c r="K441" i="5" s="1"/>
  <c r="I237" i="5"/>
  <c r="J238" i="5"/>
  <c r="I234" i="5"/>
  <c r="I227" i="5"/>
  <c r="I228" i="5"/>
  <c r="H224" i="5"/>
  <c r="J225" i="5"/>
  <c r="I400" i="5" l="1"/>
  <c r="I470" i="5"/>
  <c r="I426" i="5"/>
  <c r="I473" i="5"/>
  <c r="I425" i="5"/>
  <c r="I465" i="5"/>
  <c r="I427" i="5"/>
  <c r="I530" i="5"/>
  <c r="I432" i="5"/>
  <c r="I529" i="5"/>
  <c r="I405" i="5"/>
  <c r="I431" i="5"/>
  <c r="I430" i="5"/>
  <c r="I411" i="5"/>
  <c r="I452" i="5"/>
  <c r="I424" i="5"/>
  <c r="I469" i="5"/>
  <c r="I403" i="5"/>
  <c r="I418" i="5"/>
  <c r="K304" i="5"/>
  <c r="I429" i="5"/>
  <c r="I419" i="5"/>
  <c r="I406" i="5"/>
  <c r="I417" i="5"/>
  <c r="I421" i="5"/>
  <c r="I412" i="5"/>
  <c r="I408" i="5"/>
  <c r="I428" i="5"/>
  <c r="I439" i="5"/>
  <c r="L453" i="5"/>
  <c r="N453" i="5" s="1"/>
  <c r="N308" i="5"/>
  <c r="I463" i="5"/>
  <c r="I474" i="5"/>
  <c r="I410" i="5"/>
  <c r="I472" i="5"/>
  <c r="I402" i="5"/>
  <c r="I423" i="5"/>
  <c r="I414" i="5"/>
  <c r="I459" i="5"/>
  <c r="I407" i="5"/>
  <c r="I420" i="5"/>
  <c r="I399" i="5"/>
  <c r="I401" i="5"/>
  <c r="K316" i="5"/>
  <c r="I413" i="5"/>
  <c r="I471" i="5"/>
  <c r="I199" i="5"/>
  <c r="J294" i="5"/>
  <c r="J439" i="5" s="1"/>
  <c r="I15" i="30"/>
  <c r="I27" i="30"/>
  <c r="H38" i="30"/>
  <c r="I44" i="30"/>
  <c r="H29" i="30"/>
  <c r="H17" i="30"/>
  <c r="I42" i="30"/>
  <c r="H18" i="30"/>
  <c r="H30" i="30"/>
  <c r="G37" i="30"/>
  <c r="G14" i="30"/>
  <c r="G26" i="30"/>
  <c r="H41" i="30"/>
  <c r="K25" i="12"/>
  <c r="K26" i="12" s="1"/>
  <c r="K253" i="5"/>
  <c r="K398" i="5" s="1"/>
  <c r="I310" i="5"/>
  <c r="I312" i="5"/>
  <c r="K295" i="5"/>
  <c r="K315" i="5"/>
  <c r="I311" i="5"/>
  <c r="J272" i="5"/>
  <c r="J417" i="5" s="1"/>
  <c r="M129" i="26"/>
  <c r="L165" i="26"/>
  <c r="L40" i="25" s="1"/>
  <c r="I373" i="5"/>
  <c r="J383" i="5"/>
  <c r="J370" i="5"/>
  <c r="J515" i="5" s="1"/>
  <c r="I379" i="5"/>
  <c r="I382" i="5"/>
  <c r="J385" i="5"/>
  <c r="J530" i="5" s="1"/>
  <c r="I372" i="5"/>
  <c r="H378" i="5"/>
  <c r="H523" i="5" s="1"/>
  <c r="H369" i="5"/>
  <c r="H514" i="5" s="1"/>
  <c r="J282" i="27"/>
  <c r="J392" i="27"/>
  <c r="J337" i="27"/>
  <c r="M257" i="27"/>
  <c r="N257" i="27" s="1"/>
  <c r="M367" i="27"/>
  <c r="N367" i="27" s="1"/>
  <c r="M312" i="27"/>
  <c r="N312" i="27" s="1"/>
  <c r="L267" i="27"/>
  <c r="L377" i="27"/>
  <c r="L322" i="27"/>
  <c r="L265" i="27"/>
  <c r="L375" i="27"/>
  <c r="L320" i="27"/>
  <c r="L256" i="27"/>
  <c r="L311" i="27"/>
  <c r="L366" i="27"/>
  <c r="K250" i="27"/>
  <c r="K360" i="27"/>
  <c r="K305" i="27"/>
  <c r="M242" i="27"/>
  <c r="N242" i="27" s="1"/>
  <c r="M297" i="27"/>
  <c r="N297" i="27" s="1"/>
  <c r="M352" i="27"/>
  <c r="N352" i="27" s="1"/>
  <c r="M240" i="27"/>
  <c r="N240" i="27" s="1"/>
  <c r="M350" i="27"/>
  <c r="N350" i="27" s="1"/>
  <c r="M295" i="27"/>
  <c r="N295" i="27" s="1"/>
  <c r="M235" i="27"/>
  <c r="N235" i="27" s="1"/>
  <c r="M290" i="27"/>
  <c r="N290" i="27" s="1"/>
  <c r="M345" i="27"/>
  <c r="N345" i="27" s="1"/>
  <c r="L263" i="27"/>
  <c r="L318" i="27"/>
  <c r="L373" i="27"/>
  <c r="M234" i="27"/>
  <c r="N234" i="27" s="1"/>
  <c r="M344" i="27"/>
  <c r="N344" i="27" s="1"/>
  <c r="M289" i="27"/>
  <c r="N289" i="27" s="1"/>
  <c r="M253" i="27"/>
  <c r="N253" i="27" s="1"/>
  <c r="M363" i="27"/>
  <c r="N363" i="27" s="1"/>
  <c r="M308" i="27"/>
  <c r="N308" i="27" s="1"/>
  <c r="L266" i="27"/>
  <c r="L321" i="27"/>
  <c r="L376" i="27"/>
  <c r="M238" i="27"/>
  <c r="N238" i="27" s="1"/>
  <c r="M293" i="27"/>
  <c r="N293" i="27" s="1"/>
  <c r="M348" i="27"/>
  <c r="N348" i="27" s="1"/>
  <c r="L264" i="27"/>
  <c r="L319" i="27"/>
  <c r="L374" i="27"/>
  <c r="K248" i="27"/>
  <c r="K303" i="27"/>
  <c r="K358" i="27"/>
  <c r="M236" i="27"/>
  <c r="N236" i="27" s="1"/>
  <c r="M346" i="27"/>
  <c r="N346" i="27" s="1"/>
  <c r="M291" i="27"/>
  <c r="N291" i="27" s="1"/>
  <c r="M241" i="27"/>
  <c r="N241" i="27" s="1"/>
  <c r="M296" i="27"/>
  <c r="N296" i="27" s="1"/>
  <c r="M351" i="27"/>
  <c r="N351" i="27" s="1"/>
  <c r="M243" i="27"/>
  <c r="M353" i="27"/>
  <c r="N353" i="27" s="1"/>
  <c r="M298" i="27"/>
  <c r="N298" i="27" s="1"/>
  <c r="M244" i="27"/>
  <c r="N244" i="27" s="1"/>
  <c r="M354" i="27"/>
  <c r="N354" i="27" s="1"/>
  <c r="M299" i="27"/>
  <c r="N299" i="27" s="1"/>
  <c r="M255" i="27"/>
  <c r="N255" i="27" s="1"/>
  <c r="M310" i="27"/>
  <c r="N310" i="27" s="1"/>
  <c r="M365" i="27"/>
  <c r="N365" i="27" s="1"/>
  <c r="M254" i="27"/>
  <c r="N254" i="27" s="1"/>
  <c r="M309" i="27"/>
  <c r="N309" i="27" s="1"/>
  <c r="M364" i="27"/>
  <c r="N364" i="27" s="1"/>
  <c r="L258" i="27"/>
  <c r="L313" i="27"/>
  <c r="L368" i="27"/>
  <c r="L245" i="27"/>
  <c r="L355" i="27"/>
  <c r="L300" i="27"/>
  <c r="M237" i="27"/>
  <c r="N237" i="27" s="1"/>
  <c r="M347" i="27"/>
  <c r="N347" i="27" s="1"/>
  <c r="M292" i="27"/>
  <c r="N292" i="27" s="1"/>
  <c r="K249" i="27"/>
  <c r="K359" i="27"/>
  <c r="K304" i="27"/>
  <c r="L262" i="27"/>
  <c r="L372" i="27"/>
  <c r="L317" i="27"/>
  <c r="M239" i="27"/>
  <c r="N239" i="27" s="1"/>
  <c r="M349" i="27"/>
  <c r="N349" i="27" s="1"/>
  <c r="M294" i="27"/>
  <c r="N294" i="27" s="1"/>
  <c r="M233" i="27"/>
  <c r="N233" i="27" s="1"/>
  <c r="M288" i="27"/>
  <c r="N288" i="27" s="1"/>
  <c r="M343" i="27"/>
  <c r="N343" i="27" s="1"/>
  <c r="L232" i="27"/>
  <c r="L287" i="27"/>
  <c r="L342" i="27"/>
  <c r="L279" i="26"/>
  <c r="L239" i="26"/>
  <c r="L266" i="26"/>
  <c r="L226" i="26"/>
  <c r="L237" i="26"/>
  <c r="L277" i="26"/>
  <c r="L271" i="26"/>
  <c r="L231" i="26"/>
  <c r="L227" i="26"/>
  <c r="L267" i="26"/>
  <c r="L215" i="26"/>
  <c r="L255" i="26"/>
  <c r="L232" i="26"/>
  <c r="L272" i="26"/>
  <c r="L228" i="26"/>
  <c r="L268" i="26"/>
  <c r="L216" i="26"/>
  <c r="L256" i="26"/>
  <c r="L281" i="26"/>
  <c r="L241" i="26"/>
  <c r="L282" i="26"/>
  <c r="L242" i="26"/>
  <c r="M252" i="26"/>
  <c r="N252" i="26" s="1"/>
  <c r="M212" i="26"/>
  <c r="L254" i="26"/>
  <c r="L214" i="26"/>
  <c r="L225" i="26"/>
  <c r="L265" i="26"/>
  <c r="L246" i="26"/>
  <c r="L286" i="26"/>
  <c r="L233" i="26"/>
  <c r="L273" i="26"/>
  <c r="L260" i="26"/>
  <c r="L220" i="26"/>
  <c r="L285" i="26"/>
  <c r="L245" i="26"/>
  <c r="L283" i="26"/>
  <c r="L243" i="26"/>
  <c r="L257" i="26"/>
  <c r="L217" i="26"/>
  <c r="L280" i="26"/>
  <c r="L240" i="26"/>
  <c r="L284" i="26"/>
  <c r="L244" i="26"/>
  <c r="L275" i="26"/>
  <c r="L235" i="26"/>
  <c r="L219" i="26"/>
  <c r="L259" i="26"/>
  <c r="L262" i="26"/>
  <c r="L222" i="26"/>
  <c r="L274" i="26"/>
  <c r="L234" i="26"/>
  <c r="L221" i="26"/>
  <c r="L261" i="26"/>
  <c r="L253" i="26"/>
  <c r="L213" i="26"/>
  <c r="M224" i="26"/>
  <c r="M264" i="26"/>
  <c r="N264" i="26" s="1"/>
  <c r="L278" i="26"/>
  <c r="L238" i="26"/>
  <c r="L187" i="26"/>
  <c r="L203" i="26"/>
  <c r="L177" i="26"/>
  <c r="L200" i="26"/>
  <c r="L175" i="26"/>
  <c r="L192" i="26"/>
  <c r="L188" i="26"/>
  <c r="N230" i="26" s="1"/>
  <c r="D24" i="20" s="1"/>
  <c r="L204" i="26"/>
  <c r="L195" i="26"/>
  <c r="L176" i="26"/>
  <c r="L201" i="26"/>
  <c r="L202" i="26"/>
  <c r="M172" i="26"/>
  <c r="N172" i="26" s="1"/>
  <c r="L174" i="26"/>
  <c r="L179" i="26"/>
  <c r="L185" i="26"/>
  <c r="L182" i="26"/>
  <c r="L206" i="26"/>
  <c r="L194" i="26"/>
  <c r="L181" i="26"/>
  <c r="L173" i="26"/>
  <c r="M184" i="26"/>
  <c r="N184" i="26" s="1"/>
  <c r="L193" i="26"/>
  <c r="L198" i="26"/>
  <c r="L199" i="26"/>
  <c r="L180" i="26"/>
  <c r="L205" i="26"/>
  <c r="L186" i="26"/>
  <c r="L197" i="26"/>
  <c r="L191" i="26"/>
  <c r="M174" i="5"/>
  <c r="M319" i="5" s="1"/>
  <c r="M464" i="5" s="1"/>
  <c r="L174" i="5"/>
  <c r="J165" i="5"/>
  <c r="J310" i="5" s="1"/>
  <c r="J455" i="5" s="1"/>
  <c r="K142" i="5"/>
  <c r="K287" i="5" s="1"/>
  <c r="K432" i="5" s="1"/>
  <c r="K130" i="5"/>
  <c r="K115" i="5"/>
  <c r="K260" i="5" s="1"/>
  <c r="K405" i="5" s="1"/>
  <c r="K121" i="5"/>
  <c r="K266" i="5" s="1"/>
  <c r="K411" i="5" s="1"/>
  <c r="K118" i="5"/>
  <c r="K263" i="5" s="1"/>
  <c r="K408" i="5" s="1"/>
  <c r="K117" i="5"/>
  <c r="K262" i="5" s="1"/>
  <c r="K407" i="5" s="1"/>
  <c r="M153" i="5"/>
  <c r="M298" i="5" s="1"/>
  <c r="M443" i="5" s="1"/>
  <c r="L153" i="5"/>
  <c r="L298" i="5" s="1"/>
  <c r="M161" i="5"/>
  <c r="M306" i="5" s="1"/>
  <c r="M451" i="5" s="1"/>
  <c r="L161" i="5"/>
  <c r="M158" i="5"/>
  <c r="M303" i="5" s="1"/>
  <c r="M448" i="5" s="1"/>
  <c r="L158" i="5"/>
  <c r="N158" i="5" s="1"/>
  <c r="M160" i="5"/>
  <c r="M305" i="5" s="1"/>
  <c r="M450" i="5" s="1"/>
  <c r="L160" i="5"/>
  <c r="K135" i="5"/>
  <c r="K122" i="5"/>
  <c r="K267" i="5" s="1"/>
  <c r="K412" i="5" s="1"/>
  <c r="K133" i="5"/>
  <c r="K278" i="5" s="1"/>
  <c r="K423" i="5" s="1"/>
  <c r="K141" i="5"/>
  <c r="K286" i="5" s="1"/>
  <c r="K431" i="5" s="1"/>
  <c r="K184" i="5"/>
  <c r="K329" i="5" s="1"/>
  <c r="K474" i="5" s="1"/>
  <c r="K113" i="5"/>
  <c r="K258" i="5" s="1"/>
  <c r="K403" i="5" s="1"/>
  <c r="K173" i="5"/>
  <c r="K318" i="5" s="1"/>
  <c r="K463" i="5" s="1"/>
  <c r="M157" i="5"/>
  <c r="M302" i="5" s="1"/>
  <c r="M447" i="5" s="1"/>
  <c r="L157" i="5"/>
  <c r="L302" i="5" s="1"/>
  <c r="L447" i="5" s="1"/>
  <c r="K140" i="5"/>
  <c r="K285" i="5" s="1"/>
  <c r="K430" i="5" s="1"/>
  <c r="M172" i="5"/>
  <c r="M317" i="5" s="1"/>
  <c r="M462" i="5" s="1"/>
  <c r="L172" i="5"/>
  <c r="L317" i="5" s="1"/>
  <c r="L462" i="5" s="1"/>
  <c r="K129" i="5"/>
  <c r="K179" i="5"/>
  <c r="K324" i="5" s="1"/>
  <c r="K469" i="5" s="1"/>
  <c r="M150" i="5"/>
  <c r="M295" i="5" s="1"/>
  <c r="M440" i="5" s="1"/>
  <c r="L150" i="5"/>
  <c r="L295" i="5" s="1"/>
  <c r="L440" i="5" s="1"/>
  <c r="K124" i="5"/>
  <c r="K269" i="5" s="1"/>
  <c r="K414" i="5" s="1"/>
  <c r="M152" i="5"/>
  <c r="M297" i="5" s="1"/>
  <c r="M442" i="5" s="1"/>
  <c r="L152" i="5"/>
  <c r="M151" i="5"/>
  <c r="M296" i="5" s="1"/>
  <c r="M441" i="5" s="1"/>
  <c r="L151" i="5"/>
  <c r="L296" i="5" s="1"/>
  <c r="L441" i="5" s="1"/>
  <c r="K137" i="5"/>
  <c r="K282" i="5" s="1"/>
  <c r="K427" i="5" s="1"/>
  <c r="K180" i="5"/>
  <c r="K325" i="5" s="1"/>
  <c r="K470" i="5" s="1"/>
  <c r="K131" i="5"/>
  <c r="K276" i="5" s="1"/>
  <c r="K421" i="5" s="1"/>
  <c r="K112" i="5"/>
  <c r="K175" i="5"/>
  <c r="M154" i="5"/>
  <c r="M299" i="5" s="1"/>
  <c r="M444" i="5" s="1"/>
  <c r="L154" i="5"/>
  <c r="M156" i="5"/>
  <c r="M301" i="5" s="1"/>
  <c r="M446" i="5" s="1"/>
  <c r="L156" i="5"/>
  <c r="L301" i="5" s="1"/>
  <c r="L446" i="5" s="1"/>
  <c r="K139" i="5"/>
  <c r="K284" i="5" s="1"/>
  <c r="K429" i="5" s="1"/>
  <c r="K123" i="5"/>
  <c r="K268" i="5" s="1"/>
  <c r="K413" i="5" s="1"/>
  <c r="K136" i="5"/>
  <c r="K281" i="5" s="1"/>
  <c r="K426" i="5" s="1"/>
  <c r="K128" i="5"/>
  <c r="K273" i="5" s="1"/>
  <c r="K418" i="5" s="1"/>
  <c r="M170" i="5"/>
  <c r="M315" i="5" s="1"/>
  <c r="M460" i="5" s="1"/>
  <c r="L170" i="5"/>
  <c r="L315" i="5" s="1"/>
  <c r="L460" i="5" s="1"/>
  <c r="M171" i="5"/>
  <c r="M316" i="5" s="1"/>
  <c r="M461" i="5" s="1"/>
  <c r="L171" i="5"/>
  <c r="M120" i="5"/>
  <c r="M265" i="5" s="1"/>
  <c r="M410" i="5" s="1"/>
  <c r="L120" i="5"/>
  <c r="L265" i="5" s="1"/>
  <c r="L410" i="5" s="1"/>
  <c r="K109" i="5"/>
  <c r="K254" i="5" s="1"/>
  <c r="K399" i="5" s="1"/>
  <c r="K162" i="5"/>
  <c r="K307" i="5" s="1"/>
  <c r="K452" i="5" s="1"/>
  <c r="J166" i="5"/>
  <c r="J311" i="5" s="1"/>
  <c r="J456" i="5" s="1"/>
  <c r="K134" i="5"/>
  <c r="K279" i="5" s="1"/>
  <c r="K424" i="5" s="1"/>
  <c r="K116" i="5"/>
  <c r="K261" i="5" s="1"/>
  <c r="K406" i="5" s="1"/>
  <c r="K127" i="5"/>
  <c r="K182" i="5"/>
  <c r="K111" i="5"/>
  <c r="K256" i="5" s="1"/>
  <c r="K401" i="5" s="1"/>
  <c r="J167" i="5"/>
  <c r="J312" i="5" s="1"/>
  <c r="J457" i="5" s="1"/>
  <c r="M340" i="5"/>
  <c r="M485" i="5" s="1"/>
  <c r="L340" i="5"/>
  <c r="L485" i="5" s="1"/>
  <c r="K149" i="5"/>
  <c r="M159" i="5"/>
  <c r="M304" i="5" s="1"/>
  <c r="M449" i="5" s="1"/>
  <c r="L159" i="5"/>
  <c r="L304" i="5" s="1"/>
  <c r="L449" i="5" s="1"/>
  <c r="K138" i="5"/>
  <c r="K283" i="5" s="1"/>
  <c r="K428" i="5" s="1"/>
  <c r="M155" i="5"/>
  <c r="M300" i="5" s="1"/>
  <c r="M445" i="5" s="1"/>
  <c r="L155" i="5"/>
  <c r="K181" i="5"/>
  <c r="L108" i="5"/>
  <c r="K110" i="5"/>
  <c r="K255" i="5" s="1"/>
  <c r="K400" i="5" s="1"/>
  <c r="K183" i="5"/>
  <c r="K328" i="5" s="1"/>
  <c r="K473" i="5" s="1"/>
  <c r="I236" i="5"/>
  <c r="I235" i="5"/>
  <c r="I233" i="5"/>
  <c r="I232" i="5"/>
  <c r="I223" i="5"/>
  <c r="N447" i="5" l="1"/>
  <c r="N171" i="5"/>
  <c r="N446" i="5"/>
  <c r="N441" i="5"/>
  <c r="N462" i="5"/>
  <c r="N160" i="5"/>
  <c r="N317" i="5"/>
  <c r="N153" i="5"/>
  <c r="N265" i="5"/>
  <c r="N159" i="5"/>
  <c r="N172" i="5"/>
  <c r="N301" i="5"/>
  <c r="N156" i="5"/>
  <c r="N410" i="5"/>
  <c r="L300" i="5"/>
  <c r="N155" i="5"/>
  <c r="I456" i="5"/>
  <c r="K440" i="5"/>
  <c r="N440" i="5" s="1"/>
  <c r="N295" i="5"/>
  <c r="K449" i="5"/>
  <c r="N449" i="5" s="1"/>
  <c r="N304" i="5"/>
  <c r="I517" i="5"/>
  <c r="L306" i="5"/>
  <c r="N161" i="5"/>
  <c r="I524" i="5"/>
  <c r="K461" i="5"/>
  <c r="N302" i="5"/>
  <c r="N157" i="5"/>
  <c r="I457" i="5"/>
  <c r="L319" i="5"/>
  <c r="N174" i="5"/>
  <c r="N151" i="5"/>
  <c r="L297" i="5"/>
  <c r="N152" i="5"/>
  <c r="I518" i="5"/>
  <c r="N150" i="5"/>
  <c r="N296" i="5"/>
  <c r="L443" i="5"/>
  <c r="N443" i="5" s="1"/>
  <c r="N298" i="5"/>
  <c r="N170" i="5"/>
  <c r="K460" i="5"/>
  <c r="N460" i="5" s="1"/>
  <c r="N315" i="5"/>
  <c r="I455" i="5"/>
  <c r="I527" i="5"/>
  <c r="J528" i="5"/>
  <c r="K327" i="5"/>
  <c r="L299" i="5"/>
  <c r="N154" i="5"/>
  <c r="K294" i="5"/>
  <c r="K439" i="5" s="1"/>
  <c r="J199" i="5"/>
  <c r="H13" i="30"/>
  <c r="H25" i="30"/>
  <c r="H37" i="30"/>
  <c r="H39" i="30"/>
  <c r="H40" i="30"/>
  <c r="H36" i="30"/>
  <c r="L253" i="5"/>
  <c r="L398" i="5" s="1"/>
  <c r="N243" i="27"/>
  <c r="D56" i="20" s="1"/>
  <c r="L24" i="12"/>
  <c r="M24" i="12" s="1"/>
  <c r="K257" i="5"/>
  <c r="K274" i="5"/>
  <c r="K280" i="5"/>
  <c r="L305" i="5"/>
  <c r="L303" i="5"/>
  <c r="N120" i="5"/>
  <c r="K314" i="5"/>
  <c r="K275" i="5"/>
  <c r="L316" i="5"/>
  <c r="L461" i="5" s="1"/>
  <c r="K326" i="5"/>
  <c r="K320" i="5"/>
  <c r="K272" i="5"/>
  <c r="K417" i="5" s="1"/>
  <c r="D67" i="20"/>
  <c r="D68" i="20"/>
  <c r="D48" i="20"/>
  <c r="D57" i="20"/>
  <c r="D50" i="20"/>
  <c r="D55" i="20"/>
  <c r="D70" i="20"/>
  <c r="D54" i="20"/>
  <c r="M165" i="26"/>
  <c r="M40" i="25" s="1"/>
  <c r="E6" i="20"/>
  <c r="D51" i="20"/>
  <c r="D46" i="20"/>
  <c r="D66" i="20"/>
  <c r="D52" i="20"/>
  <c r="D49" i="20"/>
  <c r="D47" i="20"/>
  <c r="D53" i="20"/>
  <c r="D91" i="20"/>
  <c r="M108" i="5"/>
  <c r="I381" i="5"/>
  <c r="J384" i="5"/>
  <c r="I377" i="5"/>
  <c r="I368" i="5"/>
  <c r="I378" i="5"/>
  <c r="I380" i="5"/>
  <c r="K337" i="27"/>
  <c r="K392" i="27"/>
  <c r="M265" i="27"/>
  <c r="N265" i="27" s="1"/>
  <c r="M375" i="27"/>
  <c r="N375" i="27" s="1"/>
  <c r="M320" i="27"/>
  <c r="N320" i="27" s="1"/>
  <c r="M256" i="27"/>
  <c r="N256" i="27" s="1"/>
  <c r="M311" i="27"/>
  <c r="N311" i="27" s="1"/>
  <c r="M366" i="27"/>
  <c r="N366" i="27" s="1"/>
  <c r="M245" i="27"/>
  <c r="N245" i="27" s="1"/>
  <c r="M355" i="27"/>
  <c r="N355" i="27" s="1"/>
  <c r="M300" i="27"/>
  <c r="N300" i="27" s="1"/>
  <c r="M264" i="27"/>
  <c r="N264" i="27" s="1"/>
  <c r="M319" i="27"/>
  <c r="N319" i="27" s="1"/>
  <c r="M374" i="27"/>
  <c r="N374" i="27" s="1"/>
  <c r="M263" i="27"/>
  <c r="N263" i="27" s="1"/>
  <c r="M318" i="27"/>
  <c r="N318" i="27" s="1"/>
  <c r="M373" i="27"/>
  <c r="N373" i="27" s="1"/>
  <c r="L248" i="27"/>
  <c r="L358" i="27"/>
  <c r="L303" i="27"/>
  <c r="L249" i="27"/>
  <c r="L359" i="27"/>
  <c r="L304" i="27"/>
  <c r="M266" i="27"/>
  <c r="N266" i="27" s="1"/>
  <c r="M321" i="27"/>
  <c r="N321" i="27" s="1"/>
  <c r="M376" i="27"/>
  <c r="N376" i="27" s="1"/>
  <c r="N252" i="27"/>
  <c r="N307" i="27"/>
  <c r="N362" i="27"/>
  <c r="L250" i="27"/>
  <c r="L360" i="27"/>
  <c r="L305" i="27"/>
  <c r="M267" i="27"/>
  <c r="N267" i="27" s="1"/>
  <c r="M377" i="27"/>
  <c r="N377" i="27" s="1"/>
  <c r="M322" i="27"/>
  <c r="N322" i="27" s="1"/>
  <c r="M258" i="27"/>
  <c r="N258" i="27" s="1"/>
  <c r="M368" i="27"/>
  <c r="N368" i="27" s="1"/>
  <c r="M313" i="27"/>
  <c r="N313" i="27" s="1"/>
  <c r="M262" i="27"/>
  <c r="N262" i="27" s="1"/>
  <c r="M372" i="27"/>
  <c r="N372" i="27" s="1"/>
  <c r="M317" i="27"/>
  <c r="N317" i="27" s="1"/>
  <c r="K282" i="27"/>
  <c r="M232" i="27"/>
  <c r="N232" i="27" s="1"/>
  <c r="M287" i="27"/>
  <c r="M342" i="27"/>
  <c r="M257" i="26"/>
  <c r="N257" i="26" s="1"/>
  <c r="M217" i="26"/>
  <c r="N217" i="26" s="1"/>
  <c r="M213" i="26"/>
  <c r="N213" i="26" s="1"/>
  <c r="M253" i="26"/>
  <c r="N253" i="26" s="1"/>
  <c r="M268" i="26"/>
  <c r="N268" i="26" s="1"/>
  <c r="M228" i="26"/>
  <c r="N228" i="26" s="1"/>
  <c r="M221" i="26"/>
  <c r="N221" i="26" s="1"/>
  <c r="M261" i="26"/>
  <c r="N261" i="26" s="1"/>
  <c r="M255" i="26"/>
  <c r="N255" i="26" s="1"/>
  <c r="M215" i="26"/>
  <c r="M285" i="26"/>
  <c r="N285" i="26" s="1"/>
  <c r="M245" i="26"/>
  <c r="N245" i="26" s="1"/>
  <c r="M262" i="26"/>
  <c r="N262" i="26" s="1"/>
  <c r="M222" i="26"/>
  <c r="N222" i="26" s="1"/>
  <c r="M225" i="26"/>
  <c r="N225" i="26" s="1"/>
  <c r="M265" i="26"/>
  <c r="N265" i="26" s="1"/>
  <c r="N224" i="26"/>
  <c r="D18" i="20" s="1"/>
  <c r="M216" i="26"/>
  <c r="N216" i="26" s="1"/>
  <c r="M256" i="26"/>
  <c r="N256" i="26" s="1"/>
  <c r="M233" i="26"/>
  <c r="N233" i="26" s="1"/>
  <c r="M273" i="26"/>
  <c r="N273" i="26" s="1"/>
  <c r="M266" i="26"/>
  <c r="N266" i="26" s="1"/>
  <c r="M226" i="26"/>
  <c r="N226" i="26" s="1"/>
  <c r="M219" i="26"/>
  <c r="N219" i="26" s="1"/>
  <c r="M259" i="26"/>
  <c r="N259" i="26" s="1"/>
  <c r="N212" i="26"/>
  <c r="D6" i="20" s="1"/>
  <c r="M271" i="26"/>
  <c r="N271" i="26" s="1"/>
  <c r="M231" i="26"/>
  <c r="N231" i="26" s="1"/>
  <c r="M275" i="26"/>
  <c r="N275" i="26" s="1"/>
  <c r="M235" i="26"/>
  <c r="N235" i="26" s="1"/>
  <c r="M239" i="26"/>
  <c r="N239" i="26" s="1"/>
  <c r="M279" i="26"/>
  <c r="N279" i="26" s="1"/>
  <c r="M220" i="26"/>
  <c r="N220" i="26" s="1"/>
  <c r="M260" i="26"/>
  <c r="N260" i="26" s="1"/>
  <c r="M282" i="26"/>
  <c r="N282" i="26" s="1"/>
  <c r="M242" i="26"/>
  <c r="N242" i="26" s="1"/>
  <c r="M284" i="26"/>
  <c r="N284" i="26" s="1"/>
  <c r="M244" i="26"/>
  <c r="N244" i="26" s="1"/>
  <c r="M286" i="26"/>
  <c r="N286" i="26" s="1"/>
  <c r="M246" i="26"/>
  <c r="N246" i="26" s="1"/>
  <c r="M283" i="26"/>
  <c r="N283" i="26" s="1"/>
  <c r="M243" i="26"/>
  <c r="N243" i="26" s="1"/>
  <c r="M214" i="26"/>
  <c r="N214" i="26" s="1"/>
  <c r="M254" i="26"/>
  <c r="N254" i="26" s="1"/>
  <c r="M237" i="26"/>
  <c r="N237" i="26" s="1"/>
  <c r="M277" i="26"/>
  <c r="N277" i="26" s="1"/>
  <c r="M272" i="26"/>
  <c r="N272" i="26" s="1"/>
  <c r="M232" i="26"/>
  <c r="N232" i="26" s="1"/>
  <c r="M274" i="26"/>
  <c r="N274" i="26" s="1"/>
  <c r="M234" i="26"/>
  <c r="N234" i="26" s="1"/>
  <c r="M280" i="26"/>
  <c r="N280" i="26" s="1"/>
  <c r="M240" i="26"/>
  <c r="N240" i="26" s="1"/>
  <c r="M238" i="26"/>
  <c r="N238" i="26" s="1"/>
  <c r="M278" i="26"/>
  <c r="N278" i="26" s="1"/>
  <c r="M267" i="26"/>
  <c r="N267" i="26" s="1"/>
  <c r="M227" i="26"/>
  <c r="N227" i="26" s="1"/>
  <c r="M281" i="26"/>
  <c r="N281" i="26" s="1"/>
  <c r="M241" i="26"/>
  <c r="N241" i="26" s="1"/>
  <c r="N223" i="26"/>
  <c r="D17" i="20" s="1"/>
  <c r="M174" i="26"/>
  <c r="N174" i="26" s="1"/>
  <c r="M181" i="26"/>
  <c r="N181" i="26" s="1"/>
  <c r="M175" i="26"/>
  <c r="N175" i="26" s="1"/>
  <c r="M182" i="26"/>
  <c r="N182" i="26" s="1"/>
  <c r="M197" i="26"/>
  <c r="N197" i="26" s="1"/>
  <c r="M176" i="26"/>
  <c r="N176" i="26" s="1"/>
  <c r="M179" i="26"/>
  <c r="N179" i="26" s="1"/>
  <c r="M191" i="26"/>
  <c r="N191" i="26" s="1"/>
  <c r="M180" i="26"/>
  <c r="N180" i="26" s="1"/>
  <c r="M202" i="26"/>
  <c r="N202" i="26" s="1"/>
  <c r="M204" i="26"/>
  <c r="N204" i="26" s="1"/>
  <c r="M206" i="26"/>
  <c r="N206" i="26" s="1"/>
  <c r="M198" i="26"/>
  <c r="N198" i="26" s="1"/>
  <c r="M201" i="26"/>
  <c r="N201" i="26" s="1"/>
  <c r="N229" i="26"/>
  <c r="D23" i="20" s="1"/>
  <c r="M177" i="26"/>
  <c r="N177" i="26" s="1"/>
  <c r="M173" i="26"/>
  <c r="N173" i="26" s="1"/>
  <c r="M188" i="26"/>
  <c r="N188" i="26" s="1"/>
  <c r="M205" i="26"/>
  <c r="N205" i="26" s="1"/>
  <c r="M185" i="26"/>
  <c r="N185" i="26" s="1"/>
  <c r="M193" i="26"/>
  <c r="N193" i="26" s="1"/>
  <c r="M186" i="26"/>
  <c r="N186" i="26" s="1"/>
  <c r="M192" i="26"/>
  <c r="N192" i="26" s="1"/>
  <c r="M195" i="26"/>
  <c r="N195" i="26" s="1"/>
  <c r="M199" i="26"/>
  <c r="N199" i="26" s="1"/>
  <c r="M194" i="26"/>
  <c r="N194" i="26" s="1"/>
  <c r="M200" i="26"/>
  <c r="N200" i="26" s="1"/>
  <c r="M187" i="26"/>
  <c r="N187" i="26" s="1"/>
  <c r="M203" i="26"/>
  <c r="N203" i="26" s="1"/>
  <c r="N218" i="26"/>
  <c r="D12" i="20" s="1"/>
  <c r="M162" i="5"/>
  <c r="M307" i="5" s="1"/>
  <c r="M452" i="5" s="1"/>
  <c r="L162" i="5"/>
  <c r="L307" i="5" s="1"/>
  <c r="L452" i="5" s="1"/>
  <c r="M183" i="5"/>
  <c r="M328" i="5" s="1"/>
  <c r="M473" i="5" s="1"/>
  <c r="L183" i="5"/>
  <c r="M113" i="5"/>
  <c r="M258" i="5" s="1"/>
  <c r="M403" i="5" s="1"/>
  <c r="L113" i="5"/>
  <c r="L258" i="5" s="1"/>
  <c r="L403" i="5" s="1"/>
  <c r="M109" i="5"/>
  <c r="M254" i="5" s="1"/>
  <c r="M399" i="5" s="1"/>
  <c r="L109" i="5"/>
  <c r="M314" i="5"/>
  <c r="M459" i="5" s="1"/>
  <c r="L314" i="5"/>
  <c r="L459" i="5" s="1"/>
  <c r="M110" i="5"/>
  <c r="M255" i="5" s="1"/>
  <c r="M400" i="5" s="1"/>
  <c r="L110" i="5"/>
  <c r="L255" i="5" s="1"/>
  <c r="L400" i="5" s="1"/>
  <c r="N400" i="5" s="1"/>
  <c r="K167" i="5"/>
  <c r="M124" i="5"/>
  <c r="M269" i="5" s="1"/>
  <c r="M414" i="5" s="1"/>
  <c r="L124" i="5"/>
  <c r="L269" i="5" s="1"/>
  <c r="L414" i="5" s="1"/>
  <c r="N414" i="5" s="1"/>
  <c r="M184" i="5"/>
  <c r="M329" i="5" s="1"/>
  <c r="M474" i="5" s="1"/>
  <c r="L184" i="5"/>
  <c r="M117" i="5"/>
  <c r="M262" i="5" s="1"/>
  <c r="M407" i="5" s="1"/>
  <c r="L117" i="5"/>
  <c r="L262" i="5" s="1"/>
  <c r="M118" i="5"/>
  <c r="M263" i="5" s="1"/>
  <c r="M408" i="5" s="1"/>
  <c r="L118" i="5"/>
  <c r="L263" i="5" s="1"/>
  <c r="M133" i="5"/>
  <c r="M278" i="5" s="1"/>
  <c r="M423" i="5" s="1"/>
  <c r="L133" i="5"/>
  <c r="L278" i="5" s="1"/>
  <c r="L423" i="5" s="1"/>
  <c r="M182" i="5"/>
  <c r="M327" i="5" s="1"/>
  <c r="M472" i="5" s="1"/>
  <c r="L182" i="5"/>
  <c r="L327" i="5" s="1"/>
  <c r="L472" i="5" s="1"/>
  <c r="M122" i="5"/>
  <c r="M267" i="5" s="1"/>
  <c r="M412" i="5" s="1"/>
  <c r="L122" i="5"/>
  <c r="L267" i="5" s="1"/>
  <c r="L412" i="5" s="1"/>
  <c r="M127" i="5"/>
  <c r="L127" i="5"/>
  <c r="M128" i="5"/>
  <c r="M273" i="5" s="1"/>
  <c r="M418" i="5" s="1"/>
  <c r="L128" i="5"/>
  <c r="M130" i="5"/>
  <c r="M275" i="5" s="1"/>
  <c r="M420" i="5" s="1"/>
  <c r="L130" i="5"/>
  <c r="L275" i="5" s="1"/>
  <c r="L420" i="5" s="1"/>
  <c r="M140" i="5"/>
  <c r="M285" i="5" s="1"/>
  <c r="M430" i="5" s="1"/>
  <c r="L140" i="5"/>
  <c r="M134" i="5"/>
  <c r="M279" i="5" s="1"/>
  <c r="M424" i="5" s="1"/>
  <c r="L134" i="5"/>
  <c r="M123" i="5"/>
  <c r="M268" i="5" s="1"/>
  <c r="M413" i="5" s="1"/>
  <c r="L123" i="5"/>
  <c r="L268" i="5" s="1"/>
  <c r="M137" i="5"/>
  <c r="M282" i="5" s="1"/>
  <c r="M427" i="5" s="1"/>
  <c r="L137" i="5"/>
  <c r="L282" i="5" s="1"/>
  <c r="L427" i="5" s="1"/>
  <c r="K165" i="5"/>
  <c r="M111" i="5"/>
  <c r="M256" i="5" s="1"/>
  <c r="M401" i="5" s="1"/>
  <c r="L111" i="5"/>
  <c r="L256" i="5" s="1"/>
  <c r="L401" i="5" s="1"/>
  <c r="M141" i="5"/>
  <c r="M286" i="5" s="1"/>
  <c r="M431" i="5" s="1"/>
  <c r="L141" i="5"/>
  <c r="L286" i="5" s="1"/>
  <c r="L431" i="5" s="1"/>
  <c r="M175" i="5"/>
  <c r="M320" i="5" s="1"/>
  <c r="M465" i="5" s="1"/>
  <c r="L175" i="5"/>
  <c r="L320" i="5" s="1"/>
  <c r="L465" i="5" s="1"/>
  <c r="M179" i="5"/>
  <c r="M324" i="5" s="1"/>
  <c r="M469" i="5" s="1"/>
  <c r="L179" i="5"/>
  <c r="M181" i="5"/>
  <c r="M326" i="5" s="1"/>
  <c r="M471" i="5" s="1"/>
  <c r="L181" i="5"/>
  <c r="L326" i="5" s="1"/>
  <c r="L471" i="5" s="1"/>
  <c r="M129" i="5"/>
  <c r="M274" i="5" s="1"/>
  <c r="M419" i="5" s="1"/>
  <c r="L129" i="5"/>
  <c r="L274" i="5" s="1"/>
  <c r="L419" i="5" s="1"/>
  <c r="M131" i="5"/>
  <c r="M276" i="5" s="1"/>
  <c r="M421" i="5" s="1"/>
  <c r="L131" i="5"/>
  <c r="L276" i="5" s="1"/>
  <c r="L421" i="5" s="1"/>
  <c r="M136" i="5"/>
  <c r="M281" i="5" s="1"/>
  <c r="M426" i="5" s="1"/>
  <c r="L136" i="5"/>
  <c r="M138" i="5"/>
  <c r="M283" i="5" s="1"/>
  <c r="M428" i="5" s="1"/>
  <c r="L138" i="5"/>
  <c r="L283" i="5" s="1"/>
  <c r="L428" i="5" s="1"/>
  <c r="M142" i="5"/>
  <c r="M287" i="5" s="1"/>
  <c r="M432" i="5" s="1"/>
  <c r="L142" i="5"/>
  <c r="K166" i="5"/>
  <c r="M139" i="5"/>
  <c r="M284" i="5" s="1"/>
  <c r="M429" i="5" s="1"/>
  <c r="L139" i="5"/>
  <c r="L284" i="5" s="1"/>
  <c r="L429" i="5" s="1"/>
  <c r="M121" i="5"/>
  <c r="M266" i="5" s="1"/>
  <c r="M411" i="5" s="1"/>
  <c r="L121" i="5"/>
  <c r="L266" i="5" s="1"/>
  <c r="L411" i="5" s="1"/>
  <c r="M112" i="5"/>
  <c r="M257" i="5" s="1"/>
  <c r="M402" i="5" s="1"/>
  <c r="L112" i="5"/>
  <c r="L257" i="5" s="1"/>
  <c r="L402" i="5" s="1"/>
  <c r="M115" i="5"/>
  <c r="M260" i="5" s="1"/>
  <c r="M405" i="5" s="1"/>
  <c r="L115" i="5"/>
  <c r="L260" i="5" s="1"/>
  <c r="L405" i="5" s="1"/>
  <c r="M135" i="5"/>
  <c r="M280" i="5" s="1"/>
  <c r="M425" i="5" s="1"/>
  <c r="L135" i="5"/>
  <c r="L280" i="5" s="1"/>
  <c r="L425" i="5" s="1"/>
  <c r="M116" i="5"/>
  <c r="M261" i="5" s="1"/>
  <c r="M406" i="5" s="1"/>
  <c r="L116" i="5"/>
  <c r="L261" i="5" s="1"/>
  <c r="M180" i="5"/>
  <c r="M325" i="5" s="1"/>
  <c r="M470" i="5" s="1"/>
  <c r="L180" i="5"/>
  <c r="L325" i="5" s="1"/>
  <c r="L470" i="5" s="1"/>
  <c r="M149" i="5"/>
  <c r="L149" i="5"/>
  <c r="M173" i="5"/>
  <c r="M318" i="5" s="1"/>
  <c r="M463" i="5" s="1"/>
  <c r="L173" i="5"/>
  <c r="L318" i="5" s="1"/>
  <c r="L463" i="5" s="1"/>
  <c r="J237" i="5"/>
  <c r="J234" i="5"/>
  <c r="K238" i="5"/>
  <c r="J227" i="5"/>
  <c r="J228" i="5"/>
  <c r="I224" i="5"/>
  <c r="K225" i="5"/>
  <c r="I226" i="5"/>
  <c r="N403" i="5" l="1"/>
  <c r="N470" i="5"/>
  <c r="N429" i="5"/>
  <c r="N421" i="5"/>
  <c r="N179" i="5"/>
  <c r="N401" i="5"/>
  <c r="N427" i="5"/>
  <c r="N423" i="5"/>
  <c r="N452" i="5"/>
  <c r="N463" i="5"/>
  <c r="N149" i="5"/>
  <c r="N428" i="5"/>
  <c r="N412" i="5"/>
  <c r="N183" i="5"/>
  <c r="N284" i="5"/>
  <c r="N307" i="5"/>
  <c r="N256" i="5"/>
  <c r="N283" i="5"/>
  <c r="N278" i="5"/>
  <c r="N276" i="5"/>
  <c r="N316" i="5"/>
  <c r="N405" i="5"/>
  <c r="N411" i="5"/>
  <c r="N431" i="5"/>
  <c r="N461" i="5"/>
  <c r="N269" i="5"/>
  <c r="J529" i="5"/>
  <c r="K472" i="5"/>
  <c r="N472" i="5" s="1"/>
  <c r="N327" i="5"/>
  <c r="N286" i="5"/>
  <c r="N162" i="5"/>
  <c r="L448" i="5"/>
  <c r="N448" i="5" s="1"/>
  <c r="N303" i="5"/>
  <c r="L451" i="5"/>
  <c r="N451" i="5" s="1"/>
  <c r="N306" i="5"/>
  <c r="I513" i="5"/>
  <c r="N267" i="5"/>
  <c r="I522" i="5"/>
  <c r="N182" i="5"/>
  <c r="I526" i="5"/>
  <c r="N266" i="5"/>
  <c r="L445" i="5"/>
  <c r="N445" i="5" s="1"/>
  <c r="N300" i="5"/>
  <c r="K310" i="5"/>
  <c r="L406" i="5"/>
  <c r="N406" i="5" s="1"/>
  <c r="N261" i="5"/>
  <c r="L413" i="5"/>
  <c r="N413" i="5" s="1"/>
  <c r="N268" i="5"/>
  <c r="L408" i="5"/>
  <c r="N408" i="5" s="1"/>
  <c r="N263" i="5"/>
  <c r="K402" i="5"/>
  <c r="N402" i="5" s="1"/>
  <c r="N257" i="5"/>
  <c r="K465" i="5"/>
  <c r="N465" i="5" s="1"/>
  <c r="N320" i="5"/>
  <c r="K471" i="5"/>
  <c r="N471" i="5" s="1"/>
  <c r="N326" i="5"/>
  <c r="N325" i="5"/>
  <c r="N175" i="5"/>
  <c r="N180" i="5"/>
  <c r="N181" i="5"/>
  <c r="K419" i="5"/>
  <c r="N419" i="5" s="1"/>
  <c r="N274" i="5"/>
  <c r="I525" i="5"/>
  <c r="I523" i="5"/>
  <c r="N260" i="5"/>
  <c r="L407" i="5"/>
  <c r="N407" i="5" s="1"/>
  <c r="N262" i="5"/>
  <c r="N173" i="5"/>
  <c r="K459" i="5"/>
  <c r="N459" i="5" s="1"/>
  <c r="N314" i="5"/>
  <c r="L450" i="5"/>
  <c r="N450" i="5" s="1"/>
  <c r="N305" i="5"/>
  <c r="K425" i="5"/>
  <c r="N425" i="5" s="1"/>
  <c r="N280" i="5"/>
  <c r="N255" i="5"/>
  <c r="L444" i="5"/>
  <c r="N444" i="5" s="1"/>
  <c r="N299" i="5"/>
  <c r="N318" i="5"/>
  <c r="L442" i="5"/>
  <c r="N442" i="5" s="1"/>
  <c r="N297" i="5"/>
  <c r="L464" i="5"/>
  <c r="N464" i="5" s="1"/>
  <c r="N319" i="5"/>
  <c r="L329" i="5"/>
  <c r="N184" i="5"/>
  <c r="K420" i="5"/>
  <c r="N420" i="5" s="1"/>
  <c r="N275" i="5"/>
  <c r="N258" i="5"/>
  <c r="N282" i="5"/>
  <c r="K199" i="5"/>
  <c r="J15" i="30"/>
  <c r="J27" i="30"/>
  <c r="H14" i="30"/>
  <c r="H26" i="30"/>
  <c r="H16" i="30"/>
  <c r="H28" i="30"/>
  <c r="I17" i="30"/>
  <c r="I29" i="30"/>
  <c r="J44" i="30"/>
  <c r="I30" i="30"/>
  <c r="I18" i="30"/>
  <c r="J42" i="30"/>
  <c r="I38" i="30"/>
  <c r="I41" i="30"/>
  <c r="M253" i="5"/>
  <c r="M398" i="5" s="1"/>
  <c r="N398" i="5" s="1"/>
  <c r="L25" i="12"/>
  <c r="N124" i="5"/>
  <c r="N133" i="5"/>
  <c r="N113" i="5"/>
  <c r="N137" i="5"/>
  <c r="N129" i="5"/>
  <c r="N127" i="5"/>
  <c r="N123" i="5"/>
  <c r="L281" i="5"/>
  <c r="N136" i="5"/>
  <c r="L324" i="5"/>
  <c r="L294" i="5"/>
  <c r="K311" i="5"/>
  <c r="L273" i="5"/>
  <c r="N128" i="5"/>
  <c r="N138" i="5"/>
  <c r="L254" i="5"/>
  <c r="N109" i="5"/>
  <c r="N117" i="5"/>
  <c r="N111" i="5"/>
  <c r="N131" i="5"/>
  <c r="N118" i="5"/>
  <c r="N108" i="5"/>
  <c r="N115" i="5"/>
  <c r="N112" i="5"/>
  <c r="M294" i="5"/>
  <c r="M439" i="5" s="1"/>
  <c r="M232" i="5"/>
  <c r="L287" i="5"/>
  <c r="N142" i="5"/>
  <c r="K312" i="5"/>
  <c r="L328" i="5"/>
  <c r="N122" i="5"/>
  <c r="N141" i="5"/>
  <c r="N121" i="5"/>
  <c r="N130" i="5"/>
  <c r="N139" i="5"/>
  <c r="L279" i="5"/>
  <c r="N134" i="5"/>
  <c r="L285" i="5"/>
  <c r="N140" i="5"/>
  <c r="N116" i="5"/>
  <c r="N135" i="5"/>
  <c r="N110" i="5"/>
  <c r="D8" i="20"/>
  <c r="D26" i="20"/>
  <c r="D39" i="20"/>
  <c r="D14" i="20"/>
  <c r="D28" i="20"/>
  <c r="D36" i="20"/>
  <c r="L272" i="5"/>
  <c r="M272" i="5"/>
  <c r="M417" i="5" s="1"/>
  <c r="D15" i="20"/>
  <c r="D40" i="20"/>
  <c r="D76" i="20"/>
  <c r="D21" i="20"/>
  <c r="D25" i="20"/>
  <c r="D13" i="20"/>
  <c r="D35" i="20"/>
  <c r="D37" i="20"/>
  <c r="D80" i="20"/>
  <c r="D31" i="20"/>
  <c r="D16" i="20"/>
  <c r="D38" i="20"/>
  <c r="D69" i="20"/>
  <c r="D32" i="20"/>
  <c r="D34" i="20"/>
  <c r="D77" i="20"/>
  <c r="D33" i="20"/>
  <c r="D29" i="20"/>
  <c r="D10" i="20"/>
  <c r="D65" i="20"/>
  <c r="D58" i="20"/>
  <c r="D20" i="20"/>
  <c r="D27" i="20"/>
  <c r="D79" i="20"/>
  <c r="D22" i="20"/>
  <c r="D75" i="20"/>
  <c r="D78" i="20"/>
  <c r="D7" i="20"/>
  <c r="D19" i="20"/>
  <c r="D11" i="20"/>
  <c r="D71" i="20"/>
  <c r="I371" i="5"/>
  <c r="J379" i="5"/>
  <c r="J373" i="5"/>
  <c r="K370" i="5"/>
  <c r="K515" i="5" s="1"/>
  <c r="J382" i="5"/>
  <c r="J372" i="5"/>
  <c r="K385" i="5"/>
  <c r="I369" i="5"/>
  <c r="K383" i="5"/>
  <c r="L392" i="27"/>
  <c r="L337" i="27"/>
  <c r="N342" i="27"/>
  <c r="N287" i="27"/>
  <c r="L282" i="27"/>
  <c r="M248" i="27"/>
  <c r="N248" i="27" s="1"/>
  <c r="M358" i="27"/>
  <c r="N358" i="27" s="1"/>
  <c r="M303" i="27"/>
  <c r="N303" i="27" s="1"/>
  <c r="M250" i="27"/>
  <c r="N250" i="27" s="1"/>
  <c r="M360" i="27"/>
  <c r="N360" i="27" s="1"/>
  <c r="M305" i="27"/>
  <c r="N305" i="27" s="1"/>
  <c r="M249" i="27"/>
  <c r="N249" i="27" s="1"/>
  <c r="M359" i="27"/>
  <c r="N359" i="27" s="1"/>
  <c r="M304" i="27"/>
  <c r="N304" i="27" s="1"/>
  <c r="N215" i="26"/>
  <c r="D9" i="20" s="1"/>
  <c r="M166" i="5"/>
  <c r="M311" i="5" s="1"/>
  <c r="M456" i="5" s="1"/>
  <c r="L166" i="5"/>
  <c r="M167" i="5"/>
  <c r="M312" i="5" s="1"/>
  <c r="M457" i="5" s="1"/>
  <c r="L167" i="5"/>
  <c r="L312" i="5" s="1"/>
  <c r="L457" i="5" s="1"/>
  <c r="M165" i="5"/>
  <c r="M310" i="5" s="1"/>
  <c r="M455" i="5" s="1"/>
  <c r="L165" i="5"/>
  <c r="L310" i="5" s="1"/>
  <c r="L455" i="5" s="1"/>
  <c r="N85" i="26"/>
  <c r="N7" i="26"/>
  <c r="J236" i="5"/>
  <c r="J235" i="5"/>
  <c r="J233" i="5"/>
  <c r="J232" i="5"/>
  <c r="J223" i="5"/>
  <c r="K457" i="5" l="1"/>
  <c r="N457" i="5" s="1"/>
  <c r="N312" i="5"/>
  <c r="L439" i="5"/>
  <c r="N439" i="5" s="1"/>
  <c r="N294" i="5"/>
  <c r="L430" i="5"/>
  <c r="N430" i="5" s="1"/>
  <c r="N285" i="5"/>
  <c r="N165" i="5"/>
  <c r="I514" i="5"/>
  <c r="L474" i="5"/>
  <c r="N474" i="5" s="1"/>
  <c r="N329" i="5"/>
  <c r="L473" i="5"/>
  <c r="N473" i="5" s="1"/>
  <c r="N328" i="5"/>
  <c r="L432" i="5"/>
  <c r="N432" i="5" s="1"/>
  <c r="N287" i="5"/>
  <c r="K528" i="5"/>
  <c r="L311" i="5"/>
  <c r="L456" i="5" s="1"/>
  <c r="N166" i="5"/>
  <c r="J517" i="5"/>
  <c r="L426" i="5"/>
  <c r="N426" i="5" s="1"/>
  <c r="N281" i="5"/>
  <c r="K455" i="5"/>
  <c r="N455" i="5" s="1"/>
  <c r="N310" i="5"/>
  <c r="L424" i="5"/>
  <c r="N424" i="5" s="1"/>
  <c r="N279" i="5"/>
  <c r="L399" i="5"/>
  <c r="N399" i="5" s="1"/>
  <c r="N254" i="5"/>
  <c r="N253" i="5"/>
  <c r="J524" i="5"/>
  <c r="L469" i="5"/>
  <c r="N469" i="5" s="1"/>
  <c r="N324" i="5"/>
  <c r="K456" i="5"/>
  <c r="K530" i="5"/>
  <c r="J527" i="5"/>
  <c r="J518" i="5"/>
  <c r="N167" i="5"/>
  <c r="L417" i="5"/>
  <c r="N417" i="5" s="1"/>
  <c r="N272" i="5"/>
  <c r="L418" i="5"/>
  <c r="N418" i="5" s="1"/>
  <c r="N273" i="5"/>
  <c r="I516" i="5"/>
  <c r="M25" i="12"/>
  <c r="L26" i="12"/>
  <c r="M26" i="12" s="1"/>
  <c r="L199" i="5"/>
  <c r="M199" i="5"/>
  <c r="I40" i="30"/>
  <c r="I13" i="30"/>
  <c r="I25" i="30"/>
  <c r="I36" i="30"/>
  <c r="I37" i="30"/>
  <c r="I39" i="30"/>
  <c r="L36" i="30"/>
  <c r="D45" i="20"/>
  <c r="D62" i="20"/>
  <c r="D61" i="20"/>
  <c r="D63" i="20"/>
  <c r="J377" i="5"/>
  <c r="J378" i="5"/>
  <c r="J380" i="5"/>
  <c r="K384" i="5"/>
  <c r="J368" i="5"/>
  <c r="J381" i="5"/>
  <c r="M337" i="27"/>
  <c r="M392" i="27"/>
  <c r="M282" i="27"/>
  <c r="N282" i="27" s="1"/>
  <c r="K237" i="5"/>
  <c r="L238" i="5"/>
  <c r="K234" i="5"/>
  <c r="L225" i="5"/>
  <c r="J226" i="5"/>
  <c r="J224" i="5"/>
  <c r="K228" i="5"/>
  <c r="F12" i="20"/>
  <c r="N311" i="5" l="1"/>
  <c r="N456" i="5"/>
  <c r="N199" i="5"/>
  <c r="J525" i="5"/>
  <c r="J522" i="5"/>
  <c r="J526" i="5"/>
  <c r="J513" i="5"/>
  <c r="K529" i="5"/>
  <c r="J523" i="5"/>
  <c r="K27" i="30"/>
  <c r="K15" i="30"/>
  <c r="J30" i="30"/>
  <c r="J18" i="30"/>
  <c r="I14" i="30"/>
  <c r="I26" i="30"/>
  <c r="J38" i="30"/>
  <c r="I28" i="30"/>
  <c r="I16" i="30"/>
  <c r="K44" i="30"/>
  <c r="K42" i="30"/>
  <c r="J41" i="30"/>
  <c r="L383" i="5"/>
  <c r="L385" i="5"/>
  <c r="K379" i="5"/>
  <c r="K373" i="5"/>
  <c r="J369" i="5"/>
  <c r="L370" i="5"/>
  <c r="L515" i="5" s="1"/>
  <c r="K382" i="5"/>
  <c r="J371" i="5"/>
  <c r="L237" i="5"/>
  <c r="K235" i="5"/>
  <c r="K233" i="5"/>
  <c r="K232" i="5"/>
  <c r="K236" i="5"/>
  <c r="K227" i="5"/>
  <c r="M238" i="5"/>
  <c r="K223" i="5"/>
  <c r="N238" i="5" l="1"/>
  <c r="J514" i="5"/>
  <c r="K518" i="5"/>
  <c r="L530" i="5"/>
  <c r="J516" i="5"/>
  <c r="K527" i="5"/>
  <c r="K524" i="5"/>
  <c r="L528" i="5"/>
  <c r="L42" i="30"/>
  <c r="M42" i="30" s="1"/>
  <c r="J39" i="30"/>
  <c r="K41" i="30"/>
  <c r="J40" i="30"/>
  <c r="J37" i="30"/>
  <c r="J36" i="30"/>
  <c r="J13" i="30"/>
  <c r="J25" i="30"/>
  <c r="J29" i="30"/>
  <c r="J17" i="30"/>
  <c r="K377" i="5"/>
  <c r="L382" i="5"/>
  <c r="L527" i="5" s="1"/>
  <c r="K368" i="5"/>
  <c r="K378" i="5"/>
  <c r="K380" i="5"/>
  <c r="K381" i="5"/>
  <c r="L384" i="5"/>
  <c r="K372" i="5"/>
  <c r="M383" i="5"/>
  <c r="M528" i="5" s="1"/>
  <c r="N528" i="5" s="1"/>
  <c r="F17" i="20"/>
  <c r="L234" i="5"/>
  <c r="F92" i="20"/>
  <c r="F90" i="20"/>
  <c r="F93" i="20"/>
  <c r="F91" i="20"/>
  <c r="F89" i="20"/>
  <c r="M237" i="5"/>
  <c r="F85" i="20"/>
  <c r="F87" i="20"/>
  <c r="K226" i="5"/>
  <c r="F83" i="20"/>
  <c r="F86" i="20"/>
  <c r="F81" i="20"/>
  <c r="F88" i="20"/>
  <c r="F73" i="20"/>
  <c r="K224" i="5"/>
  <c r="F74" i="20"/>
  <c r="F82" i="20"/>
  <c r="F59" i="20"/>
  <c r="M225" i="5"/>
  <c r="F60" i="20"/>
  <c r="F72" i="20"/>
  <c r="L228" i="5"/>
  <c r="F84" i="20"/>
  <c r="N237" i="5" l="1"/>
  <c r="K517" i="5"/>
  <c r="N383" i="5"/>
  <c r="K526" i="5"/>
  <c r="K525" i="5"/>
  <c r="K523" i="5"/>
  <c r="K513" i="5"/>
  <c r="L529" i="5"/>
  <c r="K522" i="5"/>
  <c r="L41" i="30"/>
  <c r="M41" i="30" s="1"/>
  <c r="L27" i="30"/>
  <c r="L15" i="30"/>
  <c r="M15" i="30" s="1"/>
  <c r="J28" i="30"/>
  <c r="J16" i="30"/>
  <c r="K18" i="30"/>
  <c r="K30" i="30"/>
  <c r="K38" i="30"/>
  <c r="J26" i="30"/>
  <c r="J14" i="30"/>
  <c r="F8" i="20"/>
  <c r="F77" i="20"/>
  <c r="L379" i="5"/>
  <c r="M382" i="5"/>
  <c r="M527" i="5" s="1"/>
  <c r="N527" i="5" s="1"/>
  <c r="K369" i="5"/>
  <c r="L373" i="5"/>
  <c r="K371" i="5"/>
  <c r="M370" i="5"/>
  <c r="M515" i="5" s="1"/>
  <c r="F79" i="20"/>
  <c r="F80" i="20"/>
  <c r="F76" i="20"/>
  <c r="F11" i="20"/>
  <c r="F22" i="20"/>
  <c r="F40" i="20"/>
  <c r="L235" i="5"/>
  <c r="L233" i="5"/>
  <c r="L232" i="5"/>
  <c r="L236" i="5"/>
  <c r="L227" i="5"/>
  <c r="M234" i="5"/>
  <c r="L223" i="5"/>
  <c r="N232" i="5" l="1"/>
  <c r="N234" i="5"/>
  <c r="N382" i="5"/>
  <c r="K516" i="5"/>
  <c r="K514" i="5"/>
  <c r="L518" i="5"/>
  <c r="L524" i="5"/>
  <c r="L38" i="30"/>
  <c r="M38" i="30" s="1"/>
  <c r="K36" i="30"/>
  <c r="M36" i="30" s="1"/>
  <c r="L44" i="30"/>
  <c r="M44" i="30" s="1"/>
  <c r="M27" i="30"/>
  <c r="K37" i="30"/>
  <c r="K39" i="30"/>
  <c r="K25" i="30"/>
  <c r="K13" i="30"/>
  <c r="K29" i="30"/>
  <c r="K17" i="30"/>
  <c r="K40" i="30"/>
  <c r="F10" i="20"/>
  <c r="F9" i="20"/>
  <c r="F75" i="20"/>
  <c r="F78" i="20"/>
  <c r="M384" i="5"/>
  <c r="L378" i="5"/>
  <c r="M385" i="5"/>
  <c r="L380" i="5"/>
  <c r="L377" i="5"/>
  <c r="M379" i="5"/>
  <c r="M524" i="5" s="1"/>
  <c r="N524" i="5" s="1"/>
  <c r="L368" i="5"/>
  <c r="L372" i="5"/>
  <c r="L381" i="5"/>
  <c r="F36" i="20"/>
  <c r="F57" i="20"/>
  <c r="F37" i="20"/>
  <c r="F32" i="20"/>
  <c r="F35" i="20"/>
  <c r="F27" i="20"/>
  <c r="F7" i="20"/>
  <c r="F39" i="20"/>
  <c r="F28" i="20"/>
  <c r="F24" i="20"/>
  <c r="F33" i="20"/>
  <c r="F66" i="20"/>
  <c r="F31" i="20"/>
  <c r="F71" i="20"/>
  <c r="F29" i="20"/>
  <c r="F38" i="20"/>
  <c r="F67" i="20"/>
  <c r="M236" i="5"/>
  <c r="M235" i="5"/>
  <c r="F50" i="20"/>
  <c r="L224" i="5"/>
  <c r="F64" i="20"/>
  <c r="M233" i="5"/>
  <c r="F53" i="20"/>
  <c r="F56" i="20"/>
  <c r="F49" i="20"/>
  <c r="F58" i="20"/>
  <c r="F47" i="20"/>
  <c r="F68" i="20"/>
  <c r="F63" i="20"/>
  <c r="L226" i="5"/>
  <c r="F46" i="20"/>
  <c r="F61" i="20"/>
  <c r="F48" i="20"/>
  <c r="F52" i="20"/>
  <c r="F55" i="20"/>
  <c r="F69" i="20"/>
  <c r="F65" i="20"/>
  <c r="M228" i="5"/>
  <c r="F54" i="20"/>
  <c r="F51" i="20"/>
  <c r="F70" i="20"/>
  <c r="N236" i="5" l="1"/>
  <c r="N233" i="5"/>
  <c r="N228" i="5"/>
  <c r="N235" i="5"/>
  <c r="L522" i="5"/>
  <c r="L513" i="5"/>
  <c r="L525" i="5"/>
  <c r="M530" i="5"/>
  <c r="N530" i="5" s="1"/>
  <c r="N385" i="5"/>
  <c r="L523" i="5"/>
  <c r="M529" i="5"/>
  <c r="N529" i="5" s="1"/>
  <c r="N384" i="5"/>
  <c r="L526" i="5"/>
  <c r="N379" i="5"/>
  <c r="L517" i="5"/>
  <c r="L37" i="30"/>
  <c r="M37" i="30" s="1"/>
  <c r="L39" i="30"/>
  <c r="M39" i="30" s="1"/>
  <c r="L40" i="30"/>
  <c r="M40" i="30" s="1"/>
  <c r="L30" i="30"/>
  <c r="L18" i="30"/>
  <c r="M18" i="30" s="1"/>
  <c r="K26" i="30"/>
  <c r="K14" i="30"/>
  <c r="K16" i="30"/>
  <c r="K28" i="30"/>
  <c r="F62" i="20"/>
  <c r="M381" i="5"/>
  <c r="M526" i="5" s="1"/>
  <c r="M380" i="5"/>
  <c r="M525" i="5" s="1"/>
  <c r="L371" i="5"/>
  <c r="M378" i="5"/>
  <c r="M523" i="5" s="1"/>
  <c r="L369" i="5"/>
  <c r="M377" i="5"/>
  <c r="M522" i="5" s="1"/>
  <c r="N522" i="5" s="1"/>
  <c r="M373" i="5"/>
  <c r="F45" i="20"/>
  <c r="F15" i="20"/>
  <c r="F14" i="20"/>
  <c r="F16" i="20"/>
  <c r="F23" i="20"/>
  <c r="F20" i="20"/>
  <c r="F13" i="20"/>
  <c r="F25" i="20"/>
  <c r="F19" i="20"/>
  <c r="F18" i="20"/>
  <c r="F26" i="20"/>
  <c r="F21" i="20"/>
  <c r="F34" i="20"/>
  <c r="M227" i="5"/>
  <c r="M223" i="5"/>
  <c r="N227" i="5" l="1"/>
  <c r="N223" i="5"/>
  <c r="N525" i="5"/>
  <c r="N523" i="5"/>
  <c r="N381" i="5"/>
  <c r="M518" i="5"/>
  <c r="N518" i="5" s="1"/>
  <c r="N373" i="5"/>
  <c r="L514" i="5"/>
  <c r="L516" i="5"/>
  <c r="N380" i="5"/>
  <c r="N526" i="5"/>
  <c r="N378" i="5"/>
  <c r="N377" i="5"/>
  <c r="M30" i="30"/>
  <c r="L25" i="30"/>
  <c r="L13" i="30"/>
  <c r="L29" i="30"/>
  <c r="L17" i="30"/>
  <c r="M17" i="30" s="1"/>
  <c r="M368" i="5"/>
  <c r="M372" i="5"/>
  <c r="F6" i="20"/>
  <c r="M224" i="5"/>
  <c r="M226" i="5"/>
  <c r="N226" i="5" l="1"/>
  <c r="N224" i="5"/>
  <c r="M517" i="5"/>
  <c r="N517" i="5" s="1"/>
  <c r="N372" i="5"/>
  <c r="M513" i="5"/>
  <c r="N513" i="5" s="1"/>
  <c r="N368" i="5"/>
  <c r="M29" i="30"/>
  <c r="M25" i="30"/>
  <c r="L16" i="30"/>
  <c r="M16" i="30" s="1"/>
  <c r="L28" i="30"/>
  <c r="M13" i="30"/>
  <c r="L26" i="30"/>
  <c r="L14" i="30"/>
  <c r="M14" i="30" s="1"/>
  <c r="M369" i="5"/>
  <c r="M371" i="5"/>
  <c r="M516" i="5" l="1"/>
  <c r="N516" i="5" s="1"/>
  <c r="N371" i="5"/>
  <c r="M514" i="5"/>
  <c r="N514" i="5" s="1"/>
  <c r="N369" i="5"/>
  <c r="M26" i="30"/>
  <c r="M28" i="30"/>
  <c r="H225" i="27"/>
  <c r="G344" i="5" l="1"/>
  <c r="G489" i="5" s="1"/>
  <c r="H344" i="5"/>
  <c r="H489" i="5" s="1"/>
  <c r="I225" i="27"/>
  <c r="I344" i="5" l="1"/>
  <c r="J225" i="27"/>
  <c r="I489" i="5" l="1"/>
  <c r="J344" i="5"/>
  <c r="J489" i="5" s="1"/>
  <c r="K225" i="27"/>
  <c r="K344" i="5" l="1"/>
  <c r="K489" i="5" s="1"/>
  <c r="M225" i="27"/>
  <c r="L225" i="27"/>
  <c r="L344" i="5" l="1"/>
  <c r="L489" i="5" s="1"/>
  <c r="M344" i="5"/>
  <c r="M489" i="5" s="1"/>
  <c r="N337" i="27"/>
  <c r="N392" i="27"/>
  <c r="N489" i="5" l="1"/>
  <c r="N344" i="5"/>
  <c r="I124" i="26"/>
  <c r="I164" i="26" s="1"/>
  <c r="J236" i="26"/>
  <c r="J247" i="26" s="1"/>
  <c r="I143" i="5" l="1"/>
  <c r="H32" i="30" s="1"/>
  <c r="I165" i="26"/>
  <c r="I40" i="25" s="1"/>
  <c r="K276" i="26"/>
  <c r="K287" i="26" s="1"/>
  <c r="I132" i="5"/>
  <c r="J196" i="26"/>
  <c r="K196" i="26"/>
  <c r="K207" i="26" s="1"/>
  <c r="J132" i="5"/>
  <c r="K236" i="26"/>
  <c r="J276" i="26"/>
  <c r="N124" i="26"/>
  <c r="M32" i="30" l="1"/>
  <c r="J229" i="5"/>
  <c r="J144" i="5"/>
  <c r="I144" i="5"/>
  <c r="I229" i="5"/>
  <c r="I288" i="5"/>
  <c r="N143" i="5"/>
  <c r="I277" i="5"/>
  <c r="J277" i="5"/>
  <c r="J422" i="5" s="1"/>
  <c r="J207" i="26"/>
  <c r="K132" i="5"/>
  <c r="L196" i="26"/>
  <c r="L236" i="26"/>
  <c r="L247" i="26" s="1"/>
  <c r="L276" i="26"/>
  <c r="L287" i="26" s="1"/>
  <c r="K247" i="26"/>
  <c r="J287" i="26"/>
  <c r="I433" i="5" l="1"/>
  <c r="N433" i="5" s="1"/>
  <c r="N288" i="5"/>
  <c r="I422" i="5"/>
  <c r="J289" i="5"/>
  <c r="J434" i="5" s="1"/>
  <c r="H31" i="30"/>
  <c r="H19" i="30"/>
  <c r="H33" i="30"/>
  <c r="H20" i="30"/>
  <c r="I19" i="30"/>
  <c r="I31" i="30"/>
  <c r="I20" i="30"/>
  <c r="I33" i="30"/>
  <c r="K229" i="5"/>
  <c r="K144" i="5"/>
  <c r="I289" i="5"/>
  <c r="I374" i="5"/>
  <c r="J374" i="5"/>
  <c r="J519" i="5" s="1"/>
  <c r="L207" i="26"/>
  <c r="M276" i="26"/>
  <c r="M287" i="26" s="1"/>
  <c r="N287" i="26" s="1"/>
  <c r="L132" i="5"/>
  <c r="M236" i="26"/>
  <c r="M196" i="26"/>
  <c r="M207" i="26" s="1"/>
  <c r="K277" i="5"/>
  <c r="K422" i="5" s="1"/>
  <c r="I519" i="5" l="1"/>
  <c r="I434" i="5"/>
  <c r="J31" i="30"/>
  <c r="J19" i="30"/>
  <c r="J20" i="30"/>
  <c r="J33" i="30"/>
  <c r="K289" i="5"/>
  <c r="K434" i="5" s="1"/>
  <c r="L229" i="5"/>
  <c r="L144" i="5"/>
  <c r="M132" i="5"/>
  <c r="M247" i="26"/>
  <c r="N247" i="26" s="1"/>
  <c r="N236" i="26"/>
  <c r="L277" i="5"/>
  <c r="L422" i="5" s="1"/>
  <c r="N276" i="26"/>
  <c r="N196" i="26"/>
  <c r="N207" i="26"/>
  <c r="K374" i="5"/>
  <c r="K519" i="5" s="1"/>
  <c r="K31" i="30" l="1"/>
  <c r="K19" i="30"/>
  <c r="K20" i="30"/>
  <c r="K33" i="30"/>
  <c r="L289" i="5"/>
  <c r="L434" i="5" s="1"/>
  <c r="M229" i="5"/>
  <c r="M144" i="5"/>
  <c r="N132" i="5"/>
  <c r="D30" i="20"/>
  <c r="L374" i="5"/>
  <c r="L519" i="5" s="1"/>
  <c r="M277" i="5"/>
  <c r="M422" i="5" s="1"/>
  <c r="N422" i="5" s="1"/>
  <c r="N229" i="5" l="1"/>
  <c r="N277" i="5"/>
  <c r="L33" i="30"/>
  <c r="L20" i="30"/>
  <c r="M20" i="30" s="1"/>
  <c r="L19" i="30"/>
  <c r="M19" i="30" s="1"/>
  <c r="L31" i="30"/>
  <c r="N144" i="5"/>
  <c r="M289" i="5"/>
  <c r="M434" i="5" s="1"/>
  <c r="N434" i="5" s="1"/>
  <c r="M374" i="5"/>
  <c r="M519" i="5" l="1"/>
  <c r="N519" i="5" s="1"/>
  <c r="N374" i="5"/>
  <c r="N289" i="5"/>
  <c r="M33" i="30"/>
  <c r="M31" i="30"/>
  <c r="F30" i="20"/>
  <c r="F27" i="25" l="1"/>
  <c r="F32" i="25" s="1"/>
  <c r="F34" i="25" s="1"/>
  <c r="H41" i="25" l="1"/>
  <c r="H42" i="25" s="1"/>
  <c r="M41" i="25"/>
  <c r="M42" i="25" s="1"/>
  <c r="G41" i="25"/>
  <c r="G42" i="25" s="1"/>
  <c r="I41" i="25"/>
  <c r="I42" i="25" s="1"/>
  <c r="J41" i="25"/>
  <c r="J42" i="25" s="1"/>
  <c r="K41" i="25"/>
  <c r="K42" i="25" s="1"/>
  <c r="L41" i="25"/>
  <c r="L42" i="25" s="1"/>
  <c r="L54" i="25" l="1"/>
  <c r="L55" i="25"/>
  <c r="L58" i="25"/>
  <c r="L47" i="25"/>
  <c r="L72" i="25" s="1"/>
  <c r="L50" i="25"/>
  <c r="L56" i="25"/>
  <c r="L52" i="25"/>
  <c r="L59" i="25"/>
  <c r="L48" i="25"/>
  <c r="L49" i="25"/>
  <c r="L53" i="25"/>
  <c r="L51" i="25"/>
  <c r="L57" i="25"/>
  <c r="K49" i="25"/>
  <c r="K53" i="25"/>
  <c r="K58" i="25"/>
  <c r="K51" i="25"/>
  <c r="K59" i="25"/>
  <c r="K54" i="25"/>
  <c r="K52" i="25"/>
  <c r="K57" i="25"/>
  <c r="K47" i="25"/>
  <c r="K72" i="25" s="1"/>
  <c r="K50" i="25"/>
  <c r="K48" i="25"/>
  <c r="K55" i="25"/>
  <c r="K56" i="25"/>
  <c r="J57" i="25"/>
  <c r="J50" i="25"/>
  <c r="J51" i="25"/>
  <c r="J58" i="25"/>
  <c r="J49" i="25"/>
  <c r="J53" i="25"/>
  <c r="J48" i="25"/>
  <c r="J59" i="25"/>
  <c r="J55" i="25"/>
  <c r="J56" i="25"/>
  <c r="J54" i="25"/>
  <c r="J47" i="25"/>
  <c r="J72" i="25" s="1"/>
  <c r="J52" i="25"/>
  <c r="I54" i="25"/>
  <c r="I55" i="25"/>
  <c r="I58" i="25"/>
  <c r="I53" i="25"/>
  <c r="I59" i="25"/>
  <c r="I50" i="25"/>
  <c r="I57" i="25"/>
  <c r="I56" i="25"/>
  <c r="I47" i="25"/>
  <c r="I72" i="25" s="1"/>
  <c r="I52" i="25"/>
  <c r="I48" i="25"/>
  <c r="I49" i="25"/>
  <c r="I51" i="25"/>
  <c r="G52" i="25"/>
  <c r="G54" i="25"/>
  <c r="G47" i="25"/>
  <c r="G72" i="25" s="1"/>
  <c r="G57" i="25"/>
  <c r="G56" i="25"/>
  <c r="G51" i="25"/>
  <c r="G59" i="25"/>
  <c r="G49" i="25"/>
  <c r="G53" i="25"/>
  <c r="G48" i="25"/>
  <c r="G50" i="25"/>
  <c r="G55" i="25"/>
  <c r="G58" i="25"/>
  <c r="M50" i="25"/>
  <c r="M75" i="25" s="1"/>
  <c r="M55" i="25"/>
  <c r="M59" i="25"/>
  <c r="M49" i="25"/>
  <c r="M74" i="25" s="1"/>
  <c r="M57" i="25"/>
  <c r="M48" i="25"/>
  <c r="M73" i="25" s="1"/>
  <c r="M58" i="25"/>
  <c r="M47" i="25"/>
  <c r="M72" i="25" s="1"/>
  <c r="M56" i="25"/>
  <c r="M54" i="25"/>
  <c r="M53" i="25"/>
  <c r="M52" i="25"/>
  <c r="M51" i="25"/>
  <c r="M76" i="25" s="1"/>
  <c r="H49" i="25"/>
  <c r="H48" i="25"/>
  <c r="H55" i="25"/>
  <c r="H57" i="25"/>
  <c r="H59" i="25"/>
  <c r="H50" i="25"/>
  <c r="H51" i="25"/>
  <c r="H54" i="25"/>
  <c r="H47" i="25"/>
  <c r="H72" i="25" s="1"/>
  <c r="H53" i="25"/>
  <c r="H52" i="25"/>
  <c r="H58" i="25"/>
  <c r="H56" i="25"/>
  <c r="J81" i="25" l="1"/>
  <c r="J213" i="5" s="1"/>
  <c r="J358" i="5" s="1"/>
  <c r="J503" i="5" s="1"/>
  <c r="H84" i="25"/>
  <c r="H216" i="5" s="1"/>
  <c r="H361" i="5" s="1"/>
  <c r="H506" i="5" s="1"/>
  <c r="L78" i="25"/>
  <c r="L210" i="5" s="1"/>
  <c r="L355" i="5" s="1"/>
  <c r="L500" i="5" s="1"/>
  <c r="L83" i="25"/>
  <c r="L215" i="5" s="1"/>
  <c r="L360" i="5" s="1"/>
  <c r="L505" i="5" s="1"/>
  <c r="H78" i="25"/>
  <c r="H210" i="5" s="1"/>
  <c r="H355" i="5" s="1"/>
  <c r="H500" i="5" s="1"/>
  <c r="H73" i="25"/>
  <c r="H205" i="5" s="1"/>
  <c r="H350" i="5" s="1"/>
  <c r="H495" i="5" s="1"/>
  <c r="M83" i="25"/>
  <c r="M215" i="5" s="1"/>
  <c r="M360" i="5" s="1"/>
  <c r="M505" i="5" s="1"/>
  <c r="G80" i="25"/>
  <c r="G212" i="5" s="1"/>
  <c r="G357" i="5" s="1"/>
  <c r="G502" i="5" s="1"/>
  <c r="G82" i="25"/>
  <c r="G214" i="5" s="1"/>
  <c r="G359" i="5" s="1"/>
  <c r="G504" i="5" s="1"/>
  <c r="I79" i="25"/>
  <c r="I211" i="5" s="1"/>
  <c r="J78" i="25"/>
  <c r="J210" i="5" s="1"/>
  <c r="J355" i="5" s="1"/>
  <c r="J500" i="5" s="1"/>
  <c r="K73" i="25"/>
  <c r="K205" i="5" s="1"/>
  <c r="K350" i="5" s="1"/>
  <c r="K495" i="5" s="1"/>
  <c r="K83" i="25"/>
  <c r="K215" i="5" s="1"/>
  <c r="K360" i="5" s="1"/>
  <c r="K505" i="5" s="1"/>
  <c r="L84" i="25"/>
  <c r="L216" i="5" s="1"/>
  <c r="L361" i="5" s="1"/>
  <c r="L506" i="5" s="1"/>
  <c r="H74" i="25"/>
  <c r="G75" i="25"/>
  <c r="G207" i="5" s="1"/>
  <c r="G352" i="5" s="1"/>
  <c r="G497" i="5" s="1"/>
  <c r="I81" i="25"/>
  <c r="I213" i="5" s="1"/>
  <c r="J77" i="25"/>
  <c r="J209" i="5" s="1"/>
  <c r="J354" i="5" s="1"/>
  <c r="J499" i="5" s="1"/>
  <c r="J74" i="25"/>
  <c r="J206" i="5" s="1"/>
  <c r="J351" i="5" s="1"/>
  <c r="J496" i="5" s="1"/>
  <c r="K75" i="25"/>
  <c r="K207" i="5" s="1"/>
  <c r="K352" i="5" s="1"/>
  <c r="K497" i="5" s="1"/>
  <c r="K78" i="25"/>
  <c r="K210" i="5" s="1"/>
  <c r="K355" i="5" s="1"/>
  <c r="K500" i="5" s="1"/>
  <c r="L77" i="25"/>
  <c r="L209" i="5" s="1"/>
  <c r="L354" i="5" s="1"/>
  <c r="L499" i="5" s="1"/>
  <c r="H79" i="25"/>
  <c r="H211" i="5" s="1"/>
  <c r="H356" i="5" s="1"/>
  <c r="H501" i="5" s="1"/>
  <c r="M82" i="25"/>
  <c r="M214" i="5" s="1"/>
  <c r="M359" i="5" s="1"/>
  <c r="M504" i="5" s="1"/>
  <c r="G73" i="25"/>
  <c r="G205" i="5" s="1"/>
  <c r="G350" i="5" s="1"/>
  <c r="G495" i="5" s="1"/>
  <c r="G79" i="25"/>
  <c r="G211" i="5" s="1"/>
  <c r="G356" i="5" s="1"/>
  <c r="G501" i="5" s="1"/>
  <c r="I82" i="25"/>
  <c r="I214" i="5" s="1"/>
  <c r="J83" i="25"/>
  <c r="J215" i="5" s="1"/>
  <c r="J360" i="5" s="1"/>
  <c r="J505" i="5" s="1"/>
  <c r="K74" i="25"/>
  <c r="K206" i="5" s="1"/>
  <c r="K351" i="5" s="1"/>
  <c r="K496" i="5" s="1"/>
  <c r="L81" i="25"/>
  <c r="L213" i="5" s="1"/>
  <c r="L358" i="5" s="1"/>
  <c r="L503" i="5" s="1"/>
  <c r="H76" i="25"/>
  <c r="H208" i="5" s="1"/>
  <c r="H353" i="5" s="1"/>
  <c r="H498" i="5" s="1"/>
  <c r="M77" i="25"/>
  <c r="M209" i="5" s="1"/>
  <c r="M354" i="5" s="1"/>
  <c r="M499" i="5" s="1"/>
  <c r="G78" i="25"/>
  <c r="G210" i="5" s="1"/>
  <c r="G355" i="5" s="1"/>
  <c r="G500" i="5" s="1"/>
  <c r="G77" i="25"/>
  <c r="G209" i="5" s="1"/>
  <c r="G354" i="5" s="1"/>
  <c r="G499" i="5" s="1"/>
  <c r="I75" i="25"/>
  <c r="I207" i="5" s="1"/>
  <c r="J79" i="25"/>
  <c r="J211" i="5" s="1"/>
  <c r="J356" i="5" s="1"/>
  <c r="J501" i="5" s="1"/>
  <c r="J76" i="25"/>
  <c r="J208" i="5" s="1"/>
  <c r="J353" i="5" s="1"/>
  <c r="J498" i="5" s="1"/>
  <c r="K82" i="25"/>
  <c r="K214" i="5" s="1"/>
  <c r="K359" i="5" s="1"/>
  <c r="K504" i="5" s="1"/>
  <c r="L82" i="25"/>
  <c r="L214" i="5" s="1"/>
  <c r="L359" i="5" s="1"/>
  <c r="L504" i="5" s="1"/>
  <c r="L75" i="25"/>
  <c r="L207" i="5" s="1"/>
  <c r="L352" i="5" s="1"/>
  <c r="L497" i="5" s="1"/>
  <c r="H75" i="25"/>
  <c r="H207" i="5" s="1"/>
  <c r="H352" i="5" s="1"/>
  <c r="H497" i="5" s="1"/>
  <c r="M78" i="25"/>
  <c r="M210" i="5" s="1"/>
  <c r="M355" i="5" s="1"/>
  <c r="M500" i="5" s="1"/>
  <c r="M84" i="25"/>
  <c r="M216" i="5" s="1"/>
  <c r="M361" i="5" s="1"/>
  <c r="M506" i="5" s="1"/>
  <c r="G74" i="25"/>
  <c r="G206" i="5" s="1"/>
  <c r="G351" i="5" s="1"/>
  <c r="G496" i="5" s="1"/>
  <c r="I76" i="25"/>
  <c r="I208" i="5" s="1"/>
  <c r="I84" i="25"/>
  <c r="I216" i="5" s="1"/>
  <c r="J75" i="25"/>
  <c r="J207" i="5" s="1"/>
  <c r="J352" i="5" s="1"/>
  <c r="J497" i="5" s="1"/>
  <c r="K77" i="25"/>
  <c r="K209" i="5" s="1"/>
  <c r="K354" i="5" s="1"/>
  <c r="K499" i="5" s="1"/>
  <c r="L76" i="25"/>
  <c r="L208" i="5" s="1"/>
  <c r="L353" i="5" s="1"/>
  <c r="L498" i="5" s="1"/>
  <c r="H81" i="25"/>
  <c r="H213" i="5" s="1"/>
  <c r="H358" i="5" s="1"/>
  <c r="H503" i="5" s="1"/>
  <c r="M79" i="25"/>
  <c r="M211" i="5" s="1"/>
  <c r="M356" i="5" s="1"/>
  <c r="M501" i="5" s="1"/>
  <c r="M80" i="25"/>
  <c r="M212" i="5" s="1"/>
  <c r="M357" i="5" s="1"/>
  <c r="M502" i="5" s="1"/>
  <c r="G84" i="25"/>
  <c r="G216" i="5" s="1"/>
  <c r="G361" i="5" s="1"/>
  <c r="G506" i="5" s="1"/>
  <c r="I74" i="25"/>
  <c r="I206" i="5" s="1"/>
  <c r="I78" i="25"/>
  <c r="I210" i="5" s="1"/>
  <c r="J80" i="25"/>
  <c r="J212" i="5" s="1"/>
  <c r="J357" i="5" s="1"/>
  <c r="J502" i="5" s="1"/>
  <c r="J82" i="25"/>
  <c r="J214" i="5" s="1"/>
  <c r="J359" i="5" s="1"/>
  <c r="J504" i="5" s="1"/>
  <c r="K79" i="25"/>
  <c r="K211" i="5" s="1"/>
  <c r="K356" i="5" s="1"/>
  <c r="K501" i="5" s="1"/>
  <c r="H83" i="25"/>
  <c r="H215" i="5" s="1"/>
  <c r="H360" i="5" s="1"/>
  <c r="H505" i="5" s="1"/>
  <c r="H82" i="25"/>
  <c r="H214" i="5" s="1"/>
  <c r="H359" i="5" s="1"/>
  <c r="H504" i="5" s="1"/>
  <c r="M81" i="25"/>
  <c r="M213" i="5" s="1"/>
  <c r="M358" i="5" s="1"/>
  <c r="M503" i="5" s="1"/>
  <c r="G76" i="25"/>
  <c r="G208" i="5" s="1"/>
  <c r="G353" i="5" s="1"/>
  <c r="G498" i="5" s="1"/>
  <c r="I73" i="25"/>
  <c r="I205" i="5" s="1"/>
  <c r="I83" i="25"/>
  <c r="I215" i="5" s="1"/>
  <c r="J84" i="25"/>
  <c r="J216" i="5" s="1"/>
  <c r="J361" i="5" s="1"/>
  <c r="J506" i="5" s="1"/>
  <c r="K81" i="25"/>
  <c r="K213" i="5" s="1"/>
  <c r="K358" i="5" s="1"/>
  <c r="K503" i="5" s="1"/>
  <c r="K84" i="25"/>
  <c r="K216" i="5" s="1"/>
  <c r="K361" i="5" s="1"/>
  <c r="K506" i="5" s="1"/>
  <c r="L74" i="25"/>
  <c r="L206" i="5" s="1"/>
  <c r="L351" i="5" s="1"/>
  <c r="L496" i="5" s="1"/>
  <c r="L80" i="25"/>
  <c r="L212" i="5" s="1"/>
  <c r="L357" i="5" s="1"/>
  <c r="L502" i="5" s="1"/>
  <c r="H77" i="25"/>
  <c r="H209" i="5" s="1"/>
  <c r="H354" i="5" s="1"/>
  <c r="H499" i="5" s="1"/>
  <c r="H80" i="25"/>
  <c r="H212" i="5" s="1"/>
  <c r="H357" i="5" s="1"/>
  <c r="H502" i="5" s="1"/>
  <c r="G83" i="25"/>
  <c r="G215" i="5" s="1"/>
  <c r="G360" i="5" s="1"/>
  <c r="G505" i="5" s="1"/>
  <c r="G81" i="25"/>
  <c r="G213" i="5" s="1"/>
  <c r="G358" i="5" s="1"/>
  <c r="G503" i="5" s="1"/>
  <c r="I77" i="25"/>
  <c r="I209" i="5" s="1"/>
  <c r="I80" i="25"/>
  <c r="I212" i="5" s="1"/>
  <c r="J73" i="25"/>
  <c r="K80" i="25"/>
  <c r="K212" i="5" s="1"/>
  <c r="K357" i="5" s="1"/>
  <c r="K502" i="5" s="1"/>
  <c r="K76" i="25"/>
  <c r="K208" i="5" s="1"/>
  <c r="K353" i="5" s="1"/>
  <c r="K498" i="5" s="1"/>
  <c r="L73" i="25"/>
  <c r="L79" i="25"/>
  <c r="L211" i="5" s="1"/>
  <c r="L356" i="5" s="1"/>
  <c r="L501" i="5" s="1"/>
  <c r="M205" i="5"/>
  <c r="M350" i="5" s="1"/>
  <c r="M495" i="5" s="1"/>
  <c r="M208" i="5"/>
  <c r="M353" i="5" s="1"/>
  <c r="M498" i="5" s="1"/>
  <c r="M206" i="5"/>
  <c r="M351" i="5" s="1"/>
  <c r="M496" i="5" s="1"/>
  <c r="H204" i="5"/>
  <c r="H349" i="5" s="1"/>
  <c r="H494" i="5" s="1"/>
  <c r="I204" i="5"/>
  <c r="K204" i="5"/>
  <c r="K349" i="5" s="1"/>
  <c r="K494" i="5" s="1"/>
  <c r="L204" i="5"/>
  <c r="L349" i="5" s="1"/>
  <c r="L494" i="5" s="1"/>
  <c r="J204" i="5"/>
  <c r="J349" i="5" s="1"/>
  <c r="J494" i="5" s="1"/>
  <c r="M204" i="5"/>
  <c r="M349" i="5" s="1"/>
  <c r="M494" i="5" s="1"/>
  <c r="G204" i="5"/>
  <c r="G349" i="5" s="1"/>
  <c r="G494" i="5" s="1"/>
  <c r="I360" i="5" l="1"/>
  <c r="N215" i="5"/>
  <c r="I361" i="5"/>
  <c r="N216" i="5"/>
  <c r="I356" i="5"/>
  <c r="N211" i="5"/>
  <c r="I350" i="5"/>
  <c r="I359" i="5"/>
  <c r="N214" i="5"/>
  <c r="I349" i="5"/>
  <c r="N204" i="5"/>
  <c r="I353" i="5"/>
  <c r="N208" i="5"/>
  <c r="I351" i="5"/>
  <c r="N206" i="5"/>
  <c r="I358" i="5"/>
  <c r="N213" i="5"/>
  <c r="I357" i="5"/>
  <c r="N212" i="5"/>
  <c r="I354" i="5"/>
  <c r="N209" i="5"/>
  <c r="I352" i="5"/>
  <c r="I355" i="5"/>
  <c r="N210" i="5"/>
  <c r="H86" i="25"/>
  <c r="H218" i="5" s="1"/>
  <c r="G86" i="25"/>
  <c r="G218" i="5" s="1"/>
  <c r="J86" i="25"/>
  <c r="J218" i="5" s="1"/>
  <c r="K86" i="25"/>
  <c r="K218" i="5" s="1"/>
  <c r="L86" i="25"/>
  <c r="L218" i="5" s="1"/>
  <c r="I86" i="25"/>
  <c r="I218" i="5" s="1"/>
  <c r="J205" i="5"/>
  <c r="J350" i="5" s="1"/>
  <c r="J495" i="5" s="1"/>
  <c r="L205" i="5"/>
  <c r="L350" i="5" s="1"/>
  <c r="L495" i="5" s="1"/>
  <c r="H206" i="5"/>
  <c r="H351" i="5" s="1"/>
  <c r="H496" i="5" s="1"/>
  <c r="M86" i="25"/>
  <c r="M218" i="5" s="1"/>
  <c r="M207" i="5"/>
  <c r="M352" i="5" s="1"/>
  <c r="M497" i="5" s="1"/>
  <c r="N207" i="5" l="1"/>
  <c r="I494" i="5"/>
  <c r="N494" i="5" s="1"/>
  <c r="N349" i="5"/>
  <c r="I504" i="5"/>
  <c r="N504" i="5" s="1"/>
  <c r="N359" i="5"/>
  <c r="I501" i="5"/>
  <c r="N501" i="5" s="1"/>
  <c r="N356" i="5"/>
  <c r="I498" i="5"/>
  <c r="N498" i="5" s="1"/>
  <c r="N353" i="5"/>
  <c r="N218" i="5"/>
  <c r="N205" i="5"/>
  <c r="I500" i="5"/>
  <c r="N500" i="5" s="1"/>
  <c r="N355" i="5"/>
  <c r="I495" i="5"/>
  <c r="N495" i="5" s="1"/>
  <c r="N350" i="5"/>
  <c r="I499" i="5"/>
  <c r="N499" i="5" s="1"/>
  <c r="N354" i="5"/>
  <c r="I506" i="5"/>
  <c r="N506" i="5" s="1"/>
  <c r="N361" i="5"/>
  <c r="I503" i="5"/>
  <c r="N503" i="5" s="1"/>
  <c r="N358" i="5"/>
  <c r="I496" i="5"/>
  <c r="N496" i="5" s="1"/>
  <c r="N351" i="5"/>
  <c r="I497" i="5"/>
  <c r="N497" i="5" s="1"/>
  <c r="N352" i="5"/>
  <c r="I502" i="5"/>
  <c r="N502" i="5" s="1"/>
  <c r="N357" i="5"/>
  <c r="I505" i="5"/>
  <c r="N505" i="5" s="1"/>
  <c r="N360" i="5"/>
  <c r="G363" i="5"/>
  <c r="G508" i="5" s="1"/>
  <c r="H363" i="5"/>
  <c r="H508" i="5" s="1"/>
  <c r="L363" i="5"/>
  <c r="L508" i="5" s="1"/>
  <c r="I363" i="5"/>
  <c r="K363" i="5"/>
  <c r="K508" i="5" s="1"/>
  <c r="J363" i="5"/>
  <c r="J508" i="5" s="1"/>
  <c r="M363" i="5"/>
  <c r="M508" i="5" s="1"/>
  <c r="I508" i="5" l="1"/>
  <c r="N508" i="5" s="1"/>
  <c r="N363" i="5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<sst xmlns="http://schemas.openxmlformats.org/spreadsheetml/2006/main" count="8268" uniqueCount="447">
  <si>
    <t>Version history</t>
  </si>
  <si>
    <t>Model version</t>
  </si>
  <si>
    <t>Last updated</t>
  </si>
  <si>
    <t>Quality assurance</t>
  </si>
  <si>
    <t>Description of model stage</t>
  </si>
  <si>
    <t>v1</t>
  </si>
  <si>
    <t>External (CAA)</t>
  </si>
  <si>
    <t>Initial model build.</t>
  </si>
  <si>
    <t>v2</t>
  </si>
  <si>
    <t>Updates after first CAA audit including passenger scenario adjustments and single-sheet inputs.</t>
  </si>
  <si>
    <t>v3</t>
  </si>
  <si>
    <t>Updates after second CAA audit on FAST compliance and incorporated CAA methodology for forecasting ORC costs.</t>
  </si>
  <si>
    <t>v4</t>
  </si>
  <si>
    <t>Added HAL inputs after BP submission.</t>
  </si>
  <si>
    <t>v5</t>
  </si>
  <si>
    <t>Added EE/YAL inputs across multiple workstreams.</t>
  </si>
  <si>
    <t>v6</t>
  </si>
  <si>
    <t>Internal (EE)</t>
  </si>
  <si>
    <t>Revised calculation logic to produce results in real terms and finalised EE/YAL workstream inputs in discussion with CAA.</t>
  </si>
  <si>
    <t>v7</t>
  </si>
  <si>
    <t>Finalised overlay calculations, added a bottom-up estimation of cargo revenues and updated RPE indices to reflect updated November 2025 OBR forecasts.</t>
  </si>
  <si>
    <t>v8</t>
  </si>
  <si>
    <t>Added HAL inputs for the MSPC4 revenue overlay and updated TDOC bottom up revenue inputs in line with CAA thinking.</t>
  </si>
  <si>
    <t>Guide</t>
  </si>
  <si>
    <t>Index</t>
  </si>
  <si>
    <t>Sheet</t>
  </si>
  <si>
    <t>Type</t>
  </si>
  <si>
    <t>Description</t>
  </si>
  <si>
    <t>Summary</t>
  </si>
  <si>
    <t>Results</t>
  </si>
  <si>
    <t>Provides headline outputs and key results from the roll-forward modelling.</t>
  </si>
  <si>
    <t>Assumptions</t>
  </si>
  <si>
    <t>Input</t>
  </si>
  <si>
    <t>Define the source of raw data input and set input assumptions for volume drivers, elasticities, fromtier shift and management stretch</t>
  </si>
  <si>
    <t>Traffic inputs</t>
  </si>
  <si>
    <t xml:space="preserve">Raw data inputs for the traffic scenarios </t>
  </si>
  <si>
    <t>Baseline</t>
  </si>
  <si>
    <t>Inputs the 2024 base year values used as starting points for the roll-forward analysis.</t>
  </si>
  <si>
    <t>ORCs</t>
  </si>
  <si>
    <t>Category breakdowns of total ORC cost</t>
  </si>
  <si>
    <t>Volume Drivers</t>
  </si>
  <si>
    <t>Raw data inputs for mode share and other drivers that do not vary across traffic scenarios.</t>
  </si>
  <si>
    <t>Scaling</t>
  </si>
  <si>
    <t>Input price index forecasts.</t>
  </si>
  <si>
    <t>Overlays</t>
  </si>
  <si>
    <t>Specifies additional adjustments, or overlays, applied to the outputs.</t>
  </si>
  <si>
    <t>OPEX</t>
  </si>
  <si>
    <t>Calculations</t>
  </si>
  <si>
    <t>Forecasts operational expenditure over the price review based on set inputs, volume and scaling assumptions and overlays.</t>
  </si>
  <si>
    <t>Commercial Revenues</t>
  </si>
  <si>
    <t>Forecasts commercial revenue over the price review based on set inputs, volume and scaling assumptions and overlays.</t>
  </si>
  <si>
    <t>Bottom-up</t>
  </si>
  <si>
    <t>Produces bottom-up forecasts of Cargo revenues</t>
  </si>
  <si>
    <t>ORC_calcs</t>
  </si>
  <si>
    <t>Calculates direct ORC costs based on opex forecasts, which are then combined with fixed ORC costs to produce ORC forecasts across H8.</t>
  </si>
  <si>
    <t>Alternative summary</t>
  </si>
  <si>
    <t>Provides category outputs with noise and vortex costs and overlay costs/ revenues separated from category totals</t>
  </si>
  <si>
    <t>Check</t>
  </si>
  <si>
    <t>Performs a set of consistency checks across the model</t>
  </si>
  <si>
    <t>Note: Operating expenditure and commercial revenue categories are consistent with the H8 data template submitted with the HAL business plan</t>
  </si>
  <si>
    <t>Colour coding</t>
  </si>
  <si>
    <t>Abbreviations</t>
  </si>
  <si>
    <t>Worksheet</t>
  </si>
  <si>
    <t>Frontier shift</t>
  </si>
  <si>
    <t>FS</t>
  </si>
  <si>
    <t>Input sheets</t>
  </si>
  <si>
    <t>Management shift</t>
  </si>
  <si>
    <t>MS</t>
  </si>
  <si>
    <t>Calculation sheets</t>
  </si>
  <si>
    <t>Real Price Effects</t>
  </si>
  <si>
    <t>RPE</t>
  </si>
  <si>
    <t>Results sheets</t>
  </si>
  <si>
    <t>Volume driver</t>
  </si>
  <si>
    <t>V</t>
  </si>
  <si>
    <t>Check sheet</t>
  </si>
  <si>
    <t>Cells</t>
  </si>
  <si>
    <t>Inputs or assumptions that can be changed</t>
  </si>
  <si>
    <t>Calculations that should not be altered</t>
  </si>
  <si>
    <t>Outputs</t>
  </si>
  <si>
    <t>Roll-forward methodology</t>
  </si>
  <si>
    <t>The roll-forward model is applied separately to each cost or revenue category</t>
  </si>
  <si>
    <t>The 'Assumptions' sheet details whether an RPE, MS or FS is to be applied to each category</t>
  </si>
  <si>
    <t>The roll forward is then calculated in 'OPEX' and 'Commercial Revenues' sheets using the following equations:</t>
  </si>
  <si>
    <t>Commercial Revenue</t>
  </si>
  <si>
    <t>Where:</t>
  </si>
  <si>
    <t>ε = Volume driver elasticity</t>
  </si>
  <si>
    <t>∆V = Growth rate in volume driver</t>
  </si>
  <si>
    <t>Note: Overlays that are not additive and instead may impact the volume drivers will be considered at an earlier stage.</t>
  </si>
  <si>
    <t>Summary charts</t>
  </si>
  <si>
    <t>Opex and comrev model charts</t>
  </si>
  <si>
    <t>Passenger forecast</t>
  </si>
  <si>
    <t>Source</t>
  </si>
  <si>
    <t>Scenario</t>
  </si>
  <si>
    <t>Traffic input</t>
  </si>
  <si>
    <t>Driver summary</t>
  </si>
  <si>
    <t>Cost item</t>
  </si>
  <si>
    <t>Units</t>
  </si>
  <si>
    <t>Price base &amp; Index</t>
  </si>
  <si>
    <t>Cost category</t>
  </si>
  <si>
    <t>Volume Driver 1</t>
  </si>
  <si>
    <t>Elasticity VD1</t>
  </si>
  <si>
    <t>Security staff</t>
  </si>
  <si>
    <t>£ millions</t>
  </si>
  <si>
    <t>2024 CPI Prices</t>
  </si>
  <si>
    <t>Staff</t>
  </si>
  <si>
    <t>Operational staff – terminal-related</t>
  </si>
  <si>
    <t>Operational staff – airfield-related</t>
  </si>
  <si>
    <t>Operational staff – maintenance</t>
  </si>
  <si>
    <t>Operational staff – other</t>
  </si>
  <si>
    <t>Non-operational staff</t>
  </si>
  <si>
    <t>Pensions and Capitalised Staff Costs</t>
  </si>
  <si>
    <t>Baggage system maintenance</t>
  </si>
  <si>
    <t>Maintenance, facilities management &amp; equipment</t>
  </si>
  <si>
    <t>Other equipment maintenance</t>
  </si>
  <si>
    <t>Stores &amp; equipment</t>
  </si>
  <si>
    <t>Cleaning</t>
  </si>
  <si>
    <t>Business rates costs</t>
  </si>
  <si>
    <t>Rent &amp; rates</t>
  </si>
  <si>
    <t>Electricity</t>
  </si>
  <si>
    <t>Utilities (excluding distribution contract)</t>
  </si>
  <si>
    <t>Water and sewerage</t>
  </si>
  <si>
    <t>Gas</t>
  </si>
  <si>
    <t>Waste &amp; recycling</t>
  </si>
  <si>
    <t>Other utilities</t>
  </si>
  <si>
    <t>Electricity distribution contract</t>
  </si>
  <si>
    <t>Insurance</t>
  </si>
  <si>
    <t>Air navigation service</t>
  </si>
  <si>
    <t>Other opex</t>
  </si>
  <si>
    <t>Police</t>
  </si>
  <si>
    <t>Rail expenditure</t>
  </si>
  <si>
    <t>Service quality rebate (MTI rebate)</t>
  </si>
  <si>
    <t>Intra group</t>
  </si>
  <si>
    <t>PRM costs</t>
  </si>
  <si>
    <t>Other operational costs</t>
  </si>
  <si>
    <t>IT &amp; computer services maintenance</t>
  </si>
  <si>
    <t>Rent costs</t>
  </si>
  <si>
    <t>Car parks</t>
  </si>
  <si>
    <t>CAA Airport Licence Fees</t>
  </si>
  <si>
    <t>Heathrow Helpers (Ethos Farm / Wilson James)</t>
  </si>
  <si>
    <t>Includes Heathrow Consolidation Centre (Bradford-Swissport) / HBS Security</t>
  </si>
  <si>
    <t>Contingency planning (3rd party security)</t>
  </si>
  <si>
    <t>Bussing (incl TransDev and Sustainable Travel Fund)</t>
  </si>
  <si>
    <t>General Expense, Consultancy, Advertising, design and marketing</t>
  </si>
  <si>
    <t>Revenue item</t>
  </si>
  <si>
    <t>Revenue category</t>
  </si>
  <si>
    <t>Management stretch</t>
  </si>
  <si>
    <t>Catering</t>
  </si>
  <si>
    <t>Retail and catering</t>
  </si>
  <si>
    <t>Duty free - UK &amp; Cl</t>
  </si>
  <si>
    <t>Duty free - Europe</t>
  </si>
  <si>
    <t>Duty free - Middle East</t>
  </si>
  <si>
    <t>Duty free - Africa</t>
  </si>
  <si>
    <t>Duty free - North America</t>
  </si>
  <si>
    <t>Duty free - Latin America</t>
  </si>
  <si>
    <t>Duty free - Asia/Pacific</t>
  </si>
  <si>
    <t>Duty free - Other</t>
  </si>
  <si>
    <t>Luxury retail</t>
  </si>
  <si>
    <t>Other retail</t>
  </si>
  <si>
    <t>Bureau of change revenue</t>
  </si>
  <si>
    <t>Other services</t>
  </si>
  <si>
    <t>Advertising revenue</t>
  </si>
  <si>
    <t>[Spare]</t>
  </si>
  <si>
    <t>Surface Access &amp; Car Parking</t>
  </si>
  <si>
    <t>Car parking</t>
  </si>
  <si>
    <t>Other surface access</t>
  </si>
  <si>
    <t>Car rental</t>
  </si>
  <si>
    <t>Terminal drop-off charge revenue</t>
  </si>
  <si>
    <t>Fast track services</t>
  </si>
  <si>
    <t>Service revenue   (excl. surface access)</t>
  </si>
  <si>
    <t>VIP charges</t>
  </si>
  <si>
    <t>Other service revenues</t>
  </si>
  <si>
    <t>Track access revenue</t>
  </si>
  <si>
    <t>Rail</t>
  </si>
  <si>
    <t>Heathrow Express revenue</t>
  </si>
  <si>
    <t>TS Piccadilly Line revenue</t>
  </si>
  <si>
    <t>Other offices</t>
  </si>
  <si>
    <t>Property</t>
  </si>
  <si>
    <t>Other commercial properties</t>
  </si>
  <si>
    <t>Warehouses</t>
  </si>
  <si>
    <t>In-terminal offices</t>
  </si>
  <si>
    <t>CTA/ Perimeter</t>
  </si>
  <si>
    <t>Other</t>
  </si>
  <si>
    <t>New revenue streams</t>
  </si>
  <si>
    <t>Intercompany revenue</t>
  </si>
  <si>
    <t>Other commercial revenue</t>
  </si>
  <si>
    <t>Red Terminal Cost Recovery</t>
  </si>
  <si>
    <t>Other revenue</t>
  </si>
  <si>
    <t>Cargo revenue</t>
  </si>
  <si>
    <t>Forecast totals (real)</t>
  </si>
  <si>
    <t>Operating expenditure</t>
  </si>
  <si>
    <t>H8 total</t>
  </si>
  <si>
    <t>OPEX overlays</t>
  </si>
  <si>
    <t>Total OPEX</t>
  </si>
  <si>
    <t>Commercial revenue</t>
  </si>
  <si>
    <t>Comrev overlays</t>
  </si>
  <si>
    <t>Total commercial revenue</t>
  </si>
  <si>
    <t>Specified facility</t>
  </si>
  <si>
    <t>Staff car parking</t>
  </si>
  <si>
    <t>Staff ID</t>
  </si>
  <si>
    <t>Airside Licences</t>
  </si>
  <si>
    <t>Water and wastewater</t>
  </si>
  <si>
    <t>Waste</t>
  </si>
  <si>
    <t>Taxi feeder park</t>
  </si>
  <si>
    <t>Baggage</t>
  </si>
  <si>
    <t>HBS (hold baggage screening)</t>
  </si>
  <si>
    <t>PRM (passengers with reduced mobility)</t>
  </si>
  <si>
    <t>AOC (airline operator committee)</t>
  </si>
  <si>
    <t>FEGP (fixed electrical ground power)</t>
  </si>
  <si>
    <t>PCA (pre-conditioned air)</t>
  </si>
  <si>
    <t>ORC adjustment</t>
  </si>
  <si>
    <t>Total ORCs</t>
  </si>
  <si>
    <t>Category totals</t>
  </si>
  <si>
    <t>Forecast totals (nominal)</t>
  </si>
  <si>
    <t>Price index</t>
  </si>
  <si>
    <t>Unit</t>
  </si>
  <si>
    <t>CPI</t>
  </si>
  <si>
    <t>OBR</t>
  </si>
  <si>
    <t>Prices of the year</t>
  </si>
  <si>
    <t>Forecast totals (real CPIH)</t>
  </si>
  <si>
    <t>\</t>
  </si>
  <si>
    <t>CPIH</t>
  </si>
  <si>
    <t>OBR (November 2025)</t>
  </si>
  <si>
    <t>2024 CPIH Prices</t>
  </si>
  <si>
    <t>Inputs</t>
  </si>
  <si>
    <t>Input assumptions</t>
  </si>
  <si>
    <t>Volume drivers</t>
  </si>
  <si>
    <t>RPE indices</t>
  </si>
  <si>
    <t>Driver category</t>
  </si>
  <si>
    <t>Data input</t>
  </si>
  <si>
    <t>Total Pax</t>
  </si>
  <si>
    <t>Passengers</t>
  </si>
  <si>
    <t>CAA</t>
  </si>
  <si>
    <t>Pax WLU</t>
  </si>
  <si>
    <t>OBR Average Earnings</t>
  </si>
  <si>
    <t>HAL</t>
  </si>
  <si>
    <t>Departing Pax</t>
  </si>
  <si>
    <t>RPI</t>
  </si>
  <si>
    <t>Airlines</t>
  </si>
  <si>
    <t>Arriving Pax</t>
  </si>
  <si>
    <t>CPI+1%</t>
  </si>
  <si>
    <t>Spare</t>
  </si>
  <si>
    <t>UK Pax</t>
  </si>
  <si>
    <t>CPI+1.5%</t>
  </si>
  <si>
    <t>Europe Pax</t>
  </si>
  <si>
    <t>16% Labour 84% CPI</t>
  </si>
  <si>
    <t>Passenger scenario</t>
  </si>
  <si>
    <t>North America Pax</t>
  </si>
  <si>
    <t>28% Labour 72% CPI</t>
  </si>
  <si>
    <t>Low</t>
  </si>
  <si>
    <t>Asia/Pacific Pax</t>
  </si>
  <si>
    <t>58% Labour 42% CPI</t>
  </si>
  <si>
    <t>Base</t>
  </si>
  <si>
    <t>Middle East Pax</t>
  </si>
  <si>
    <t>53% CPI 47% RPI</t>
  </si>
  <si>
    <t>High</t>
  </si>
  <si>
    <t>Africa Pax</t>
  </si>
  <si>
    <t>No inflation</t>
  </si>
  <si>
    <t>Latin America Pax</t>
  </si>
  <si>
    <t>Other Pax</t>
  </si>
  <si>
    <t>Bureaux volume adjustment</t>
  </si>
  <si>
    <t>O&amp;D</t>
  </si>
  <si>
    <t>Passenger splits</t>
  </si>
  <si>
    <t>3rd party car parking</t>
  </si>
  <si>
    <t>Passenger mode share</t>
  </si>
  <si>
    <t>TDOC</t>
  </si>
  <si>
    <t>Bus/Coach Passengers</t>
  </si>
  <si>
    <t>Piccadilly Line</t>
  </si>
  <si>
    <t>Car Rental Passengers</t>
  </si>
  <si>
    <t>Heathrow Express Pax</t>
  </si>
  <si>
    <t>Elizabeth Line Passengers</t>
  </si>
  <si>
    <t>Other Passengers</t>
  </si>
  <si>
    <t>Long Stay Parking Pax</t>
  </si>
  <si>
    <t>Short Stay Parking Pax</t>
  </si>
  <si>
    <t>PRM Pax</t>
  </si>
  <si>
    <t>Passenger share</t>
  </si>
  <si>
    <t>OD Pax</t>
  </si>
  <si>
    <t>Other passenger drivers</t>
  </si>
  <si>
    <t>Parking/Rental Pax</t>
  </si>
  <si>
    <t>TDOC Pax</t>
  </si>
  <si>
    <t>In-terminal Offices</t>
  </si>
  <si>
    <t>Property drivers</t>
  </si>
  <si>
    <t>Other Offices</t>
  </si>
  <si>
    <t>Other Commercial Properties</t>
  </si>
  <si>
    <t>Cargo ATMs</t>
  </si>
  <si>
    <t>Cargo drivers</t>
  </si>
  <si>
    <t>Non-pax ATMs</t>
  </si>
  <si>
    <t>Yield per ATM</t>
  </si>
  <si>
    <t>Utilised Terminal Floor Area</t>
  </si>
  <si>
    <t>Other drivers</t>
  </si>
  <si>
    <t>Commercial Floor Area - Catering</t>
  </si>
  <si>
    <t>Commercial Floor Area - Duty Free Retail</t>
  </si>
  <si>
    <t>Commercial Floor Area - Luxury Retail</t>
  </si>
  <si>
    <t>Commercial Floor Area - Other Retail</t>
  </si>
  <si>
    <t>Electricity Consumption</t>
  </si>
  <si>
    <t>Gas Consumption</t>
  </si>
  <si>
    <t>Water Consumption</t>
  </si>
  <si>
    <t>Security Processing Rate</t>
  </si>
  <si>
    <t>No Driver</t>
  </si>
  <si>
    <t>Passenger Scenario</t>
  </si>
  <si>
    <t xml:space="preserve">Frontier shift </t>
  </si>
  <si>
    <t>Frontier Shift</t>
  </si>
  <si>
    <t>H7 Frontier Shift</t>
  </si>
  <si>
    <t>Cost items</t>
  </si>
  <si>
    <t>Volume Driver</t>
  </si>
  <si>
    <t>Elasticity</t>
  </si>
  <si>
    <t>Total terminal size</t>
  </si>
  <si>
    <t>Revenue items</t>
  </si>
  <si>
    <t>Bureau volume adjustment</t>
  </si>
  <si>
    <t>No driver</t>
  </si>
  <si>
    <t>Traffic Inputs</t>
  </si>
  <si>
    <t>Model input</t>
  </si>
  <si>
    <t>Model inputs</t>
  </si>
  <si>
    <t>Traffic scenario</t>
  </si>
  <si>
    <t>Pax</t>
  </si>
  <si>
    <t>HAL 2024 baseline</t>
  </si>
  <si>
    <t>Adjusted baseline opex</t>
  </si>
  <si>
    <t>Adjusted opex (excl. rigidity)</t>
  </si>
  <si>
    <t>Baseline adjustment</t>
  </si>
  <si>
    <t>Security Staff</t>
  </si>
  <si>
    <t>Other Operational Staff</t>
  </si>
  <si>
    <t>Non-Operational Staff</t>
  </si>
  <si>
    <t>Other Operational Costs (excl. PRM and IT)</t>
  </si>
  <si>
    <t>Facilities/ Maintenance</t>
  </si>
  <si>
    <t>Rent and Rates</t>
  </si>
  <si>
    <t>Utilities</t>
  </si>
  <si>
    <t>Distribution Contract</t>
  </si>
  <si>
    <t>Adjustment for POD parking</t>
  </si>
  <si>
    <t xml:space="preserve">HAL 2024 outturn </t>
  </si>
  <si>
    <t>Share of baseline category</t>
  </si>
  <si>
    <t>Adjusted baseline comrev</t>
  </si>
  <si>
    <t>Adjusted comrev (excl. rigidity)</t>
  </si>
  <si>
    <t>Retail</t>
  </si>
  <si>
    <t>Other Retail</t>
  </si>
  <si>
    <t>Bureaux</t>
  </si>
  <si>
    <t>Service revenue</t>
  </si>
  <si>
    <t>Other Comrev</t>
  </si>
  <si>
    <t>Cargo</t>
  </si>
  <si>
    <t>Total comrev (incl. cargo revenues)</t>
  </si>
  <si>
    <t>Other Regulated Charges</t>
  </si>
  <si>
    <t>Item</t>
  </si>
  <si>
    <t>User</t>
  </si>
  <si>
    <t>Cost type</t>
  </si>
  <si>
    <t>Airline</t>
  </si>
  <si>
    <t>Allocated</t>
  </si>
  <si>
    <t>£000s</t>
  </si>
  <si>
    <t>Annuity</t>
  </si>
  <si>
    <t>Direct</t>
  </si>
  <si>
    <t>Non-airline</t>
  </si>
  <si>
    <t>Volume forecasts</t>
  </si>
  <si>
    <t>number</t>
  </si>
  <si>
    <t>%</t>
  </si>
  <si>
    <t>m2</t>
  </si>
  <si>
    <t>Other non-pax ATMs</t>
  </si>
  <si>
    <t>kWh</t>
  </si>
  <si>
    <t>m3</t>
  </si>
  <si>
    <t>passenger/hour/security lane</t>
  </si>
  <si>
    <t>Growth rates (Year-on-year)</t>
  </si>
  <si>
    <t>Driver elasticities</t>
  </si>
  <si>
    <t>Volume Impact</t>
  </si>
  <si>
    <t>Inflation Drivers</t>
  </si>
  <si>
    <t>Inflation Drivers (real)</t>
  </si>
  <si>
    <t>Scaling inputs</t>
  </si>
  <si>
    <t>RPE index</t>
  </si>
  <si>
    <t>Volume driver impacts</t>
  </si>
  <si>
    <t>million Pax</t>
  </si>
  <si>
    <t>Category overlays</t>
  </si>
  <si>
    <t>Total across H8</t>
  </si>
  <si>
    <t>MSCP4 overlay</t>
  </si>
  <si>
    <t>Security staff efficiency adjustment</t>
  </si>
  <si>
    <t>Total opex overlays</t>
  </si>
  <si>
    <t>MSCP4</t>
  </si>
  <si>
    <t>Bureaux de change overlay</t>
  </si>
  <si>
    <t>Contribution</t>
  </si>
  <si>
    <t>Last coded</t>
  </si>
  <si>
    <t>Passenger growth contribution</t>
  </si>
  <si>
    <t>Volume driver contribution</t>
  </si>
  <si>
    <t>Total volume overlay</t>
  </si>
  <si>
    <t>Cumulative volume impact</t>
  </si>
  <si>
    <t>2025 CPI Prices</t>
  </si>
  <si>
    <t>Note: These calculations are purely illustrative and do not separately feed into the model outputs</t>
  </si>
  <si>
    <t xml:space="preserve">The bureaux de change overlay is included within the model as a bespoke volume driver, which assumes a 10 per cent annual decline in the share of passengers using the service. </t>
  </si>
  <si>
    <t>This overlay is calculated using cumulative contributions to volume across H8, with the passenger growth contribution requiring the model temporarily assign the Total pax as the driver</t>
  </si>
  <si>
    <t>MSPC4 overlay (opex)</t>
  </si>
  <si>
    <t>MSCP4 PRM component</t>
  </si>
  <si>
    <t>Other MSCP4 costs</t>
  </si>
  <si>
    <t>Baseline PRM efficiency adjustment</t>
  </si>
  <si>
    <t>Baseline adjusted PRM component</t>
  </si>
  <si>
    <t>Calculations: OPEX</t>
  </si>
  <si>
    <t>RPEs</t>
  </si>
  <si>
    <t>Additive overlays</t>
  </si>
  <si>
    <t>OPEX forecast</t>
  </si>
  <si>
    <t>Cumulative driver contribution</t>
  </si>
  <si>
    <t>Volume impact</t>
  </si>
  <si>
    <t>Calculations: Commercial Revenues</t>
  </si>
  <si>
    <t>Management Stretch</t>
  </si>
  <si>
    <t>Additive Overlays</t>
  </si>
  <si>
    <t>Commercial revenue forecast</t>
  </si>
  <si>
    <t>Total</t>
  </si>
  <si>
    <t>Calculations: Bottom-up</t>
  </si>
  <si>
    <t>Component</t>
  </si>
  <si>
    <t>TDOC pax</t>
  </si>
  <si>
    <t>millions</t>
  </si>
  <si>
    <t>Vehicle per pax</t>
  </si>
  <si>
    <t>On time payment rate per vehicle</t>
  </si>
  <si>
    <t>TDOC tariff per vehicle (excl. VAT)</t>
  </si>
  <si>
    <t>£</t>
  </si>
  <si>
    <t>TDOC revenue</t>
  </si>
  <si>
    <t>Inflation scalar (2024 CPI = 1)</t>
  </si>
  <si>
    <t>index</t>
  </si>
  <si>
    <t>HAL BP</t>
  </si>
  <si>
    <t>Based on HAL input</t>
  </si>
  <si>
    <t xml:space="preserve">Based on HAL transaction data </t>
  </si>
  <si>
    <t>Cargo ATM yield</t>
  </si>
  <si>
    <t>Non-pax ATM yield</t>
  </si>
  <si>
    <t>Average revenue per movement 2024</t>
  </si>
  <si>
    <t>Business rates</t>
  </si>
  <si>
    <t>HAL business rates submission</t>
  </si>
  <si>
    <t>Logged up</t>
  </si>
  <si>
    <t>H8 business rates</t>
  </si>
  <si>
    <t>Calculations: Other Regulated Charges</t>
  </si>
  <si>
    <t>2024 outturn (excl. fixed costs)</t>
  </si>
  <si>
    <t>Share of total ORC outturn (excl. fixed costs)</t>
  </si>
  <si>
    <t>Total (updated)</t>
  </si>
  <si>
    <t>Efficiency adjustment</t>
  </si>
  <si>
    <t>Total (efficiency adjusted)</t>
  </si>
  <si>
    <t>Share of outurn opex</t>
  </si>
  <si>
    <t>ORC outturn (excl. fixed costs)</t>
  </si>
  <si>
    <t>Total efficient opex baseline (excl. rates and TDOC cost)</t>
  </si>
  <si>
    <t>ORC share of outturn OPEX</t>
  </si>
  <si>
    <t>Total ORC forecast</t>
  </si>
  <si>
    <t>ORC share of opex</t>
  </si>
  <si>
    <t>Total ORC outturn</t>
  </si>
  <si>
    <t>ORC direct costs by specified facility</t>
  </si>
  <si>
    <t>Additional ORC adjustment</t>
  </si>
  <si>
    <t>H8 non-airline fixed costs</t>
  </si>
  <si>
    <t>Allocation of rates to ORCs</t>
  </si>
  <si>
    <t>PRM overlay</t>
  </si>
  <si>
    <t>Total ORC costs by specified facility</t>
  </si>
  <si>
    <t>Noise and Vortex</t>
  </si>
  <si>
    <t>N&amp;V component</t>
  </si>
  <si>
    <t>Share</t>
  </si>
  <si>
    <t>Noise and vortex</t>
  </si>
  <si>
    <t xml:space="preserve">Overlays </t>
  </si>
  <si>
    <t>Component addition</t>
  </si>
  <si>
    <t>Totals difference</t>
  </si>
  <si>
    <t>Match</t>
  </si>
  <si>
    <t>Horizontal sum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</si>
</sst>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#,##0.0;[Red]\-#,##0.0;&quot;-&quot;_0;&quot; &quot;@&quot; &quot;"/>
    <numFmt numFmtId="165" formatCode="_-* #,##0.00_-;\(#,##0.00\);_-* &quot;-&quot;??_-;_-@_-"/>
    <numFmt numFmtId="166" formatCode="[Red]&quot;Error&quot;;[Red]&quot;Error&quot;;[Green]&quot;ok&quot;"/>
    <numFmt numFmtId="167" formatCode="0.0%"/>
    <numFmt numFmtId="168" formatCode="0.0"/>
    <numFmt numFmtId="169" formatCode="0.000"/>
    <numFmt numFmtId="170" formatCode="_-* #,##0_-;\-* #,##0_-;_-* &quot;-&quot;??_-;_-@_-"/>
    <numFmt numFmtId="171" formatCode="0.0000000%"/>
    <numFmt numFmtId="172" formatCode="#,##0;[Red]\(#,##0\);\-"/>
    <numFmt numFmtId="173" formatCode="0.000%"/>
  </numFmts>
  <fonts count="54" x14ac:knownFonts="1">
    <font>
      <sz val="11"/>
      <color theme="1"/>
      <name val="Gill Sans MT"/>
      <family val="2"/>
      <scheme val="minor"/>
    </font>
    <font>
      <b/>
      <sz val="15"/>
      <color theme="3"/>
      <name val="Gill Sans MT"/>
      <family val="2"/>
      <scheme val="minor"/>
    </font>
    <font>
      <sz val="11"/>
      <color theme="0"/>
      <name val="Gill Sans MT"/>
      <family val="2"/>
      <scheme val="minor"/>
    </font>
    <font>
      <sz val="11"/>
      <color theme="1"/>
      <name val="Gill Sans MT"/>
      <family val="2"/>
      <scheme val="minor"/>
    </font>
    <font>
      <b/>
      <sz val="11"/>
      <color theme="0"/>
      <name val="Gill Sans MT"/>
      <family val="2"/>
      <scheme val="minor"/>
    </font>
    <font>
      <sz val="11"/>
      <name val="Gill Sans MT"/>
      <family val="2"/>
      <scheme val="minor"/>
    </font>
    <font>
      <sz val="11"/>
      <color theme="4"/>
      <name val="Gill Sans MT"/>
      <family val="2"/>
      <scheme val="minor"/>
    </font>
    <font>
      <sz val="11"/>
      <color theme="5"/>
      <name val="Gill Sans MT"/>
      <family val="2"/>
      <scheme val="minor"/>
    </font>
    <font>
      <i/>
      <sz val="11"/>
      <color theme="1" tint="4.9989318521683403E-2"/>
      <name val="Gill Sans MT"/>
      <family val="2"/>
      <scheme val="minor"/>
    </font>
    <font>
      <sz val="11"/>
      <color theme="6"/>
      <name val="Gill Sans MT"/>
      <family val="2"/>
      <scheme val="minor"/>
    </font>
    <font>
      <sz val="11"/>
      <color theme="7"/>
      <name val="Gill Sans MT"/>
      <family val="2"/>
      <scheme val="minor"/>
    </font>
    <font>
      <sz val="11"/>
      <color theme="8"/>
      <name val="Gill Sans MT"/>
      <family val="2"/>
      <scheme val="minor"/>
    </font>
    <font>
      <sz val="11"/>
      <color rgb="FFFF9933"/>
      <name val="Gill Sans MT"/>
      <family val="2"/>
      <scheme val="minor"/>
    </font>
    <font>
      <b/>
      <sz val="11"/>
      <color theme="1"/>
      <name val="Gill Sans MT"/>
      <family val="2"/>
      <scheme val="minor"/>
    </font>
    <font>
      <sz val="10"/>
      <color rgb="FF000000"/>
      <name val="Gill Sans MT"/>
      <family val="2"/>
      <scheme val="minor"/>
    </font>
    <font>
      <sz val="10"/>
      <name val="Gill Sans MT"/>
      <family val="2"/>
      <scheme val="minor"/>
    </font>
    <font>
      <b/>
      <sz val="15"/>
      <color rgb="FF38383A"/>
      <name val="Gill Sans MT"/>
      <family val="2"/>
      <scheme val="minor"/>
    </font>
    <font>
      <b/>
      <sz val="13"/>
      <color rgb="FF38383A"/>
      <name val="Gill Sans MT"/>
      <family val="2"/>
      <scheme val="minor"/>
    </font>
    <font>
      <i/>
      <sz val="11"/>
      <color rgb="FF000000"/>
      <name val="Gill Sans MT"/>
      <family val="2"/>
      <scheme val="minor"/>
    </font>
    <font>
      <b/>
      <sz val="20"/>
      <color rgb="FF38383A"/>
      <name val="Gill Sans MT"/>
      <family val="2"/>
      <scheme val="minor"/>
    </font>
    <font>
      <i/>
      <sz val="11"/>
      <color theme="1"/>
      <name val="Gill Sans MT"/>
      <family val="2"/>
      <scheme val="minor"/>
    </font>
    <font>
      <sz val="12"/>
      <color rgb="FF38383A"/>
      <name val="Gill Sans MT"/>
      <family val="2"/>
      <scheme val="minor"/>
    </font>
    <font>
      <i/>
      <sz val="12"/>
      <color rgb="FF38383A"/>
      <name val="Gill Sans MT"/>
      <family val="2"/>
      <scheme val="minor"/>
    </font>
    <font>
      <i/>
      <sz val="10"/>
      <color theme="1" tint="0.34998626667073579"/>
      <name val="Gill Sans MT"/>
      <family val="2"/>
      <scheme val="minor"/>
    </font>
    <font>
      <sz val="14"/>
      <color rgb="FF000000"/>
      <name val="Times New Roman"/>
      <family val="1"/>
    </font>
    <font>
      <u/>
      <sz val="11"/>
      <color theme="10"/>
      <name val="Gill Sans MT"/>
      <family val="2"/>
      <scheme val="minor"/>
    </font>
    <font>
      <b/>
      <u/>
      <sz val="11"/>
      <color theme="10"/>
      <name val="Gill Sans MT"/>
      <family val="2"/>
      <scheme val="minor"/>
    </font>
    <font>
      <sz val="8"/>
      <name val="Gill Sans MT"/>
      <family val="2"/>
      <scheme val="minor"/>
    </font>
    <font>
      <sz val="11"/>
      <color rgb="FF000000"/>
      <name val="Gill Sans MT"/>
      <family val="2"/>
      <scheme val="minor"/>
    </font>
    <font>
      <b/>
      <sz val="11"/>
      <color rgb="FF000000"/>
      <name val="Gill Sans MT"/>
      <family val="2"/>
      <scheme val="minor"/>
    </font>
    <font>
      <i/>
      <sz val="11"/>
      <color rgb="FF7F7F7F"/>
      <name val="Gill Sans MT"/>
      <family val="2"/>
      <scheme val="minor"/>
    </font>
    <font>
      <sz val="10"/>
      <color theme="1"/>
      <name val="Gill Sans MT"/>
      <family val="2"/>
      <scheme val="minor"/>
    </font>
    <font>
      <u/>
      <sz val="10"/>
      <color rgb="FF0070C0"/>
      <name val="Gill Sans MT"/>
      <family val="2"/>
      <scheme val="minor"/>
    </font>
    <font>
      <sz val="9"/>
      <color rgb="FF1F497D"/>
      <name val="Arial"/>
      <family val="2"/>
    </font>
    <font>
      <sz val="9"/>
      <color rgb="FF262626"/>
      <name val="Arial"/>
      <family val="2"/>
    </font>
    <font>
      <sz val="9"/>
      <color theme="1" tint="0.14996795556505021"/>
      <name val="Arial"/>
      <family val="2"/>
    </font>
    <font>
      <sz val="11"/>
      <color rgb="FF3F3F76"/>
      <name val="Gill Sans MT"/>
      <family val="2"/>
      <scheme val="minor"/>
    </font>
    <font>
      <sz val="11"/>
      <color rgb="FFFA7D00"/>
      <name val="Gill Sans MT"/>
      <family val="2"/>
      <scheme val="minor"/>
    </font>
    <font>
      <b/>
      <sz val="12"/>
      <color rgb="FFB1059D"/>
      <name val="Arial"/>
      <family val="2"/>
    </font>
    <font>
      <i/>
      <sz val="9"/>
      <color rgb="FF4F2D7F"/>
      <name val="Arial"/>
      <family val="2"/>
    </font>
    <font>
      <b/>
      <sz val="10"/>
      <color rgb="FF0046AD"/>
      <name val="Arial"/>
      <family val="2"/>
    </font>
    <font>
      <b/>
      <sz val="9"/>
      <color rgb="FF000000"/>
      <name val="Arial"/>
      <family val="2"/>
    </font>
    <font>
      <b/>
      <sz val="9"/>
      <color rgb="FF595959"/>
      <name val="Arial"/>
      <family val="2"/>
    </font>
    <font>
      <sz val="9"/>
      <color rgb="FF003686"/>
      <name val="Arial"/>
      <family val="2"/>
    </font>
    <font>
      <sz val="9"/>
      <color rgb="FFC30045"/>
      <name val="Arial"/>
      <family val="2"/>
    </font>
    <font>
      <sz val="9"/>
      <color rgb="FF412558"/>
      <name val="Arial"/>
      <family val="2"/>
    </font>
    <font>
      <sz val="9"/>
      <color rgb="FF000000"/>
      <name val="Arial"/>
      <family val="2"/>
    </font>
    <font>
      <sz val="9"/>
      <name val="Arial"/>
      <family val="2"/>
    </font>
    <font>
      <b/>
      <sz val="16"/>
      <color rgb="FF4F2D7F"/>
      <name val="Arial"/>
      <family val="2"/>
    </font>
    <font>
      <u/>
      <sz val="9"/>
      <color theme="10"/>
      <name val="Arial"/>
      <family val="2"/>
    </font>
    <font>
      <sz val="10"/>
      <color indexed="8"/>
      <name val="Calibri"/>
      <family val="2"/>
    </font>
    <font>
      <b/>
      <sz val="14"/>
      <color rgb="FF38383A"/>
      <name val="Gill Sans MT"/>
      <family val="2"/>
      <scheme val="minor"/>
    </font>
    <font>
      <b/>
      <sz val="16"/>
      <color rgb="FF38383A"/>
      <name val="Gill Sans MT"/>
      <family val="2"/>
      <scheme val="minor"/>
    </font>
    <font>
      <b/>
      <sz val="12"/>
      <color rgb="FF38383A"/>
      <name val="Gill Sans MT"/>
      <family val="2"/>
      <scheme val="minor"/>
    </font>
  </fonts>
  <fills count="4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A5A5A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-9.9948118533890809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rgb="FF000000"/>
      </patternFill>
    </fill>
    <fill>
      <patternFill patternType="solid">
        <fgColor rgb="FFE8B3CF"/>
        <bgColor rgb="FF000000"/>
      </patternFill>
    </fill>
    <fill>
      <patternFill patternType="solid">
        <fgColor rgb="FFC0D9F1"/>
        <bgColor rgb="FF000000"/>
      </patternFill>
    </fill>
    <fill>
      <patternFill patternType="solid">
        <fgColor rgb="FFC4A3DE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42"/>
        <bgColor rgb="FF000000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F3D8E7"/>
        <bgColor rgb="FF000000"/>
      </patternFill>
    </fill>
    <fill>
      <patternFill patternType="darkUp">
        <fgColor theme="0"/>
        <bgColor theme="3"/>
      </patternFill>
    </fill>
    <fill>
      <patternFill patternType="solid">
        <fgColor theme="2" tint="0.79998168889431442"/>
        <bgColor indexed="64"/>
      </patternFill>
    </fill>
    <fill>
      <patternFill patternType="solid">
        <fgColor theme="4" tint="0.79998168889431442"/>
        <bgColor theme="6" tint="0.79989013336588644"/>
      </patternFill>
    </fill>
    <fill>
      <patternFill patternType="solid">
        <fgColor rgb="FFE6DAE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C99"/>
      </patternFill>
    </fill>
    <fill>
      <patternFill patternType="solid">
        <fgColor rgb="FFBBD7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8" tint="0.59999389629810485"/>
        <bgColor rgb="FF000000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EEAD3"/>
        <bgColor indexed="64"/>
      </patternFill>
    </fill>
    <fill>
      <patternFill patternType="solid">
        <fgColor theme="0" tint="-0.14999847407452621"/>
        <bgColor rgb="FF000000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rgb="FF683493"/>
      </bottom>
      <diagonal/>
    </border>
    <border>
      <left/>
      <right/>
      <top/>
      <bottom style="thick">
        <color rgb="FFB68CD7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3" tint="0.79998168889431442"/>
      </left>
      <right style="thin">
        <color theme="3" tint="0.79998168889431442"/>
      </right>
      <top style="thin">
        <color theme="3" tint="0.79998168889431442"/>
      </top>
      <bottom style="thin">
        <color theme="3" tint="0.79998168889431442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rgb="FF595959"/>
      </top>
      <bottom/>
      <diagonal/>
    </border>
    <border>
      <left style="thin">
        <color rgb="FF9268CA"/>
      </left>
      <right style="thin">
        <color rgb="FF9268CA"/>
      </right>
      <top style="thin">
        <color rgb="FF9268CA"/>
      </top>
      <bottom style="thin">
        <color rgb="FF9268CA"/>
      </bottom>
      <diagonal/>
    </border>
    <border>
      <left/>
      <right/>
      <top/>
      <bottom style="double">
        <color rgb="FFFF8001"/>
      </bottom>
      <diagonal/>
    </border>
    <border>
      <left style="hair">
        <color rgb="FF9268CA"/>
      </left>
      <right style="hair">
        <color rgb="FF9268CA"/>
      </right>
      <top style="hair">
        <color rgb="FF9268CA"/>
      </top>
      <bottom style="hair">
        <color rgb="FF9268CA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71">
    <xf numFmtId="0" fontId="0" fillId="2" borderId="0"/>
    <xf numFmtId="0" fontId="1" fillId="0" borderId="1" applyNumberFormat="0" applyFill="0" applyAlignment="0" applyProtection="0"/>
    <xf numFmtId="43" fontId="3" fillId="0" borderId="0" applyFont="0" applyFill="0" applyBorder="0" applyAlignment="0" applyProtection="0"/>
    <xf numFmtId="0" fontId="2" fillId="14" borderId="0" applyNumberFormat="0" applyBorder="0" applyAlignment="0" applyProtection="0"/>
    <xf numFmtId="0" fontId="12" fillId="19" borderId="0" applyNumberFormat="0" applyBorder="0" applyAlignment="0" applyProtection="0"/>
    <xf numFmtId="0" fontId="5" fillId="15" borderId="0" applyNumberFormat="0" applyAlignment="0" applyProtection="0"/>
    <xf numFmtId="0" fontId="5" fillId="17" borderId="0" applyNumberFormat="0" applyAlignment="0" applyProtection="0"/>
    <xf numFmtId="4" fontId="5" fillId="16" borderId="0" applyAlignment="0" applyProtection="0"/>
    <xf numFmtId="0" fontId="6" fillId="0" borderId="2" applyNumberFormat="0" applyFill="0" applyAlignment="0" applyProtection="0"/>
    <xf numFmtId="0" fontId="4" fillId="3" borderId="0" applyNumberFormat="0" applyAlignment="0" applyProtection="0"/>
    <xf numFmtId="0" fontId="3" fillId="18" borderId="0" applyNumberFormat="0" applyFont="0" applyAlignment="0" applyProtection="0"/>
    <xf numFmtId="0" fontId="8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23" fillId="0" borderId="0" applyNumberFormat="0" applyBorder="0" applyAlignment="0" applyProtection="0"/>
    <xf numFmtId="0" fontId="25" fillId="2" borderId="0" applyNumberFormat="0" applyFill="0" applyBorder="0" applyAlignment="0" applyProtection="0"/>
    <xf numFmtId="0" fontId="3" fillId="0" borderId="0"/>
    <xf numFmtId="0" fontId="30" fillId="0" borderId="0" applyNumberFormat="0" applyFill="0" applyBorder="0" applyAlignment="0" applyProtection="0"/>
    <xf numFmtId="0" fontId="15" fillId="32" borderId="0" applyNumberFormat="0" applyFont="0" applyAlignment="0" applyProtection="0"/>
    <xf numFmtId="164" fontId="31" fillId="26" borderId="10" applyNumberFormat="0" applyAlignment="0">
      <protection locked="0"/>
    </xf>
    <xf numFmtId="164" fontId="15" fillId="33" borderId="11" applyNumberFormat="0" applyAlignment="0">
      <alignment horizontal="center"/>
      <protection locked="0"/>
    </xf>
    <xf numFmtId="164" fontId="15" fillId="34" borderId="13" applyNumberFormat="0" applyAlignment="0" applyProtection="0"/>
    <xf numFmtId="0" fontId="32" fillId="2" borderId="12" applyNumberFormat="0" applyAlignment="0"/>
    <xf numFmtId="0" fontId="3" fillId="0" borderId="0"/>
    <xf numFmtId="0" fontId="33" fillId="35" borderId="0" applyNumberFormat="0" applyProtection="0"/>
    <xf numFmtId="0" fontId="34" fillId="0" borderId="14" applyNumberFormat="0" applyProtection="0"/>
    <xf numFmtId="165" fontId="35" fillId="36" borderId="15" applyNumberFormat="0" applyProtection="0"/>
    <xf numFmtId="0" fontId="36" fillId="37" borderId="9" applyNumberFormat="0" applyAlignment="0" applyProtection="0"/>
    <xf numFmtId="0" fontId="37" fillId="0" borderId="16" applyNumberFormat="0" applyFill="0" applyAlignment="0" applyProtection="0"/>
    <xf numFmtId="0" fontId="48" fillId="0" borderId="0" applyNumberFormat="0" applyProtection="0"/>
    <xf numFmtId="0" fontId="46" fillId="0" borderId="0" applyNumberFormat="0" applyProtection="0"/>
    <xf numFmtId="0" fontId="38" fillId="0" borderId="0" applyNumberFormat="0" applyProtection="0"/>
    <xf numFmtId="0" fontId="42" fillId="0" borderId="0" applyNumberFormat="0" applyProtection="0"/>
    <xf numFmtId="0" fontId="43" fillId="0" borderId="0" applyNumberFormat="0" applyProtection="0"/>
    <xf numFmtId="166" fontId="45" fillId="0" borderId="0" applyNumberFormat="0" applyProtection="0"/>
    <xf numFmtId="0" fontId="40" fillId="38" borderId="0" applyNumberFormat="0" applyProtection="0"/>
    <xf numFmtId="0" fontId="46" fillId="0" borderId="0" applyFont="0" applyFill="0" applyBorder="0" applyProtection="0">
      <alignment vertical="top"/>
    </xf>
    <xf numFmtId="0" fontId="39" fillId="0" borderId="0" applyNumberFormat="0" applyProtection="0"/>
    <xf numFmtId="0" fontId="35" fillId="36" borderId="17">
      <protection locked="0"/>
    </xf>
    <xf numFmtId="0" fontId="46" fillId="0" borderId="0" applyNumberFormat="0" applyProtection="0"/>
    <xf numFmtId="0" fontId="44" fillId="0" borderId="0" applyNumberFormat="0" applyProtection="0"/>
    <xf numFmtId="0" fontId="41" fillId="39" borderId="0" applyNumberFormat="0" applyProtection="0"/>
    <xf numFmtId="0" fontId="46" fillId="0" borderId="0" applyNumberFormat="0" applyProtection="0"/>
    <xf numFmtId="0" fontId="47" fillId="36" borderId="17" applyNumberFormat="0" applyAlignment="0" applyProtection="0"/>
    <xf numFmtId="0" fontId="49" fillId="0" borderId="0" applyNumberFormat="0" applyFill="0" applyBorder="0" applyAlignment="0" applyProtection="0"/>
    <xf numFmtId="0" fontId="36" fillId="37" borderId="9" applyNumberFormat="0" applyAlignment="0" applyProtection="0"/>
    <xf numFmtId="0" fontId="36" fillId="37" borderId="9" applyNumberFormat="0" applyAlignment="0" applyProtection="0"/>
    <xf numFmtId="0" fontId="3" fillId="0" borderId="0"/>
    <xf numFmtId="0" fontId="36" fillId="37" borderId="9" applyNumberFormat="0" applyAlignment="0" applyProtection="0"/>
    <xf numFmtId="0" fontId="36" fillId="3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37" borderId="9" applyNumberFormat="0" applyAlignment="0" applyProtection="0"/>
    <xf numFmtId="0" fontId="3" fillId="0" borderId="0"/>
    <xf numFmtId="0" fontId="36" fillId="37" borderId="9" applyNumberFormat="0" applyAlignment="0" applyProtection="0"/>
    <xf numFmtId="0" fontId="36" fillId="37" borderId="9" applyNumberFormat="0" applyAlignment="0" applyProtection="0"/>
    <xf numFmtId="44" fontId="3" fillId="0" borderId="0" applyFont="0" applyFill="0" applyBorder="0" applyAlignment="0" applyProtection="0"/>
    <xf numFmtId="172" fontId="15" fillId="45" borderId="21">
      <alignment vertical="center"/>
    </xf>
  </cellStyleXfs>
  <cellXfs count="221">
    <xf numFmtId="0" fontId="0" fillId="2" borderId="0" xfId="0"/>
    <xf numFmtId="0" fontId="14" fillId="20" borderId="0" xfId="0" applyFont="1" applyFill="1" applyAlignment="1">
      <alignment horizontal="center"/>
    </xf>
    <xf numFmtId="0" fontId="14" fillId="20" borderId="0" xfId="0" applyFont="1" applyFill="1"/>
    <xf numFmtId="0" fontId="14" fillId="21" borderId="0" xfId="0" applyFont="1" applyFill="1"/>
    <xf numFmtId="0" fontId="14" fillId="22" borderId="0" xfId="0" applyFont="1" applyFill="1"/>
    <xf numFmtId="0" fontId="15" fillId="23" borderId="0" xfId="0" applyFont="1" applyFill="1"/>
    <xf numFmtId="0" fontId="15" fillId="22" borderId="0" xfId="0" applyFont="1" applyFill="1"/>
    <xf numFmtId="0" fontId="0" fillId="16" borderId="0" xfId="0" applyFill="1"/>
    <xf numFmtId="0" fontId="0" fillId="25" borderId="0" xfId="0" applyFill="1"/>
    <xf numFmtId="0" fontId="0" fillId="17" borderId="0" xfId="0" applyFill="1"/>
    <xf numFmtId="0" fontId="0" fillId="2" borderId="3" xfId="0" applyBorder="1"/>
    <xf numFmtId="0" fontId="0" fillId="2" borderId="3" xfId="0" applyBorder="1" applyAlignment="1">
      <alignment horizontal="center" vertical="center"/>
    </xf>
    <xf numFmtId="0" fontId="0" fillId="2" borderId="3" xfId="0" applyBorder="1" applyAlignment="1">
      <alignment horizontal="center"/>
    </xf>
    <xf numFmtId="0" fontId="16" fillId="20" borderId="4" xfId="0" applyFont="1" applyFill="1" applyBorder="1"/>
    <xf numFmtId="0" fontId="17" fillId="20" borderId="5" xfId="0" applyFont="1" applyFill="1" applyBorder="1"/>
    <xf numFmtId="0" fontId="18" fillId="20" borderId="0" xfId="0" applyFont="1" applyFill="1"/>
    <xf numFmtId="0" fontId="19" fillId="20" borderId="4" xfId="0" applyFont="1" applyFill="1" applyBorder="1"/>
    <xf numFmtId="0" fontId="20" fillId="2" borderId="0" xfId="0" applyFont="1"/>
    <xf numFmtId="0" fontId="0" fillId="26" borderId="0" xfId="0" applyFill="1"/>
    <xf numFmtId="0" fontId="13" fillId="24" borderId="0" xfId="0" applyFont="1" applyFill="1" applyAlignment="1">
      <alignment horizontal="left"/>
    </xf>
    <xf numFmtId="43" fontId="13" fillId="24" borderId="0" xfId="2" applyFont="1" applyFill="1" applyAlignment="1">
      <alignment horizontal="left" vertical="center"/>
    </xf>
    <xf numFmtId="0" fontId="16" fillId="20" borderId="0" xfId="0" applyFont="1" applyFill="1"/>
    <xf numFmtId="9" fontId="0" fillId="16" borderId="0" xfId="22" applyFont="1" applyFill="1" applyAlignment="1">
      <alignment horizontal="center" vertical="center"/>
    </xf>
    <xf numFmtId="0" fontId="17" fillId="20" borderId="0" xfId="0" applyFont="1" applyFill="1"/>
    <xf numFmtId="0" fontId="21" fillId="28" borderId="0" xfId="0" applyFont="1" applyFill="1"/>
    <xf numFmtId="0" fontId="22" fillId="28" borderId="0" xfId="0" applyFont="1" applyFill="1"/>
    <xf numFmtId="0" fontId="20" fillId="26" borderId="0" xfId="0" applyFont="1" applyFill="1"/>
    <xf numFmtId="0" fontId="13" fillId="2" borderId="3" xfId="0" applyFont="1" applyBorder="1" applyAlignment="1">
      <alignment horizontal="center" vertical="center"/>
    </xf>
    <xf numFmtId="0" fontId="0" fillId="25" borderId="0" xfId="0" applyFill="1" applyAlignment="1">
      <alignment horizontal="center" vertical="center"/>
    </xf>
    <xf numFmtId="0" fontId="20" fillId="25" borderId="0" xfId="0" applyFont="1" applyFill="1" applyAlignment="1">
      <alignment horizontal="center" vertical="center"/>
    </xf>
    <xf numFmtId="0" fontId="24" fillId="2" borderId="0" xfId="0" applyFont="1"/>
    <xf numFmtId="0" fontId="0" fillId="24" borderId="0" xfId="0" applyFill="1"/>
    <xf numFmtId="0" fontId="26" fillId="17" borderId="0" xfId="26" applyFont="1" applyFill="1"/>
    <xf numFmtId="0" fontId="26" fillId="27" borderId="0" xfId="26" applyFont="1" applyFill="1"/>
    <xf numFmtId="0" fontId="26" fillId="24" borderId="0" xfId="26" applyFont="1" applyFill="1"/>
    <xf numFmtId="0" fontId="0" fillId="25" borderId="0" xfId="0" applyFill="1" applyAlignment="1">
      <alignment horizontal="left" vertical="center"/>
    </xf>
    <xf numFmtId="0" fontId="20" fillId="2" borderId="0" xfId="0" applyFont="1" applyAlignment="1">
      <alignment horizontal="center" vertical="center"/>
    </xf>
    <xf numFmtId="0" fontId="20" fillId="25" borderId="3" xfId="0" applyFont="1" applyFill="1" applyBorder="1" applyAlignment="1">
      <alignment horizontal="center" vertical="center"/>
    </xf>
    <xf numFmtId="0" fontId="0" fillId="27" borderId="0" xfId="0" applyFill="1"/>
    <xf numFmtId="0" fontId="13" fillId="25" borderId="0" xfId="0" applyFont="1" applyFill="1"/>
    <xf numFmtId="0" fontId="13" fillId="25" borderId="0" xfId="0" applyFont="1" applyFill="1" applyAlignment="1">
      <alignment horizontal="left"/>
    </xf>
    <xf numFmtId="0" fontId="0" fillId="16" borderId="0" xfId="0" applyFill="1" applyAlignment="1">
      <alignment horizontal="center"/>
    </xf>
    <xf numFmtId="0" fontId="0" fillId="2" borderId="0" xfId="0" applyAlignment="1">
      <alignment horizontal="center" vertical="center"/>
    </xf>
    <xf numFmtId="0" fontId="0" fillId="17" borderId="0" xfId="0" applyFill="1" applyAlignment="1">
      <alignment horizontal="center" vertical="center"/>
    </xf>
    <xf numFmtId="0" fontId="17" fillId="29" borderId="0" xfId="0" applyFont="1" applyFill="1"/>
    <xf numFmtId="0" fontId="13" fillId="2" borderId="3" xfId="0" applyFont="1" applyBorder="1" applyAlignment="1">
      <alignment horizontal="center"/>
    </xf>
    <xf numFmtId="0" fontId="0" fillId="2" borderId="0" xfId="0" applyAlignment="1">
      <alignment horizontal="center"/>
    </xf>
    <xf numFmtId="0" fontId="13" fillId="26" borderId="3" xfId="0" applyFont="1" applyFill="1" applyBorder="1"/>
    <xf numFmtId="0" fontId="0" fillId="25" borderId="3" xfId="0" applyFill="1" applyBorder="1"/>
    <xf numFmtId="0" fontId="0" fillId="2" borderId="0" xfId="0" applyAlignment="1">
      <alignment horizontal="left"/>
    </xf>
    <xf numFmtId="0" fontId="13" fillId="2" borderId="3" xfId="0" applyFont="1" applyBorder="1" applyAlignment="1">
      <alignment horizontal="left" vertical="center"/>
    </xf>
    <xf numFmtId="0" fontId="20" fillId="25" borderId="0" xfId="0" applyFont="1" applyFill="1" applyAlignment="1">
      <alignment horizontal="left" vertical="center"/>
    </xf>
    <xf numFmtId="0" fontId="20" fillId="25" borderId="3" xfId="0" applyFont="1" applyFill="1" applyBorder="1" applyAlignment="1">
      <alignment horizontal="left" vertical="center"/>
    </xf>
    <xf numFmtId="0" fontId="0" fillId="25" borderId="0" xfId="0" applyFill="1" applyAlignment="1">
      <alignment wrapText="1"/>
    </xf>
    <xf numFmtId="0" fontId="0" fillId="25" borderId="3" xfId="0" applyFill="1" applyBorder="1" applyAlignment="1">
      <alignment wrapText="1"/>
    </xf>
    <xf numFmtId="0" fontId="28" fillId="20" borderId="0" xfId="0" applyFont="1" applyFill="1"/>
    <xf numFmtId="0" fontId="28" fillId="20" borderId="3" xfId="0" applyFont="1" applyFill="1" applyBorder="1" applyAlignment="1">
      <alignment horizontal="center" vertical="center"/>
    </xf>
    <xf numFmtId="0" fontId="29" fillId="30" borderId="7" xfId="0" applyFont="1" applyFill="1" applyBorder="1"/>
    <xf numFmtId="0" fontId="28" fillId="31" borderId="8" xfId="0" applyFont="1" applyFill="1" applyBorder="1"/>
    <xf numFmtId="0" fontId="28" fillId="30" borderId="0" xfId="0" applyFont="1" applyFill="1"/>
    <xf numFmtId="0" fontId="28" fillId="31" borderId="0" xfId="0" applyFont="1" applyFill="1" applyAlignment="1">
      <alignment horizontal="center" vertical="center"/>
    </xf>
    <xf numFmtId="0" fontId="28" fillId="31" borderId="0" xfId="0" applyFont="1" applyFill="1" applyAlignment="1">
      <alignment horizontal="center" vertical="center" wrapText="1"/>
    </xf>
    <xf numFmtId="0" fontId="0" fillId="25" borderId="0" xfId="0" applyFill="1" applyAlignment="1">
      <alignment horizontal="left"/>
    </xf>
    <xf numFmtId="0" fontId="18" fillId="25" borderId="0" xfId="41" applyFont="1" applyFill="1" applyAlignment="1">
      <alignment horizontal="left" vertical="center"/>
    </xf>
    <xf numFmtId="0" fontId="0" fillId="25" borderId="0" xfId="0" applyFill="1" applyAlignment="1">
      <alignment horizontal="center"/>
    </xf>
    <xf numFmtId="0" fontId="0" fillId="16" borderId="0" xfId="0" applyFill="1" applyAlignment="1">
      <alignment horizontal="center" vertical="center"/>
    </xf>
    <xf numFmtId="0" fontId="29" fillId="20" borderId="3" xfId="0" applyFont="1" applyFill="1" applyBorder="1" applyAlignment="1">
      <alignment horizontal="center" vertical="center"/>
    </xf>
    <xf numFmtId="0" fontId="0" fillId="26" borderId="0" xfId="0" applyFill="1" applyAlignment="1">
      <alignment horizontal="center"/>
    </xf>
    <xf numFmtId="0" fontId="29" fillId="20" borderId="3" xfId="0" applyFont="1" applyFill="1" applyBorder="1" applyAlignment="1">
      <alignment horizontal="left" vertical="center"/>
    </xf>
    <xf numFmtId="0" fontId="14" fillId="40" borderId="0" xfId="0" applyFont="1" applyFill="1"/>
    <xf numFmtId="0" fontId="26" fillId="40" borderId="0" xfId="26" applyFont="1" applyFill="1"/>
    <xf numFmtId="0" fontId="0" fillId="16" borderId="18" xfId="0" applyFill="1" applyBorder="1" applyAlignment="1">
      <alignment horizontal="center"/>
    </xf>
    <xf numFmtId="0" fontId="0" fillId="16" borderId="8" xfId="0" applyFill="1" applyBorder="1" applyAlignment="1">
      <alignment horizontal="center"/>
    </xf>
    <xf numFmtId="0" fontId="13" fillId="25" borderId="6" xfId="0" applyFont="1" applyFill="1" applyBorder="1"/>
    <xf numFmtId="0" fontId="13" fillId="2" borderId="3" xfId="0" applyFont="1" applyBorder="1"/>
    <xf numFmtId="2" fontId="0" fillId="16" borderId="0" xfId="0" applyNumberFormat="1" applyFill="1" applyAlignment="1">
      <alignment horizontal="center"/>
    </xf>
    <xf numFmtId="9" fontId="0" fillId="17" borderId="0" xfId="22" applyFont="1" applyFill="1" applyAlignment="1">
      <alignment horizontal="center" vertical="center"/>
    </xf>
    <xf numFmtId="0" fontId="0" fillId="17" borderId="18" xfId="0" applyFill="1" applyBorder="1" applyAlignment="1">
      <alignment horizontal="center"/>
    </xf>
    <xf numFmtId="0" fontId="0" fillId="17" borderId="8" xfId="0" applyFill="1" applyBorder="1" applyAlignment="1">
      <alignment horizontal="center"/>
    </xf>
    <xf numFmtId="0" fontId="0" fillId="25" borderId="3" xfId="0" applyFill="1" applyBorder="1" applyAlignment="1">
      <alignment horizontal="center" vertical="center"/>
    </xf>
    <xf numFmtId="0" fontId="0" fillId="26" borderId="3" xfId="0" applyFill="1" applyBorder="1" applyAlignment="1">
      <alignment horizontal="center"/>
    </xf>
    <xf numFmtId="0" fontId="26" fillId="42" borderId="0" xfId="26" applyFont="1" applyFill="1"/>
    <xf numFmtId="0" fontId="0" fillId="42" borderId="0" xfId="0" applyFill="1"/>
    <xf numFmtId="0" fontId="28" fillId="25" borderId="0" xfId="0" applyFont="1" applyFill="1" applyAlignment="1">
      <alignment vertical="center"/>
    </xf>
    <xf numFmtId="0" fontId="0" fillId="25" borderId="3" xfId="0" applyFill="1" applyBorder="1" applyAlignment="1">
      <alignment horizontal="center"/>
    </xf>
    <xf numFmtId="0" fontId="0" fillId="2" borderId="3" xfId="0" applyBorder="1" applyAlignment="1">
      <alignment horizontal="left" vertical="center"/>
    </xf>
    <xf numFmtId="0" fontId="0" fillId="25" borderId="3" xfId="0" applyFill="1" applyBorder="1" applyAlignment="1">
      <alignment horizontal="left" vertical="center"/>
    </xf>
    <xf numFmtId="167" fontId="28" fillId="31" borderId="8" xfId="22" applyNumberFormat="1" applyFont="1" applyFill="1" applyBorder="1" applyAlignment="1">
      <alignment horizontal="center" vertical="center"/>
    </xf>
    <xf numFmtId="9" fontId="28" fillId="31" borderId="0" xfId="0" applyNumberFormat="1" applyFont="1" applyFill="1" applyAlignment="1">
      <alignment horizontal="center" vertical="center"/>
    </xf>
    <xf numFmtId="167" fontId="0" fillId="26" borderId="0" xfId="0" applyNumberFormat="1" applyFill="1"/>
    <xf numFmtId="9" fontId="0" fillId="16" borderId="0" xfId="22" applyFont="1" applyFill="1" applyAlignment="1">
      <alignment horizontal="center"/>
    </xf>
    <xf numFmtId="168" fontId="0" fillId="26" borderId="0" xfId="0" applyNumberFormat="1" applyFill="1" applyAlignment="1">
      <alignment horizontal="center" vertical="center"/>
    </xf>
    <xf numFmtId="10" fontId="0" fillId="16" borderId="0" xfId="22" applyNumberFormat="1" applyFont="1" applyFill="1" applyAlignment="1">
      <alignment horizontal="center"/>
    </xf>
    <xf numFmtId="169" fontId="0" fillId="16" borderId="0" xfId="22" applyNumberFormat="1" applyFont="1" applyFill="1" applyAlignment="1">
      <alignment horizontal="center"/>
    </xf>
    <xf numFmtId="167" fontId="0" fillId="26" borderId="0" xfId="22" applyNumberFormat="1" applyFont="1" applyFill="1" applyAlignment="1">
      <alignment horizontal="center"/>
    </xf>
    <xf numFmtId="167" fontId="0" fillId="26" borderId="0" xfId="22" applyNumberFormat="1" applyFont="1" applyFill="1" applyAlignment="1">
      <alignment horizontal="center" vertical="center"/>
    </xf>
    <xf numFmtId="10" fontId="0" fillId="2" borderId="0" xfId="0" applyNumberFormat="1"/>
    <xf numFmtId="167" fontId="0" fillId="2" borderId="0" xfId="22" applyNumberFormat="1" applyFont="1" applyFill="1"/>
    <xf numFmtId="168" fontId="0" fillId="16" borderId="0" xfId="0" applyNumberFormat="1" applyFill="1" applyAlignment="1">
      <alignment horizontal="center"/>
    </xf>
    <xf numFmtId="168" fontId="0" fillId="16" borderId="3" xfId="0" applyNumberFormat="1" applyFill="1" applyBorder="1" applyAlignment="1">
      <alignment horizontal="center"/>
    </xf>
    <xf numFmtId="168" fontId="0" fillId="16" borderId="3" xfId="0" applyNumberFormat="1" applyFill="1" applyBorder="1" applyAlignment="1">
      <alignment horizontal="center" vertical="center"/>
    </xf>
    <xf numFmtId="0" fontId="13" fillId="2" borderId="0" xfId="0" applyFont="1" applyAlignment="1">
      <alignment horizontal="center" vertical="center"/>
    </xf>
    <xf numFmtId="10" fontId="0" fillId="26" borderId="0" xfId="22" applyNumberFormat="1" applyFont="1" applyFill="1" applyAlignment="1">
      <alignment horizontal="center" vertical="center"/>
    </xf>
    <xf numFmtId="168" fontId="0" fillId="41" borderId="0" xfId="0" applyNumberFormat="1" applyFill="1"/>
    <xf numFmtId="167" fontId="0" fillId="17" borderId="0" xfId="22" applyNumberFormat="1" applyFont="1" applyFill="1" applyAlignment="1">
      <alignment horizontal="center" vertical="center"/>
    </xf>
    <xf numFmtId="168" fontId="0" fillId="17" borderId="0" xfId="0" applyNumberFormat="1" applyFill="1" applyAlignment="1">
      <alignment horizontal="center" vertical="center"/>
    </xf>
    <xf numFmtId="168" fontId="0" fillId="17" borderId="3" xfId="0" applyNumberFormat="1" applyFill="1" applyBorder="1" applyAlignment="1">
      <alignment horizontal="center" vertical="center"/>
    </xf>
    <xf numFmtId="167" fontId="0" fillId="16" borderId="0" xfId="22" applyNumberFormat="1" applyFont="1" applyFill="1" applyAlignment="1">
      <alignment horizontal="center"/>
    </xf>
    <xf numFmtId="167" fontId="0" fillId="16" borderId="3" xfId="22" applyNumberFormat="1" applyFont="1" applyFill="1" applyBorder="1" applyAlignment="1">
      <alignment horizontal="center"/>
    </xf>
    <xf numFmtId="167" fontId="0" fillId="16" borderId="0" xfId="0" applyNumberFormat="1" applyFill="1"/>
    <xf numFmtId="1" fontId="0" fillId="16" borderId="0" xfId="0" applyNumberFormat="1" applyFill="1" applyAlignment="1">
      <alignment horizontal="center"/>
    </xf>
    <xf numFmtId="168" fontId="0" fillId="16" borderId="0" xfId="0" applyNumberFormat="1" applyFill="1" applyAlignment="1">
      <alignment horizontal="center" vertical="center"/>
    </xf>
    <xf numFmtId="167" fontId="0" fillId="16" borderId="0" xfId="22" applyNumberFormat="1" applyFont="1" applyFill="1" applyAlignment="1">
      <alignment horizontal="center" vertical="center"/>
    </xf>
    <xf numFmtId="167" fontId="0" fillId="16" borderId="3" xfId="0" applyNumberFormat="1" applyFill="1" applyBorder="1" applyAlignment="1">
      <alignment horizontal="center"/>
    </xf>
    <xf numFmtId="168" fontId="0" fillId="25" borderId="0" xfId="0" applyNumberFormat="1" applyFill="1" applyAlignment="1">
      <alignment horizontal="center"/>
    </xf>
    <xf numFmtId="167" fontId="0" fillId="25" borderId="3" xfId="0" applyNumberFormat="1" applyFill="1" applyBorder="1" applyAlignment="1">
      <alignment horizontal="center"/>
    </xf>
    <xf numFmtId="168" fontId="0" fillId="25" borderId="0" xfId="0" applyNumberFormat="1" applyFill="1" applyAlignment="1">
      <alignment horizontal="center" vertical="center"/>
    </xf>
    <xf numFmtId="0" fontId="13" fillId="2" borderId="0" xfId="0" applyFont="1" applyAlignment="1">
      <alignment horizontal="left" vertical="center"/>
    </xf>
    <xf numFmtId="0" fontId="13" fillId="25" borderId="0" xfId="0" applyFont="1" applyFill="1" applyAlignment="1">
      <alignment horizontal="left" vertical="center"/>
    </xf>
    <xf numFmtId="168" fontId="0" fillId="2" borderId="0" xfId="0" applyNumberFormat="1"/>
    <xf numFmtId="2" fontId="0" fillId="2" borderId="0" xfId="0" applyNumberFormat="1"/>
    <xf numFmtId="168" fontId="0" fillId="25" borderId="3" xfId="0" applyNumberFormat="1" applyFill="1" applyBorder="1" applyAlignment="1">
      <alignment horizontal="center"/>
    </xf>
    <xf numFmtId="1" fontId="0" fillId="16" borderId="0" xfId="0" applyNumberFormat="1" applyFill="1" applyAlignment="1">
      <alignment horizontal="center" vertical="center"/>
    </xf>
    <xf numFmtId="167" fontId="0" fillId="26" borderId="0" xfId="0" applyNumberFormat="1" applyFill="1" applyAlignment="1">
      <alignment horizontal="center"/>
    </xf>
    <xf numFmtId="168" fontId="50" fillId="2" borderId="0" xfId="0" applyNumberFormat="1" applyFont="1" applyAlignment="1">
      <alignment horizontal="center" wrapText="1"/>
    </xf>
    <xf numFmtId="170" fontId="0" fillId="26" borderId="0" xfId="2" applyNumberFormat="1" applyFont="1" applyFill="1" applyAlignment="1">
      <alignment horizontal="center" vertical="center"/>
    </xf>
    <xf numFmtId="170" fontId="0" fillId="26" borderId="0" xfId="2" applyNumberFormat="1" applyFont="1" applyFill="1" applyAlignment="1">
      <alignment horizontal="center"/>
    </xf>
    <xf numFmtId="0" fontId="20" fillId="25" borderId="19" xfId="0" applyFont="1" applyFill="1" applyBorder="1" applyAlignment="1">
      <alignment horizontal="center" vertical="center"/>
    </xf>
    <xf numFmtId="168" fontId="0" fillId="26" borderId="0" xfId="0" applyNumberFormat="1" applyFill="1" applyAlignment="1">
      <alignment horizontal="center"/>
    </xf>
    <xf numFmtId="168" fontId="0" fillId="26" borderId="3" xfId="0" applyNumberFormat="1" applyFill="1" applyBorder="1" applyAlignment="1">
      <alignment horizontal="center"/>
    </xf>
    <xf numFmtId="168" fontId="0" fillId="26" borderId="3" xfId="69" applyNumberFormat="1" applyFont="1" applyFill="1" applyBorder="1" applyAlignment="1">
      <alignment horizontal="center"/>
    </xf>
    <xf numFmtId="9" fontId="0" fillId="2" borderId="0" xfId="0" applyNumberFormat="1"/>
    <xf numFmtId="2" fontId="0" fillId="26" borderId="0" xfId="0" applyNumberFormat="1" applyFill="1" applyAlignment="1">
      <alignment horizontal="center" vertical="center"/>
    </xf>
    <xf numFmtId="168" fontId="0" fillId="26" borderId="0" xfId="0" applyNumberFormat="1" applyFill="1" applyAlignment="1">
      <alignment horizontal="center" vertical="center" wrapText="1"/>
    </xf>
    <xf numFmtId="10" fontId="0" fillId="16" borderId="0" xfId="22" applyNumberFormat="1" applyFont="1" applyFill="1" applyAlignment="1">
      <alignment horizontal="center" vertical="center"/>
    </xf>
    <xf numFmtId="1" fontId="0" fillId="26" borderId="0" xfId="0" applyNumberFormat="1" applyFill="1" applyAlignment="1">
      <alignment horizontal="center"/>
    </xf>
    <xf numFmtId="168" fontId="0" fillId="26" borderId="3" xfId="0" applyNumberFormat="1" applyFill="1" applyBorder="1" applyAlignment="1">
      <alignment horizontal="center" vertical="center"/>
    </xf>
    <xf numFmtId="0" fontId="18" fillId="30" borderId="0" xfId="0" applyFont="1" applyFill="1" applyAlignment="1">
      <alignment horizontal="center" vertical="center"/>
    </xf>
    <xf numFmtId="0" fontId="28" fillId="30" borderId="3" xfId="0" applyFont="1" applyFill="1" applyBorder="1"/>
    <xf numFmtId="0" fontId="18" fillId="30" borderId="3" xfId="0" applyFont="1" applyFill="1" applyBorder="1" applyAlignment="1">
      <alignment horizontal="center" vertical="center"/>
    </xf>
    <xf numFmtId="168" fontId="0" fillId="26" borderId="19" xfId="0" applyNumberFormat="1" applyFill="1" applyBorder="1" applyAlignment="1">
      <alignment horizontal="center" vertical="center"/>
    </xf>
    <xf numFmtId="2" fontId="0" fillId="26" borderId="0" xfId="0" applyNumberFormat="1" applyFill="1" applyAlignment="1">
      <alignment horizontal="center"/>
    </xf>
    <xf numFmtId="0" fontId="18" fillId="29" borderId="0" xfId="0" applyFont="1" applyFill="1"/>
    <xf numFmtId="10" fontId="0" fillId="2" borderId="0" xfId="22" applyNumberFormat="1" applyFont="1" applyFill="1" applyAlignment="1">
      <alignment horizontal="center" vertical="center"/>
    </xf>
    <xf numFmtId="2" fontId="0" fillId="16" borderId="0" xfId="22" applyNumberFormat="1" applyFont="1" applyFill="1" applyAlignment="1">
      <alignment horizontal="center"/>
    </xf>
    <xf numFmtId="0" fontId="51" fillId="20" borderId="5" xfId="0" applyFont="1" applyFill="1" applyBorder="1"/>
    <xf numFmtId="167" fontId="0" fillId="2" borderId="0" xfId="0" applyNumberFormat="1"/>
    <xf numFmtId="171" fontId="0" fillId="2" borderId="0" xfId="0" applyNumberFormat="1"/>
    <xf numFmtId="0" fontId="18" fillId="25" borderId="0" xfId="41" applyFont="1" applyFill="1" applyAlignment="1">
      <alignment horizontal="center" vertical="center"/>
    </xf>
    <xf numFmtId="0" fontId="0" fillId="44" borderId="0" xfId="0" applyFill="1"/>
    <xf numFmtId="167" fontId="0" fillId="44" borderId="0" xfId="22" applyNumberFormat="1" applyFont="1" applyFill="1"/>
    <xf numFmtId="0" fontId="52" fillId="43" borderId="5" xfId="0" applyFont="1" applyFill="1" applyBorder="1"/>
    <xf numFmtId="169" fontId="0" fillId="2" borderId="0" xfId="0" applyNumberFormat="1"/>
    <xf numFmtId="1" fontId="0" fillId="2" borderId="0" xfId="0" applyNumberFormat="1"/>
    <xf numFmtId="168" fontId="0" fillId="17" borderId="3" xfId="0" applyNumberFormat="1" applyFill="1" applyBorder="1" applyAlignment="1">
      <alignment horizontal="center"/>
    </xf>
    <xf numFmtId="2" fontId="0" fillId="16" borderId="3" xfId="0" applyNumberFormat="1" applyFill="1" applyBorder="1" applyAlignment="1">
      <alignment horizontal="center"/>
    </xf>
    <xf numFmtId="168" fontId="0" fillId="25" borderId="3" xfId="0" applyNumberFormat="1" applyFill="1" applyBorder="1" applyAlignment="1">
      <alignment horizontal="center" vertical="center"/>
    </xf>
    <xf numFmtId="168" fontId="0" fillId="2" borderId="0" xfId="0" applyNumberFormat="1" applyAlignment="1">
      <alignment horizontal="left"/>
    </xf>
    <xf numFmtId="0" fontId="25" fillId="2" borderId="0" xfId="26"/>
    <xf numFmtId="167" fontId="13" fillId="26" borderId="0" xfId="0" applyNumberFormat="1" applyFont="1" applyFill="1" applyAlignment="1">
      <alignment horizontal="center"/>
    </xf>
    <xf numFmtId="4" fontId="0" fillId="26" borderId="0" xfId="0" applyNumberFormat="1" applyFill="1"/>
    <xf numFmtId="10" fontId="0" fillId="26" borderId="0" xfId="22" applyNumberFormat="1" applyFont="1" applyFill="1"/>
    <xf numFmtId="0" fontId="0" fillId="2" borderId="20" xfId="0" applyBorder="1"/>
    <xf numFmtId="2" fontId="0" fillId="26" borderId="0" xfId="0" applyNumberFormat="1" applyFill="1"/>
    <xf numFmtId="1" fontId="0" fillId="26" borderId="0" xfId="0" applyNumberFormat="1" applyFill="1" applyAlignment="1">
      <alignment horizontal="center" vertical="center"/>
    </xf>
    <xf numFmtId="0" fontId="51" fillId="20" borderId="4" xfId="0" applyFont="1" applyFill="1" applyBorder="1"/>
    <xf numFmtId="14" fontId="0" fillId="2" borderId="0" xfId="0" applyNumberFormat="1"/>
    <xf numFmtId="22" fontId="0" fillId="2" borderId="0" xfId="0" applyNumberFormat="1"/>
    <xf numFmtId="2" fontId="0" fillId="16" borderId="0" xfId="0" applyNumberFormat="1" applyFill="1"/>
    <xf numFmtId="0" fontId="28" fillId="40" borderId="0" xfId="0" applyFont="1" applyFill="1"/>
    <xf numFmtId="168" fontId="0" fillId="2" borderId="0" xfId="0" applyNumberFormat="1" applyAlignment="1">
      <alignment horizontal="center"/>
    </xf>
    <xf numFmtId="2" fontId="0" fillId="2" borderId="0" xfId="0" applyNumberFormat="1" applyAlignment="1">
      <alignment horizontal="center"/>
    </xf>
    <xf numFmtId="1" fontId="0" fillId="2" borderId="0" xfId="0" applyNumberFormat="1" applyAlignment="1">
      <alignment horizontal="center"/>
    </xf>
    <xf numFmtId="168" fontId="0" fillId="16" borderId="0" xfId="2" applyNumberFormat="1" applyFont="1" applyFill="1" applyAlignment="1">
      <alignment horizontal="center"/>
    </xf>
    <xf numFmtId="2" fontId="0" fillId="26" borderId="0" xfId="2" applyNumberFormat="1" applyFont="1" applyFill="1" applyAlignment="1">
      <alignment horizontal="center"/>
    </xf>
    <xf numFmtId="0" fontId="0" fillId="25" borderId="20" xfId="0" applyFill="1" applyBorder="1" applyAlignment="1">
      <alignment horizontal="left" vertical="center"/>
    </xf>
    <xf numFmtId="0" fontId="20" fillId="25" borderId="20" xfId="0" applyFont="1" applyFill="1" applyBorder="1" applyAlignment="1">
      <alignment horizontal="center" vertical="center"/>
    </xf>
    <xf numFmtId="2" fontId="0" fillId="26" borderId="20" xfId="22" applyNumberFormat="1" applyFont="1" applyFill="1" applyBorder="1" applyAlignment="1">
      <alignment horizontal="center"/>
    </xf>
    <xf numFmtId="0" fontId="0" fillId="25" borderId="22" xfId="0" applyFill="1" applyBorder="1" applyAlignment="1">
      <alignment horizontal="left" vertical="center"/>
    </xf>
    <xf numFmtId="0" fontId="20" fillId="25" borderId="22" xfId="0" applyFont="1" applyFill="1" applyBorder="1" applyAlignment="1">
      <alignment horizontal="center" vertical="center"/>
    </xf>
    <xf numFmtId="168" fontId="0" fillId="16" borderId="22" xfId="22" applyNumberFormat="1" applyFont="1" applyFill="1" applyBorder="1" applyAlignment="1">
      <alignment horizontal="center"/>
    </xf>
    <xf numFmtId="2" fontId="0" fillId="16" borderId="20" xfId="22" applyNumberFormat="1" applyFont="1" applyFill="1" applyBorder="1" applyAlignment="1">
      <alignment horizontal="center"/>
    </xf>
    <xf numFmtId="168" fontId="0" fillId="16" borderId="0" xfId="22" applyNumberFormat="1" applyFont="1" applyFill="1" applyAlignment="1">
      <alignment horizontal="center"/>
    </xf>
    <xf numFmtId="0" fontId="0" fillId="25" borderId="20" xfId="0" applyFill="1" applyBorder="1"/>
    <xf numFmtId="0" fontId="20" fillId="25" borderId="20" xfId="0" applyFont="1" applyFill="1" applyBorder="1" applyAlignment="1">
      <alignment horizontal="left" vertical="center"/>
    </xf>
    <xf numFmtId="0" fontId="0" fillId="16" borderId="20" xfId="0" applyFill="1" applyBorder="1" applyAlignment="1">
      <alignment horizontal="center"/>
    </xf>
    <xf numFmtId="0" fontId="0" fillId="25" borderId="23" xfId="0" applyFill="1" applyBorder="1"/>
    <xf numFmtId="0" fontId="20" fillId="25" borderId="23" xfId="0" applyFont="1" applyFill="1" applyBorder="1" applyAlignment="1">
      <alignment horizontal="center" vertical="center"/>
    </xf>
    <xf numFmtId="0" fontId="20" fillId="25" borderId="23" xfId="0" applyFont="1" applyFill="1" applyBorder="1" applyAlignment="1">
      <alignment horizontal="left" vertical="center"/>
    </xf>
    <xf numFmtId="168" fontId="0" fillId="26" borderId="0" xfId="0" applyNumberFormat="1" applyFill="1"/>
    <xf numFmtId="2" fontId="0" fillId="25" borderId="0" xfId="22" applyNumberFormat="1" applyFont="1" applyFill="1" applyAlignment="1">
      <alignment horizontal="center"/>
    </xf>
    <xf numFmtId="9" fontId="0" fillId="16" borderId="0" xfId="22" applyFont="1" applyFill="1" applyBorder="1" applyAlignment="1">
      <alignment horizontal="center" vertical="center"/>
    </xf>
    <xf numFmtId="2" fontId="0" fillId="25" borderId="0" xfId="22" applyNumberFormat="1" applyFont="1" applyFill="1" applyBorder="1" applyAlignment="1">
      <alignment horizontal="center"/>
    </xf>
    <xf numFmtId="168" fontId="0" fillId="25" borderId="0" xfId="0" applyNumberFormat="1" applyFill="1"/>
    <xf numFmtId="2" fontId="0" fillId="16" borderId="20" xfId="0" applyNumberFormat="1" applyFill="1" applyBorder="1" applyAlignment="1">
      <alignment horizontal="center" vertical="center"/>
    </xf>
    <xf numFmtId="2" fontId="0" fillId="25" borderId="20" xfId="0" applyNumberFormat="1" applyFill="1" applyBorder="1" applyAlignment="1">
      <alignment horizontal="center" vertical="center"/>
    </xf>
    <xf numFmtId="168" fontId="0" fillId="16" borderId="20" xfId="0" applyNumberFormat="1" applyFill="1" applyBorder="1"/>
    <xf numFmtId="2" fontId="0" fillId="16" borderId="0" xfId="0" applyNumberFormat="1" applyFill="1" applyAlignment="1">
      <alignment horizontal="center" vertical="center"/>
    </xf>
    <xf numFmtId="168" fontId="0" fillId="16" borderId="0" xfId="0" applyNumberFormat="1" applyFill="1"/>
    <xf numFmtId="2" fontId="0" fillId="16" borderId="0" xfId="22" applyNumberFormat="1" applyFont="1" applyFill="1" applyBorder="1" applyAlignment="1">
      <alignment horizontal="center"/>
    </xf>
    <xf numFmtId="2" fontId="0" fillId="26" borderId="20" xfId="0" applyNumberFormat="1" applyFill="1" applyBorder="1" applyAlignment="1">
      <alignment horizontal="center"/>
    </xf>
    <xf numFmtId="169" fontId="0" fillId="25" borderId="0" xfId="22" applyNumberFormat="1" applyFont="1" applyFill="1" applyAlignment="1">
      <alignment horizontal="center"/>
    </xf>
    <xf numFmtId="0" fontId="28" fillId="46" borderId="0" xfId="0" applyFont="1" applyFill="1" applyAlignment="1">
      <alignment horizontal="center" vertical="center"/>
    </xf>
    <xf numFmtId="0" fontId="28" fillId="46" borderId="0" xfId="0" applyFont="1" applyFill="1" applyAlignment="1">
      <alignment horizontal="center" vertical="center" wrapText="1"/>
    </xf>
    <xf numFmtId="0" fontId="0" fillId="2" borderId="0" xfId="0" applyAlignment="1">
      <alignment horizontal="left" vertical="center"/>
    </xf>
    <xf numFmtId="0" fontId="53" fillId="20" borderId="4" xfId="0" applyFont="1" applyFill="1" applyBorder="1"/>
    <xf numFmtId="167" fontId="0" fillId="16" borderId="0" xfId="22" applyNumberFormat="1" applyFont="1" applyFill="1"/>
    <xf numFmtId="2" fontId="0" fillId="16" borderId="0" xfId="2" applyNumberFormat="1" applyFont="1" applyFill="1" applyAlignment="1">
      <alignment horizontal="center"/>
    </xf>
    <xf numFmtId="2" fontId="0" fillId="25" borderId="0" xfId="2" applyNumberFormat="1" applyFont="1" applyFill="1" applyAlignment="1">
      <alignment horizontal="center"/>
    </xf>
    <xf numFmtId="167" fontId="0" fillId="25" borderId="0" xfId="22" applyNumberFormat="1" applyFont="1" applyFill="1" applyAlignment="1">
      <alignment horizontal="center"/>
    </xf>
    <xf numFmtId="2" fontId="0" fillId="25" borderId="0" xfId="0" applyNumberFormat="1" applyFill="1" applyAlignment="1">
      <alignment horizontal="center"/>
    </xf>
    <xf numFmtId="168" fontId="0" fillId="25" borderId="22" xfId="22" applyNumberFormat="1" applyFont="1" applyFill="1" applyBorder="1" applyAlignment="1">
      <alignment horizontal="center"/>
    </xf>
    <xf numFmtId="2" fontId="0" fillId="25" borderId="20" xfId="22" applyNumberFormat="1" applyFont="1" applyFill="1" applyBorder="1" applyAlignment="1">
      <alignment horizontal="center"/>
    </xf>
    <xf numFmtId="9" fontId="0" fillId="25" borderId="0" xfId="22" applyFont="1" applyFill="1" applyAlignment="1">
      <alignment horizontal="center"/>
    </xf>
    <xf numFmtId="43" fontId="0" fillId="2" borderId="0" xfId="0" applyNumberFormat="1"/>
    <xf numFmtId="173" fontId="0" fillId="26" borderId="0" xfId="0" applyNumberFormat="1" applyFill="1" applyAlignment="1">
      <alignment horizontal="center"/>
    </xf>
    <xf numFmtId="2" fontId="0" fillId="2" borderId="0" xfId="22" applyNumberFormat="1" applyFont="1" applyFill="1"/>
    <xf numFmtId="168" fontId="0" fillId="26" borderId="23" xfId="0" applyNumberFormat="1" applyFill="1" applyBorder="1" applyAlignment="1">
      <alignment horizontal="center" vertical="center"/>
    </xf>
    <xf numFmtId="0" fontId="0" fillId="2" borderId="3" xfId="0" applyBorder="1" applyAlignment="1">
      <alignment horizontal="right"/>
    </xf>
    <xf numFmtId="9" fontId="0" fillId="25" borderId="0" xfId="22" applyFont="1" applyFill="1" applyAlignment="1">
      <alignment horizontal="center" vertical="center"/>
    </xf>
    <xf numFmtId="10" fontId="0" fillId="25" borderId="0" xfId="22" applyNumberFormat="1" applyFont="1" applyFill="1" applyAlignment="1">
      <alignment horizontal="center"/>
    </xf>
  </cellXfs>
  <cellStyles count="71">
    <cellStyle name="20% - Accent1" xfId="12" builtinId="30" customBuiltin="1"/>
    <cellStyle name="20% - Accent2" xfId="14" builtinId="34" customBuiltin="1"/>
    <cellStyle name="20% - Accent3" xfId="16" builtinId="38" customBuiltin="1"/>
    <cellStyle name="20% - Accent4" xfId="18" builtinId="42" customBuiltin="1"/>
    <cellStyle name="20% - Accent5" xfId="20" builtinId="46" customBuiltin="1"/>
    <cellStyle name="40% - Accent1" xfId="13" builtinId="31" customBuiltin="1"/>
    <cellStyle name="40% - Accent2" xfId="15" builtinId="35" customBuiltin="1"/>
    <cellStyle name="40% - Accent3" xfId="17" builtinId="39" customBuiltin="1"/>
    <cellStyle name="40% - Accent4" xfId="19" builtinId="43" customBuiltin="1"/>
    <cellStyle name="40% - Accent5" xfId="21" builtinId="47" customBuiltin="1"/>
    <cellStyle name="B1.general" xfId="70" xr:uid="{0D6B08B2-A4F4-C94E-8A5F-FE0D67102970}"/>
    <cellStyle name="Bad" xfId="3" builtinId="27" customBuiltin="1"/>
    <cellStyle name="Blank" xfId="29" xr:uid="{5E8234D4-D0AA-4072-AA55-815D148E81DB}"/>
    <cellStyle name="Calculation" xfId="7" builtinId="22" customBuiltin="1"/>
    <cellStyle name="Check Cell" xfId="9" builtinId="23" customBuiltin="1"/>
    <cellStyle name="Check Cell 2" xfId="45" xr:uid="{88F2A941-8F35-47C6-9EF3-A6C1FE1F1FC2}"/>
    <cellStyle name="Comma" xfId="2" builtinId="3"/>
    <cellStyle name="Comma 2" xfId="53" xr:uid="{594F8FA5-50D9-402C-8B5F-0ABE52563279}"/>
    <cellStyle name="Currency" xfId="69" builtinId="4"/>
    <cellStyle name="Data Validated Input" xfId="37" xr:uid="{25F11ACB-9FFC-467E-9284-C3635AAA2D34}"/>
    <cellStyle name="DateShort" xfId="47" xr:uid="{E1005520-95C6-4ADE-90A1-8E3E03BB1856}"/>
    <cellStyle name="Explanatory Text" xfId="11" builtinId="53" customBuiltin="1"/>
    <cellStyle name="Explanatory Text 2" xfId="48" xr:uid="{459CCBA0-67E2-457D-A116-20FB4F1D69F6}"/>
    <cellStyle name="Explanatory Text 3" xfId="28" xr:uid="{FAA9AC8C-8E63-4244-BD01-11AEF03FEDD3}"/>
    <cellStyle name="From Elsewhere" xfId="33" xr:uid="{F144ABA4-B666-4AB6-829B-651CF4D2901A}"/>
    <cellStyle name="Heading 1" xfId="1" builtinId="16" customBuiltin="1"/>
    <cellStyle name="Heading 1 2" xfId="42" xr:uid="{F793D0DE-39F2-42F3-9636-E41C54BA3AC2}"/>
    <cellStyle name="Heading 2 2" xfId="46" xr:uid="{D616DC4F-36C6-4A7D-8DB1-2037EF43F6D7}"/>
    <cellStyle name="Heading 3 2" xfId="52" xr:uid="{631EF618-BFA9-45BA-9596-E2CD93C297A3}"/>
    <cellStyle name="Heading 4 2" xfId="43" xr:uid="{5031BA92-B9B3-48CB-BFD2-176ED79E9077}"/>
    <cellStyle name="Hyperlink" xfId="26" builtinId="8"/>
    <cellStyle name="Hyperlink 2" xfId="55" xr:uid="{791F698B-A47C-4E3C-BBC6-DBD874F1D31D}"/>
    <cellStyle name="Input" xfId="5" builtinId="20" customBuiltin="1"/>
    <cellStyle name="Input (Fixed)" xfId="30" xr:uid="{E79F9DBF-F158-4C9D-92D1-A97626FD2F13}"/>
    <cellStyle name="Input (User)" xfId="31" xr:uid="{ADCEA104-64F7-4B7E-AB12-33B7E3C9F37E}"/>
    <cellStyle name="Input 10" xfId="68" xr:uid="{7320ADF3-68DD-4E8D-8B05-C88ABA66E3BE}"/>
    <cellStyle name="Input 2" xfId="49" xr:uid="{8821B0BB-BB9C-4CD1-B413-94334FFB98B2}"/>
    <cellStyle name="Input 2 2" xfId="54" xr:uid="{411F803C-2E82-45F7-ADBE-5F8498CAEB45}"/>
    <cellStyle name="Input 3" xfId="38" xr:uid="{3F842E69-3DD5-4F46-8BF6-AB2186C16919}"/>
    <cellStyle name="Input 4" xfId="60" xr:uid="{B3CB6098-ADFA-4C5F-8CD3-7AC7962B6CB1}"/>
    <cellStyle name="Input 5" xfId="57" xr:uid="{9E96DAC8-95B4-4737-BB6F-F89243ADF97F}"/>
    <cellStyle name="Input 6" xfId="65" xr:uid="{C2EE33E5-FC7B-4435-9CAB-C843F63EAE21}"/>
    <cellStyle name="Input 7" xfId="67" xr:uid="{9A4F49F0-767E-4BBE-8FE7-E6126E02ECFD}"/>
    <cellStyle name="Input 8" xfId="56" xr:uid="{ECFDC2FD-9290-4027-A7E5-DF96A74A81D3}"/>
    <cellStyle name="Input 9" xfId="59" xr:uid="{7668CB12-8CE0-4722-B93D-4AA6F4349E05}"/>
    <cellStyle name="Label Description" xfId="25" xr:uid="{4EBA0784-4FB8-417A-B9B2-00752546C155}"/>
    <cellStyle name="Linked Cell" xfId="8" builtinId="24" customBuiltin="1"/>
    <cellStyle name="Linked Cell 2" xfId="44" xr:uid="{39DEE030-B337-4173-81B6-5CC19B90F7CB}"/>
    <cellStyle name="Linked Cell 3" xfId="39" xr:uid="{713238CF-97CF-4190-B80A-71D121757F03}"/>
    <cellStyle name="Neutral" xfId="4" builtinId="28" customBuiltin="1"/>
    <cellStyle name="Normal" xfId="0" builtinId="0" customBuiltin="1"/>
    <cellStyle name="Normal 10" xfId="64" xr:uid="{5D6A77DE-F605-4298-AA0D-6D055E610133}"/>
    <cellStyle name="Normal 11" xfId="62" xr:uid="{C0160726-B634-49CB-9757-8C7CE6EB55C8}"/>
    <cellStyle name="Normal 2" xfId="23" xr:uid="{D7A5BAC9-F674-40E1-A420-60D7E3A5A195}"/>
    <cellStyle name="Normal 2 2" xfId="41" xr:uid="{C65660C1-B927-4695-8087-B32B53A98F12}"/>
    <cellStyle name="Normal 3" xfId="24" xr:uid="{C4643B13-B195-4773-8337-D75C8AA5A073}"/>
    <cellStyle name="Normal 4" xfId="27" xr:uid="{01A07063-6C16-44C4-8596-E83414779C5B}"/>
    <cellStyle name="Normal 5" xfId="34" xr:uid="{AB18C254-CEEF-4DDA-A276-71D21FF1FE1E}"/>
    <cellStyle name="Normal 6" xfId="58" xr:uid="{7A8758F5-AEF6-4381-8C61-F5E9F6C9F7C6}"/>
    <cellStyle name="Normal 7" xfId="61" xr:uid="{0BFAFF37-068C-4564-8323-6419C15489A0}"/>
    <cellStyle name="Normal 8" xfId="63" xr:uid="{86C1D6DA-8288-4E9C-A91E-8C67536D0A17}"/>
    <cellStyle name="Normal 9" xfId="66" xr:uid="{BD2B5381-3181-4C6F-B26A-2951570C34DA}"/>
    <cellStyle name="Note" xfId="10" builtinId="10" customBuiltin="1"/>
    <cellStyle name="Output" xfId="6" builtinId="21" customBuiltin="1"/>
    <cellStyle name="Output 2" xfId="51" xr:uid="{1C98D3D0-C46C-408E-A02F-905CF76B8369}"/>
    <cellStyle name="Percent" xfId="22" builtinId="5"/>
    <cellStyle name="Percent 2" xfId="50" xr:uid="{4CFC7B27-C43B-451D-91E6-7572959F4695}"/>
    <cellStyle name="SubTotal" xfId="36" xr:uid="{B0638C8C-2EB3-46D2-A7ED-5A5AA176AB6A}"/>
    <cellStyle name="Time Line" xfId="35" xr:uid="{6FF3C4AF-FA42-4FA3-A392-5655D410A52F}"/>
    <cellStyle name="Title 2" xfId="40" xr:uid="{995859D1-460A-429C-B27F-94867F2D9325}"/>
    <cellStyle name="Unique Formula" xfId="32" xr:uid="{20CB09A9-4ADB-4CEA-830A-1E0BB9381DE3}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F9933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29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28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194234</xdr:colOff>
      <xdr:row>49</xdr:row>
      <xdr:rowOff>158392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BEAC4A4-FCE5-8E04-5E6F-6EC31EF3BB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968940" cy="973568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631825</xdr:colOff>
      <xdr:row>41</xdr:row>
      <xdr:rowOff>76200</xdr:rowOff>
    </xdr:from>
    <xdr:ext cx="5354991" cy="18171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8" name="TextBox 1">
              <a:extLst>
                <a:ext uri="{FF2B5EF4-FFF2-40B4-BE49-F238E27FC236}">
                  <a16:creationId xmlns:a16="http://schemas.microsoft.com/office/drawing/2014/main" id="{8DC7B33D-E0FA-D975-B069-C6CD1CAF37E3}"/>
                </a:ext>
              </a:extLst>
            </xdr:cNvPr>
            <xdr:cNvSpPr txBox="1"/>
          </xdr:nvSpPr>
          <xdr:spPr>
            <a:xfrm>
              <a:off x="1793875" y="7861300"/>
              <a:ext cx="5354991" cy="18171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GB" sz="1200" b="0" i="1">
                        <a:latin typeface="Cambria Math" panose="02040503050406030204" pitchFamily="18" charset="0"/>
                      </a:rPr>
                      <m:t>𝑂𝑢𝑡𝑝𝑢</m:t>
                    </m:r>
                    <m:sSub>
                      <m:sSubPr>
                        <m:ctrlPr>
                          <a:rPr lang="en-GB" sz="12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GB" sz="1200" b="0" i="1">
                            <a:latin typeface="Cambria Math" panose="02040503050406030204" pitchFamily="18" charset="0"/>
                          </a:rPr>
                          <m:t>𝑡</m:t>
                        </m:r>
                      </m:e>
                      <m:sub>
                        <m:r>
                          <a:rPr lang="en-GB" sz="1200" b="0" i="1">
                            <a:latin typeface="Cambria Math" panose="02040503050406030204" pitchFamily="18" charset="0"/>
                          </a:rPr>
                          <m:t>𝑡</m:t>
                        </m:r>
                        <m:r>
                          <a:rPr lang="en-GB" sz="1200" b="0" i="1">
                            <a:latin typeface="Cambria Math" panose="02040503050406030204" pitchFamily="18" charset="0"/>
                          </a:rPr>
                          <m:t>+1</m:t>
                        </m:r>
                      </m:sub>
                    </m:sSub>
                    <m:r>
                      <a:rPr lang="en-GB" sz="1200" b="0" i="1">
                        <a:latin typeface="Cambria Math" panose="02040503050406030204" pitchFamily="18" charset="0"/>
                      </a:rPr>
                      <m:t>=</m:t>
                    </m:r>
                    <m:r>
                      <a:rPr lang="en-GB" sz="1200" b="0" i="1">
                        <a:latin typeface="Cambria Math" panose="02040503050406030204" pitchFamily="18" charset="0"/>
                      </a:rPr>
                      <m:t>𝑂𝑢𝑡𝑝𝑢</m:t>
                    </m:r>
                    <m:sSub>
                      <m:sSubPr>
                        <m:ctrlPr>
                          <a:rPr lang="en-GB" sz="12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GB" sz="1200" b="0" i="1">
                            <a:latin typeface="Cambria Math" panose="02040503050406030204" pitchFamily="18" charset="0"/>
                          </a:rPr>
                          <m:t>𝑡</m:t>
                        </m:r>
                      </m:e>
                      <m:sub>
                        <m:r>
                          <a:rPr lang="en-GB" sz="1200" b="0" i="1">
                            <a:latin typeface="Cambria Math" panose="02040503050406030204" pitchFamily="18" charset="0"/>
                          </a:rPr>
                          <m:t>𝑡</m:t>
                        </m:r>
                      </m:sub>
                    </m:sSub>
                    <m:r>
                      <a:rPr lang="en-GB" sz="12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∙</m:t>
                    </m:r>
                    <m:d>
                      <m:dPr>
                        <m:ctrlPr>
                          <a:rPr lang="en-GB" sz="1200" b="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r>
                          <a:rPr lang="en-GB" sz="1200" b="0" i="1">
                            <a:latin typeface="Cambria Math" panose="02040503050406030204" pitchFamily="18" charset="0"/>
                          </a:rPr>
                          <m:t>1+</m:t>
                        </m:r>
                        <m:r>
                          <a:rPr lang="en-GB" sz="1200" b="0" i="1">
                            <a:latin typeface="Cambria Math" panose="02040503050406030204" pitchFamily="18" charset="0"/>
                          </a:rPr>
                          <m:t>𝑅𝑃</m:t>
                        </m:r>
                        <m:sSub>
                          <m:sSubPr>
                            <m:ctrlPr>
                              <a:rPr lang="en-GB" sz="12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en-GB" sz="1200" b="0" i="1">
                                <a:latin typeface="Cambria Math" panose="02040503050406030204" pitchFamily="18" charset="0"/>
                              </a:rPr>
                              <m:t>𝐸</m:t>
                            </m:r>
                          </m:e>
                          <m:sub>
                            <m:r>
                              <a:rPr lang="en-GB" sz="1200" b="0" i="1">
                                <a:latin typeface="Cambria Math" panose="02040503050406030204" pitchFamily="18" charset="0"/>
                              </a:rPr>
                              <m:t>𝑡</m:t>
                            </m:r>
                            <m:r>
                              <a:rPr lang="en-GB" sz="1200" b="0" i="1">
                                <a:latin typeface="Cambria Math" panose="02040503050406030204" pitchFamily="18" charset="0"/>
                              </a:rPr>
                              <m:t>+1</m:t>
                            </m:r>
                          </m:sub>
                        </m:sSub>
                      </m:e>
                    </m:d>
                    <m:r>
                      <a:rPr lang="en-GB" sz="12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∙</m:t>
                    </m:r>
                    <m:d>
                      <m:dPr>
                        <m:ctrlPr>
                          <a:rPr lang="en-GB" sz="1200" b="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r>
                          <a:rPr lang="en-GB" sz="1200" b="0" i="1">
                            <a:latin typeface="Cambria Math" panose="02040503050406030204" pitchFamily="18" charset="0"/>
                          </a:rPr>
                          <m:t>1−</m:t>
                        </m:r>
                        <m:r>
                          <a:rPr lang="en-GB" sz="1200" b="0" i="1">
                            <a:latin typeface="Cambria Math" panose="02040503050406030204" pitchFamily="18" charset="0"/>
                          </a:rPr>
                          <m:t>𝐹</m:t>
                        </m:r>
                        <m:sSub>
                          <m:sSubPr>
                            <m:ctrlPr>
                              <a:rPr lang="en-GB" sz="12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en-GB" sz="1200" b="0" i="1">
                                <a:latin typeface="Cambria Math" panose="02040503050406030204" pitchFamily="18" charset="0"/>
                              </a:rPr>
                              <m:t>𝑆</m:t>
                            </m:r>
                          </m:e>
                          <m:sub>
                            <m:r>
                              <a:rPr lang="en-GB" sz="1200" b="0" i="1">
                                <a:latin typeface="Cambria Math" panose="02040503050406030204" pitchFamily="18" charset="0"/>
                              </a:rPr>
                              <m:t>𝑡</m:t>
                            </m:r>
                            <m:r>
                              <a:rPr lang="en-GB" sz="1200" b="0" i="1">
                                <a:latin typeface="Cambria Math" panose="02040503050406030204" pitchFamily="18" charset="0"/>
                              </a:rPr>
                              <m:t>+1</m:t>
                            </m:r>
                          </m:sub>
                        </m:sSub>
                      </m:e>
                    </m:d>
                    <m:r>
                      <a:rPr lang="en-GB" sz="12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∙</m:t>
                    </m:r>
                    <m:d>
                      <m:dPr>
                        <m:ctrlPr>
                          <a:rPr lang="en-GB" sz="12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dPr>
                      <m:e>
                        <m:r>
                          <a:rPr lang="en-GB" sz="12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1+</m:t>
                        </m:r>
                        <m:r>
                          <a:rPr lang="en-GB" sz="12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+mn-cs"/>
                          </a:rPr>
                          <m:t>𝜀</m:t>
                        </m:r>
                        <m:r>
                          <a:rPr lang="en-GB" sz="12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+mn-cs"/>
                          </a:rPr>
                          <m:t>∙∆</m:t>
                        </m:r>
                        <m:sSub>
                          <m:sSubPr>
                            <m:ctrlPr>
                              <a:rPr lang="en-GB" sz="12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  <a:cs typeface="+mn-cs"/>
                              </a:rPr>
                            </m:ctrlPr>
                          </m:sSubPr>
                          <m:e>
                            <m:r>
                              <a:rPr lang="en-GB" sz="12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  <a:cs typeface="+mn-cs"/>
                              </a:rPr>
                              <m:t>𝑉</m:t>
                            </m:r>
                          </m:e>
                          <m:sub>
                            <m:r>
                              <a:rPr lang="en-GB" sz="12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  <a:cs typeface="+mn-cs"/>
                              </a:rPr>
                              <m:t>𝑡</m:t>
                            </m:r>
                            <m:r>
                              <a:rPr lang="en-GB" sz="12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  <a:cs typeface="+mn-cs"/>
                              </a:rPr>
                              <m:t>+1</m:t>
                            </m:r>
                          </m:sub>
                        </m:sSub>
                      </m:e>
                    </m:d>
                    <m:r>
                      <a:rPr lang="en-GB" sz="12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+</m:t>
                    </m:r>
                    <m:r>
                      <a:rPr lang="en-GB" sz="12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𝑂𝑣𝑒𝑟𝑙𝑎</m:t>
                    </m:r>
                    <m:sSub>
                      <m:sSubPr>
                        <m:ctrlPr>
                          <a:rPr lang="en-GB" sz="12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bPr>
                      <m:e>
                        <m:r>
                          <a:rPr lang="en-GB" sz="12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𝑦</m:t>
                        </m:r>
                      </m:e>
                      <m:sub>
                        <m:r>
                          <a:rPr lang="en-GB" sz="12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𝑡</m:t>
                        </m:r>
                        <m:r>
                          <a:rPr lang="en-GB" sz="12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+1</m:t>
                        </m:r>
                      </m:sub>
                    </m:sSub>
                  </m:oMath>
                </m:oMathPara>
              </a14:m>
              <a:endParaRPr lang="en-GB" sz="1200"/>
            </a:p>
          </xdr:txBody>
        </xdr:sp>
      </mc:Choice>
      <mc:Fallback xmlns="">
        <xdr:sp macro="" textlink="">
          <xdr:nvSpPr>
            <xdr:cNvPr id="8" name="TextBox 1">
              <a:extLst>
                <a:ext uri="{FF2B5EF4-FFF2-40B4-BE49-F238E27FC236}">
                  <a16:creationId xmlns:a16="http://schemas.microsoft.com/office/drawing/2014/main" id="{8DC7B33D-E0FA-D975-B069-C6CD1CAF37E3}"/>
                </a:ext>
              </a:extLst>
            </xdr:cNvPr>
            <xdr:cNvSpPr txBox="1"/>
          </xdr:nvSpPr>
          <xdr:spPr>
            <a:xfrm>
              <a:off x="1793875" y="7861300"/>
              <a:ext cx="5354991" cy="18171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GB" sz="1200" b="0" i="0">
                  <a:latin typeface="Cambria Math" panose="02040503050406030204" pitchFamily="18" charset="0"/>
                </a:rPr>
                <a:t>𝑂𝑢𝑡𝑝𝑢𝑡_(𝑡+1)=𝑂𝑢𝑡𝑝𝑢𝑡_𝑡</a:t>
              </a:r>
              <a:r>
                <a:rPr lang="en-GB" sz="12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∙</a:t>
              </a:r>
              <a:r>
                <a:rPr lang="en-GB" sz="1200" b="0" i="0">
                  <a:latin typeface="Cambria Math" panose="02040503050406030204" pitchFamily="18" charset="0"/>
                </a:rPr>
                <a:t>(1+𝑅𝑃𝐸_(𝑡+1) )</a:t>
              </a:r>
              <a:r>
                <a:rPr lang="en-GB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∙</a:t>
              </a:r>
              <a:r>
                <a:rPr lang="en-GB" sz="1200" b="0" i="0">
                  <a:latin typeface="Cambria Math" panose="02040503050406030204" pitchFamily="18" charset="0"/>
                </a:rPr>
                <a:t>(1−𝐹𝑆_(𝑡+1) )</a:t>
              </a:r>
              <a:r>
                <a:rPr lang="en-GB" sz="12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∙(1+</a:t>
              </a:r>
              <a:r>
                <a:rPr lang="en-GB" sz="12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𝜀∙∆𝑉_(𝑡+1) )</a:t>
              </a:r>
              <a:r>
                <a:rPr lang="en-GB" sz="12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+𝑂𝑣𝑒𝑟𝑙𝑎𝑦_(𝑡+1)</a:t>
              </a:r>
              <a:endParaRPr lang="en-GB" sz="1200"/>
            </a:p>
          </xdr:txBody>
        </xdr:sp>
      </mc:Fallback>
    </mc:AlternateContent>
    <xdr:clientData/>
  </xdr:oneCellAnchor>
  <xdr:oneCellAnchor>
    <xdr:from>
      <xdr:col>7</xdr:col>
      <xdr:colOff>479425</xdr:colOff>
      <xdr:row>34</xdr:row>
      <xdr:rowOff>152400</xdr:rowOff>
    </xdr:from>
    <xdr:ext cx="65" cy="163571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5FF78EF3-0862-1E6B-E4E3-CB155E49E2C1}"/>
            </a:ext>
          </a:extLst>
        </xdr:cNvPr>
        <xdr:cNvSpPr txBox="1"/>
      </xdr:nvSpPr>
      <xdr:spPr>
        <a:xfrm>
          <a:off x="5413375" y="3422650"/>
          <a:ext cx="65" cy="1635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657225</xdr:colOff>
      <xdr:row>44</xdr:row>
      <xdr:rowOff>88900</xdr:rowOff>
    </xdr:from>
    <xdr:ext cx="5389745" cy="18171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90A418F3-1044-AE27-22D7-63F1EAA6DE2D}"/>
                </a:ext>
              </a:extLst>
            </xdr:cNvPr>
            <xdr:cNvSpPr txBox="1"/>
          </xdr:nvSpPr>
          <xdr:spPr>
            <a:xfrm>
              <a:off x="1816352" y="8978900"/>
              <a:ext cx="5389745" cy="18171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GB" sz="12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𝑂𝑢𝑡𝑝𝑢</m:t>
                    </m:r>
                    <m:sSub>
                      <m:sSubPr>
                        <m:ctrlPr>
                          <a:rPr lang="en-GB" sz="12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bPr>
                      <m:e>
                        <m:r>
                          <a:rPr lang="en-GB" sz="12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𝑡</m:t>
                        </m:r>
                      </m:e>
                      <m:sub>
                        <m:r>
                          <a:rPr lang="en-GB" sz="12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𝑡</m:t>
                        </m:r>
                        <m:r>
                          <a:rPr lang="en-GB" sz="12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+1</m:t>
                        </m:r>
                      </m:sub>
                    </m:sSub>
                    <m:r>
                      <a:rPr lang="en-GB" sz="12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=</m:t>
                    </m:r>
                    <m:r>
                      <a:rPr lang="en-GB" sz="12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𝑂𝑢𝑡𝑝𝑢</m:t>
                    </m:r>
                    <m:sSub>
                      <m:sSubPr>
                        <m:ctrlPr>
                          <a:rPr lang="en-GB" sz="12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bPr>
                      <m:e>
                        <m:r>
                          <a:rPr lang="en-GB" sz="12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𝑡</m:t>
                        </m:r>
                      </m:e>
                      <m:sub>
                        <m:r>
                          <a:rPr lang="en-GB" sz="12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𝑡</m:t>
                        </m:r>
                      </m:sub>
                    </m:sSub>
                    <m:r>
                      <a:rPr lang="en-GB" sz="12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∙</m:t>
                    </m:r>
                    <m:d>
                      <m:dPr>
                        <m:ctrlPr>
                          <a:rPr lang="en-GB" sz="12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dPr>
                      <m:e>
                        <m:r>
                          <a:rPr lang="en-GB" sz="12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1+</m:t>
                        </m:r>
                        <m:r>
                          <a:rPr lang="en-GB" sz="12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𝑅𝑃</m:t>
                        </m:r>
                        <m:sSub>
                          <m:sSubPr>
                            <m:ctrlPr>
                              <a:rPr lang="en-GB" sz="12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bPr>
                          <m:e>
                            <m:r>
                              <a:rPr lang="en-GB" sz="12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𝐸</m:t>
                            </m:r>
                          </m:e>
                          <m:sub>
                            <m:r>
                              <a:rPr lang="en-GB" sz="12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𝑡</m:t>
                            </m:r>
                            <m:r>
                              <a:rPr lang="en-GB" sz="12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+1</m:t>
                            </m:r>
                          </m:sub>
                        </m:sSub>
                      </m:e>
                    </m:d>
                    <m:r>
                      <a:rPr lang="en-GB" sz="12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∙</m:t>
                    </m:r>
                    <m:d>
                      <m:dPr>
                        <m:ctrlPr>
                          <a:rPr lang="en-GB" sz="12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dPr>
                      <m:e>
                        <m:r>
                          <a:rPr lang="en-GB" sz="12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1+</m:t>
                        </m:r>
                        <m:r>
                          <a:rPr lang="en-GB" sz="12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𝑀</m:t>
                        </m:r>
                        <m:sSub>
                          <m:sSubPr>
                            <m:ctrlPr>
                              <a:rPr lang="en-GB" sz="12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bPr>
                          <m:e>
                            <m:r>
                              <a:rPr lang="en-GB" sz="12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𝑆</m:t>
                            </m:r>
                          </m:e>
                          <m:sub>
                            <m:r>
                              <a:rPr lang="en-GB" sz="12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𝑡</m:t>
                            </m:r>
                            <m:r>
                              <a:rPr lang="en-GB" sz="12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+1</m:t>
                            </m:r>
                          </m:sub>
                        </m:sSub>
                      </m:e>
                    </m:d>
                    <m:r>
                      <a:rPr lang="en-GB" sz="12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∙</m:t>
                    </m:r>
                    <m:d>
                      <m:dPr>
                        <m:ctrlPr>
                          <a:rPr lang="en-GB" sz="12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dPr>
                      <m:e>
                        <m:r>
                          <a:rPr lang="en-GB" sz="12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1+</m:t>
                        </m:r>
                        <m:r>
                          <a:rPr lang="en-GB" sz="12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𝜀</m:t>
                        </m:r>
                        <m:r>
                          <a:rPr lang="en-GB" sz="12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∙∆</m:t>
                        </m:r>
                        <m:sSub>
                          <m:sSubPr>
                            <m:ctrlPr>
                              <a:rPr lang="en-GB" sz="12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bPr>
                          <m:e>
                            <m:r>
                              <a:rPr lang="en-GB" sz="12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𝑉</m:t>
                            </m:r>
                          </m:e>
                          <m:sub>
                            <m:r>
                              <a:rPr lang="en-GB" sz="12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𝑡</m:t>
                            </m:r>
                            <m:r>
                              <a:rPr lang="en-GB" sz="12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+1</m:t>
                            </m:r>
                          </m:sub>
                        </m:sSub>
                      </m:e>
                    </m:d>
                    <m:r>
                      <a:rPr lang="en-GB" sz="12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+</m:t>
                    </m:r>
                    <m:r>
                      <a:rPr lang="en-GB" sz="12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𝑂𝑣𝑒𝑟𝑙𝑎</m:t>
                    </m:r>
                    <m:sSub>
                      <m:sSubPr>
                        <m:ctrlPr>
                          <a:rPr lang="en-GB" sz="12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bPr>
                      <m:e>
                        <m:r>
                          <a:rPr lang="en-GB" sz="12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𝑦</m:t>
                        </m:r>
                      </m:e>
                      <m:sub>
                        <m:r>
                          <a:rPr lang="en-GB" sz="12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𝑡</m:t>
                        </m:r>
                        <m:r>
                          <a:rPr lang="en-GB" sz="12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+1</m:t>
                        </m:r>
                      </m:sub>
                    </m:sSub>
                  </m:oMath>
                </m:oMathPara>
              </a14:m>
              <a:endParaRPr lang="en-GB" sz="1200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90A418F3-1044-AE27-22D7-63F1EAA6DE2D}"/>
                </a:ext>
              </a:extLst>
            </xdr:cNvPr>
            <xdr:cNvSpPr txBox="1"/>
          </xdr:nvSpPr>
          <xdr:spPr>
            <a:xfrm>
              <a:off x="1816352" y="8978900"/>
              <a:ext cx="5389745" cy="18171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GB" sz="12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𝑂𝑢𝑡𝑝𝑢𝑡_(𝑡+1)=𝑂𝑢𝑡𝑝𝑢𝑡_𝑡∙(1+𝑅𝑃𝐸_(𝑡+1) )∙(1+𝑀𝑆_(𝑡+1) )∙(1+𝜀∙∆𝑉_(𝑡+1) )+𝑂𝑣𝑒𝑟𝑙𝑎𝑦_(𝑡+1)</a:t>
              </a:r>
              <a:endParaRPr lang="en-GB" sz="1200"/>
            </a:p>
          </xdr:txBody>
        </xdr:sp>
      </mc:Fallback>
    </mc:AlternateContent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caa.sharepoint.com/sites/ext-h8-benchmarking/collaboration/2%20Analysis/Phase%202/Opex%20and%20Comrev%20model/Opex%20and%20Comrev%20model%20-%20draft%20-%20v3.xlsx" TargetMode="External"/><Relationship Id="rId1" Type="http://schemas.openxmlformats.org/officeDocument/2006/relationships/externalLinkPath" Target="Opex%20and%20Comrev%20model%20-%20draft%20-%20v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 driveId="b!JTDxQ4MwcE-O23o3fy_c9X_-g0AYevdKqqbz-lz77LKRuVnoK2wvSpne7xxtQAg7" itemId="01ZH476FMOSWZS33KZLZELY3RN5YI7VJU4">
      <xxl21:absoluteUrl r:id="rId2"/>
    </xxl21:alternateUrls>
    <sheetNames>
      <sheetName val="Cover"/>
      <sheetName val="Guide"/>
      <sheetName val="Summary"/>
      <sheetName val="Inputs-&gt;"/>
      <sheetName val="Assumptions"/>
      <sheetName val="Traffic inputs"/>
      <sheetName val="Baseline"/>
      <sheetName val="Volume Drivers"/>
      <sheetName val="Scaling"/>
      <sheetName val="Overlays"/>
      <sheetName val="ORCs"/>
      <sheetName val="Calculations-&gt;"/>
      <sheetName val="OPEX"/>
      <sheetName val="Commercial Revenue"/>
      <sheetName val="ORC_calcs"/>
      <sheetName val="Check"/>
    </sheetNames>
    <sheetDataSet>
      <sheetData sheetId="0"/>
      <sheetData sheetId="1"/>
      <sheetData sheetId="2"/>
      <sheetData sheetId="3"/>
      <sheetData sheetId="4">
        <row r="58">
          <cell r="C58" t="str">
            <v>Prices of the year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New PowerPoint Template 1112">
  <a:themeElements>
    <a:clrScheme name="Europe Economics">
      <a:dk1>
        <a:sysClr val="windowText" lastClr="000000"/>
      </a:dk1>
      <a:lt1>
        <a:sysClr val="window" lastClr="FFFFFF"/>
      </a:lt1>
      <a:dk2>
        <a:srgbClr val="38383A"/>
      </a:dk2>
      <a:lt2>
        <a:srgbClr val="FFFFFF"/>
      </a:lt2>
      <a:accent1>
        <a:srgbClr val="683493"/>
      </a:accent1>
      <a:accent2>
        <a:srgbClr val="C64187"/>
      </a:accent2>
      <a:accent3>
        <a:srgbClr val="E8B3CF"/>
      </a:accent3>
      <a:accent4>
        <a:srgbClr val="909090"/>
      </a:accent4>
      <a:accent5>
        <a:srgbClr val="18416A"/>
      </a:accent5>
      <a:accent6>
        <a:srgbClr val="D2D3D2"/>
      </a:accent6>
      <a:hlink>
        <a:srgbClr val="C64187"/>
      </a:hlink>
      <a:folHlink>
        <a:srgbClr val="C64187"/>
      </a:folHlink>
    </a:clrScheme>
    <a:fontScheme name="Europe Economics">
      <a:majorFont>
        <a:latin typeface="Gill Sans MT"/>
        <a:ea typeface=""/>
        <a:cs typeface=""/>
      </a:majorFont>
      <a:minorFont>
        <a:latin typeface="Gill Sans MT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ln>
          <a:noFill/>
        </a:ln>
      </a:spPr>
      <a:bodyPr rtlCol="0" anchor="ctr"/>
      <a:lstStyle>
        <a:defPPr algn="ctr">
          <a:defRPr smtClean="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12700">
          <a:solidFill>
            <a:schemeClr val="accent4"/>
          </a:solidFill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../../Opex%20and%20Comrev%20model/Charts/Opex%20and%20comrev%20model%20charts.xlsx?web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C28BB-6C37-47A6-967F-A16327016DD5}">
  <dimension ref="G2:I14"/>
  <sheetViews>
    <sheetView zoomScale="45" workbookViewId="0"/>
  </sheetViews>
  <sheetFormatPr defaultColWidth="8.90625" defaultRowHeight="16.5" x14ac:dyDescent="0.5"/>
  <sheetData>
    <row r="2" spans="7:9" ht="19" x14ac:dyDescent="0.5">
      <c r="G2" s="30"/>
    </row>
    <row r="14" spans="7:9" ht="19" x14ac:dyDescent="0.5">
      <c r="I14" s="30"/>
    </row>
  </sheetData>
  <pageMargins left="0.7" right="0.7" top="0.75" bottom="0.75" header="0.3" footer="0.3"/>
  <headerFooter>
    <oddHeader>&amp;C&amp;"Calibri"&amp;8&amp;K000000 OFFICIAL - CAA Use Only: This information is for CAA use only &amp;1#_x000D_</oddHeader>
    <oddFooter>&amp;C_x000D_&amp;1#&amp;"Calibri"&amp;8&amp;K000000 OFFICIAL - CAA Use Only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B9711-FF14-4219-AB83-1BD50CF4A93A}">
  <sheetPr>
    <tabColor theme="6"/>
  </sheetPr>
  <dimension ref="A1:W289"/>
  <sheetViews>
    <sheetView topLeftCell="B9" zoomScale="84" zoomScaleNormal="100" workbookViewId="0">
      <selection activeCell="G25" sqref="G25"/>
    </sheetView>
  </sheetViews>
  <sheetFormatPr defaultColWidth="8.90625" defaultRowHeight="16.5" x14ac:dyDescent="0.5"/>
  <cols>
    <col min="1" max="1" width="28.08984375" customWidth="1"/>
    <col min="2" max="2" width="40.6328125" customWidth="1"/>
    <col min="3" max="12" width="15.6328125" customWidth="1"/>
    <col min="13" max="13" width="20.6328125" customWidth="1"/>
    <col min="14" max="14" width="12.36328125" bestFit="1" customWidth="1"/>
    <col min="15" max="15" width="21.453125" bestFit="1" customWidth="1"/>
    <col min="16" max="17" width="12" bestFit="1" customWidth="1"/>
    <col min="18" max="18" width="8.90625" customWidth="1"/>
    <col min="19" max="19" width="12" bestFit="1" customWidth="1"/>
  </cols>
  <sheetData>
    <row r="1" spans="1:13" ht="23" thickBot="1" x14ac:dyDescent="0.7">
      <c r="A1" s="13" t="s">
        <v>225</v>
      </c>
    </row>
    <row r="2" spans="1:13" ht="17" thickTop="1" x14ac:dyDescent="0.5"/>
    <row r="3" spans="1:13" ht="19" thickBot="1" x14ac:dyDescent="0.55000000000000004">
      <c r="A3" s="14" t="s">
        <v>310</v>
      </c>
      <c r="D3" s="42"/>
      <c r="E3" s="42"/>
    </row>
    <row r="4" spans="1:13" ht="19.5" thickTop="1" thickBot="1" x14ac:dyDescent="0.55000000000000004">
      <c r="A4" s="23"/>
      <c r="D4" s="42"/>
      <c r="E4" s="42"/>
    </row>
    <row r="5" spans="1:13" ht="17" thickBot="1" x14ac:dyDescent="0.55000000000000004">
      <c r="B5" s="73" t="s">
        <v>311</v>
      </c>
      <c r="C5" s="71" t="str">
        <f>Assumptions!C58</f>
        <v>CAA</v>
      </c>
      <c r="D5" s="72" t="str">
        <f>Assumptions!C60</f>
        <v>Base</v>
      </c>
      <c r="E5" s="42"/>
    </row>
    <row r="7" spans="1:13" ht="19" thickBot="1" x14ac:dyDescent="0.55000000000000004">
      <c r="A7" s="14" t="s">
        <v>348</v>
      </c>
    </row>
    <row r="8" spans="1:13" ht="19" thickTop="1" x14ac:dyDescent="0.5">
      <c r="A8" s="44"/>
    </row>
    <row r="9" spans="1:13" ht="17" thickBot="1" x14ac:dyDescent="0.55000000000000004">
      <c r="B9" s="10" t="s">
        <v>72</v>
      </c>
      <c r="C9" s="11" t="s">
        <v>96</v>
      </c>
      <c r="D9" s="11"/>
      <c r="E9" s="11" t="s">
        <v>227</v>
      </c>
      <c r="F9" s="12">
        <v>2024</v>
      </c>
      <c r="G9" s="12">
        <v>2025</v>
      </c>
      <c r="H9" s="12">
        <v>2026</v>
      </c>
      <c r="I9" s="12">
        <v>2027</v>
      </c>
      <c r="J9" s="12">
        <v>2028</v>
      </c>
      <c r="K9" s="12">
        <v>2029</v>
      </c>
      <c r="L9" s="12">
        <v>2030</v>
      </c>
      <c r="M9" s="12">
        <v>2031</v>
      </c>
    </row>
    <row r="10" spans="1:13" x14ac:dyDescent="0.5">
      <c r="B10" s="8" t="s">
        <v>229</v>
      </c>
      <c r="C10" s="28" t="s">
        <v>349</v>
      </c>
      <c r="D10" s="28"/>
      <c r="E10" s="51" t="s">
        <v>230</v>
      </c>
      <c r="F10" s="110" cm="1">
        <f t="array" ref="F10">INDEX('Traffic inputs'!$F:$M,
MATCH(1,INDEX(('Traffic inputs'!$E:$E=$C$5)*('Traffic inputs'!$C:$C=$D$5),0),0),
COLUMNS($F10:F10))</f>
        <v>83907050.000000015</v>
      </c>
      <c r="G10" s="110" cm="1">
        <f t="array" ref="G10">INDEX('Traffic inputs'!$F:$M,
MATCH(1,INDEX(('Traffic inputs'!$E:$E=$C$5)*('Traffic inputs'!$C:$C=$D$5),0),0),
COLUMNS($F10:G10))</f>
        <v>84441508.225363865</v>
      </c>
      <c r="H10" s="110" cm="1">
        <f t="array" ref="H10">INDEX('Traffic inputs'!$F:$M,
MATCH(1,INDEX(('Traffic inputs'!$E:$E=$C$5)*('Traffic inputs'!$C:$C=$D$5),0),0),
COLUMNS($F10:H10))</f>
        <v>85519856.42714107</v>
      </c>
      <c r="I10" s="110" cm="1">
        <f t="array" ref="I10">INDEX('Traffic inputs'!$F:$M,
MATCH(1,INDEX(('Traffic inputs'!$E:$E=$C$5)*('Traffic inputs'!$C:$C=$D$5),0),0),
COLUMNS($F10:I10))</f>
        <v>85861364.213440716</v>
      </c>
      <c r="J10" s="110" cm="1">
        <f t="array" ref="J10">INDEX('Traffic inputs'!$F:$M,
MATCH(1,INDEX(('Traffic inputs'!$E:$E=$C$5)*('Traffic inputs'!$C:$C=$D$5),0),0),
COLUMNS($F10:J10))</f>
        <v>86727556.139878124</v>
      </c>
      <c r="K10" s="110" cm="1">
        <f t="array" ref="K10">INDEX('Traffic inputs'!$F:$M,
MATCH(1,INDEX(('Traffic inputs'!$E:$E=$C$5)*('Traffic inputs'!$C:$C=$D$5),0),0),
COLUMNS($F10:K10))</f>
        <v>87680095.943835244</v>
      </c>
      <c r="L10" s="110" cm="1">
        <f t="array" ref="L10">INDEX('Traffic inputs'!$F:$M,
MATCH(1,INDEX(('Traffic inputs'!$E:$E=$C$5)*('Traffic inputs'!$C:$C=$D$5),0),0),
COLUMNS($F10:L10))</f>
        <v>88608470.429141209</v>
      </c>
      <c r="M10" s="110" cm="1">
        <f t="array" ref="M10">INDEX('Traffic inputs'!$F:$M,
MATCH(1,INDEX(('Traffic inputs'!$E:$E=$C$5)*('Traffic inputs'!$C:$C=$D$5),0),0),
COLUMNS($F10:M10))</f>
        <v>89403296.094009295</v>
      </c>
    </row>
    <row r="11" spans="1:13" x14ac:dyDescent="0.5">
      <c r="B11" s="8" t="s">
        <v>232</v>
      </c>
      <c r="C11" s="28" t="s">
        <v>349</v>
      </c>
      <c r="D11" s="28"/>
      <c r="E11" s="51" t="s">
        <v>230</v>
      </c>
      <c r="F11" s="128">
        <f>F10/10^6</f>
        <v>83.907050000000012</v>
      </c>
      <c r="G11" s="128">
        <f t="shared" ref="G11:M11" si="0">G10/10^6</f>
        <v>84.441508225363862</v>
      </c>
      <c r="H11" s="128">
        <f t="shared" si="0"/>
        <v>85.519856427141065</v>
      </c>
      <c r="I11" s="128">
        <f t="shared" si="0"/>
        <v>85.861364213440723</v>
      </c>
      <c r="J11" s="128">
        <f t="shared" si="0"/>
        <v>86.727556139878118</v>
      </c>
      <c r="K11" s="128">
        <f t="shared" si="0"/>
        <v>87.680095943835241</v>
      </c>
      <c r="L11" s="128">
        <f t="shared" si="0"/>
        <v>88.608470429141207</v>
      </c>
      <c r="M11" s="128">
        <f t="shared" si="0"/>
        <v>89.403296094009292</v>
      </c>
    </row>
    <row r="12" spans="1:13" x14ac:dyDescent="0.5">
      <c r="B12" s="8" t="s">
        <v>235</v>
      </c>
      <c r="C12" s="28" t="s">
        <v>350</v>
      </c>
      <c r="D12" s="28"/>
      <c r="E12" s="51" t="s">
        <v>230</v>
      </c>
      <c r="F12" s="67"/>
      <c r="G12" s="67"/>
      <c r="H12" s="67"/>
      <c r="I12" s="67"/>
      <c r="J12" s="67"/>
      <c r="K12" s="67"/>
      <c r="L12" s="67"/>
      <c r="M12" s="67"/>
    </row>
    <row r="13" spans="1:13" x14ac:dyDescent="0.5">
      <c r="B13" s="8" t="s">
        <v>238</v>
      </c>
      <c r="C13" s="28" t="s">
        <v>350</v>
      </c>
      <c r="D13" s="28"/>
      <c r="E13" s="51" t="s">
        <v>230</v>
      </c>
      <c r="F13" s="67"/>
      <c r="G13" s="67"/>
      <c r="H13" s="67"/>
      <c r="I13" s="67"/>
      <c r="J13" s="67"/>
      <c r="K13" s="67"/>
      <c r="L13" s="67"/>
      <c r="M13" s="67"/>
    </row>
    <row r="14" spans="1:13" x14ac:dyDescent="0.5">
      <c r="B14" s="8" t="s">
        <v>241</v>
      </c>
      <c r="C14" s="28" t="s">
        <v>350</v>
      </c>
      <c r="D14" s="28"/>
      <c r="E14" s="51" t="s">
        <v>230</v>
      </c>
      <c r="F14" s="67"/>
      <c r="G14" s="67"/>
      <c r="H14" s="67"/>
      <c r="I14" s="67"/>
      <c r="J14" s="67"/>
      <c r="K14" s="67"/>
      <c r="L14" s="67"/>
      <c r="M14" s="67"/>
    </row>
    <row r="15" spans="1:13" x14ac:dyDescent="0.5">
      <c r="B15" s="8" t="s">
        <v>243</v>
      </c>
      <c r="C15" s="28" t="s">
        <v>350</v>
      </c>
      <c r="D15" s="28"/>
      <c r="E15" s="51" t="s">
        <v>230</v>
      </c>
      <c r="F15" s="67"/>
      <c r="G15" s="67"/>
      <c r="H15" s="67"/>
      <c r="I15" s="67"/>
      <c r="J15" s="67"/>
      <c r="K15" s="67"/>
      <c r="L15" s="67"/>
      <c r="M15" s="67"/>
    </row>
    <row r="16" spans="1:13" x14ac:dyDescent="0.5">
      <c r="B16" s="8" t="s">
        <v>246</v>
      </c>
      <c r="C16" s="28" t="s">
        <v>350</v>
      </c>
      <c r="D16" s="28"/>
      <c r="E16" s="51" t="s">
        <v>230</v>
      </c>
      <c r="F16" s="67"/>
      <c r="G16" s="67"/>
      <c r="H16" s="67"/>
      <c r="I16" s="67"/>
      <c r="J16" s="67"/>
      <c r="K16" s="67"/>
      <c r="L16" s="67"/>
      <c r="M16" s="67"/>
    </row>
    <row r="17" spans="1:13" x14ac:dyDescent="0.5">
      <c r="B17" s="8" t="s">
        <v>249</v>
      </c>
      <c r="C17" s="28" t="s">
        <v>350</v>
      </c>
      <c r="D17" s="28"/>
      <c r="E17" s="51" t="s">
        <v>230</v>
      </c>
      <c r="F17" s="67"/>
      <c r="G17" s="67"/>
      <c r="H17" s="67"/>
      <c r="I17" s="67"/>
      <c r="J17" s="67"/>
      <c r="K17" s="67"/>
      <c r="L17" s="67"/>
      <c r="M17" s="67"/>
    </row>
    <row r="18" spans="1:13" x14ac:dyDescent="0.5">
      <c r="B18" s="8" t="s">
        <v>252</v>
      </c>
      <c r="C18" s="28" t="s">
        <v>350</v>
      </c>
      <c r="D18" s="28"/>
      <c r="E18" s="51" t="s">
        <v>230</v>
      </c>
      <c r="F18" s="67"/>
      <c r="G18" s="67"/>
      <c r="H18" s="67"/>
      <c r="I18" s="67"/>
      <c r="J18" s="67"/>
      <c r="K18" s="67"/>
      <c r="L18" s="67"/>
      <c r="M18" s="67"/>
    </row>
    <row r="19" spans="1:13" x14ac:dyDescent="0.5">
      <c r="B19" s="8" t="s">
        <v>255</v>
      </c>
      <c r="C19" s="28" t="s">
        <v>350</v>
      </c>
      <c r="D19" s="28"/>
      <c r="E19" s="51" t="s">
        <v>230</v>
      </c>
      <c r="F19" s="67"/>
      <c r="G19" s="67"/>
      <c r="H19" s="67"/>
      <c r="I19" s="67"/>
      <c r="J19" s="67"/>
      <c r="K19" s="67"/>
      <c r="L19" s="67"/>
      <c r="M19" s="67"/>
    </row>
    <row r="20" spans="1:13" x14ac:dyDescent="0.5">
      <c r="B20" s="8" t="s">
        <v>257</v>
      </c>
      <c r="C20" s="28" t="s">
        <v>350</v>
      </c>
      <c r="D20" s="28"/>
      <c r="E20" s="51" t="s">
        <v>230</v>
      </c>
      <c r="F20" s="67"/>
      <c r="G20" s="67"/>
      <c r="H20" s="67"/>
      <c r="I20" s="67"/>
      <c r="J20" s="123"/>
      <c r="K20" s="123"/>
      <c r="L20" s="123"/>
      <c r="M20" s="123"/>
    </row>
    <row r="21" spans="1:13" x14ac:dyDescent="0.5">
      <c r="B21" s="8" t="s">
        <v>258</v>
      </c>
      <c r="C21" s="28" t="s">
        <v>350</v>
      </c>
      <c r="D21" s="28"/>
      <c r="E21" s="51" t="s">
        <v>230</v>
      </c>
      <c r="F21" s="123"/>
      <c r="G21" s="123"/>
      <c r="H21" s="123"/>
      <c r="I21" s="123"/>
      <c r="J21" s="123"/>
      <c r="K21" s="215"/>
      <c r="L21" s="215"/>
      <c r="M21" s="215"/>
    </row>
    <row r="22" spans="1:13" x14ac:dyDescent="0.5">
      <c r="B22" s="8" t="s">
        <v>307</v>
      </c>
      <c r="C22" s="28" t="s">
        <v>24</v>
      </c>
      <c r="D22" s="28"/>
      <c r="E22" s="51" t="s">
        <v>230</v>
      </c>
      <c r="F22" s="141">
        <v>1</v>
      </c>
      <c r="G22" s="75">
        <f>F22*0.9</f>
        <v>0.9</v>
      </c>
      <c r="H22" s="75">
        <f t="shared" ref="H22:M22" si="1">G22*0.9</f>
        <v>0.81</v>
      </c>
      <c r="I22" s="75">
        <f t="shared" si="1"/>
        <v>0.72900000000000009</v>
      </c>
      <c r="J22" s="75">
        <f t="shared" si="1"/>
        <v>0.65610000000000013</v>
      </c>
      <c r="K22" s="75">
        <f t="shared" si="1"/>
        <v>0.59049000000000018</v>
      </c>
      <c r="L22" s="75">
        <f t="shared" si="1"/>
        <v>0.53144100000000016</v>
      </c>
      <c r="M22" s="75">
        <f t="shared" si="1"/>
        <v>0.47829690000000014</v>
      </c>
    </row>
    <row r="23" spans="1:13" x14ac:dyDescent="0.5">
      <c r="A23" s="17"/>
      <c r="B23" s="8" t="s">
        <v>260</v>
      </c>
      <c r="C23" s="28" t="s">
        <v>350</v>
      </c>
      <c r="D23" s="28"/>
      <c r="E23" s="63" t="s">
        <v>261</v>
      </c>
      <c r="F23" s="94">
        <v>0.78583313809659461</v>
      </c>
      <c r="G23" s="123">
        <v>0.79189782644402995</v>
      </c>
      <c r="H23" s="123">
        <v>0.78897681430396038</v>
      </c>
      <c r="I23" s="123">
        <v>0.79028777624288227</v>
      </c>
      <c r="J23" s="123">
        <v>0.79160545234780422</v>
      </c>
      <c r="K23" s="123">
        <v>0.79285594549307026</v>
      </c>
      <c r="L23" s="123">
        <v>0.7938342234814848</v>
      </c>
      <c r="M23" s="123">
        <v>0.79509984883665141</v>
      </c>
    </row>
    <row r="24" spans="1:13" x14ac:dyDescent="0.5">
      <c r="A24" s="17"/>
      <c r="B24" s="83" t="s">
        <v>262</v>
      </c>
      <c r="C24" s="28" t="s">
        <v>350</v>
      </c>
      <c r="D24" s="28"/>
      <c r="E24" s="63" t="s">
        <v>263</v>
      </c>
      <c r="F24" s="94"/>
      <c r="G24" s="159">
        <v>4.7699999999999999E-2</v>
      </c>
      <c r="H24" s="159">
        <v>4.5152750502875122E-2</v>
      </c>
      <c r="I24" s="159">
        <v>4.4118119679263573E-2</v>
      </c>
      <c r="J24" s="159">
        <v>4.4118119679263573E-2</v>
      </c>
      <c r="K24" s="159">
        <v>4.4118119679263573E-2</v>
      </c>
      <c r="L24" s="159">
        <v>4.4118119679263573E-2</v>
      </c>
      <c r="M24" s="159">
        <v>4.4118119679263573E-2</v>
      </c>
    </row>
    <row r="25" spans="1:13" x14ac:dyDescent="0.5">
      <c r="A25" s="17"/>
      <c r="B25" s="83" t="s">
        <v>264</v>
      </c>
      <c r="C25" s="28" t="s">
        <v>350</v>
      </c>
      <c r="D25" s="28"/>
      <c r="E25" s="63" t="s">
        <v>263</v>
      </c>
      <c r="F25" s="94">
        <v>0.22938990457435865</v>
      </c>
      <c r="G25" s="123">
        <v>0.19900000000000001</v>
      </c>
      <c r="H25" s="123">
        <v>0.19900000000000001</v>
      </c>
      <c r="I25" s="123">
        <v>0.19800000000000001</v>
      </c>
      <c r="J25" s="123">
        <v>0.19800000000000001</v>
      </c>
      <c r="K25" s="123">
        <v>0.19800000000000001</v>
      </c>
      <c r="L25" s="123">
        <v>0.19800000000000001</v>
      </c>
      <c r="M25" s="123">
        <v>0.19800000000000001</v>
      </c>
    </row>
    <row r="26" spans="1:13" x14ac:dyDescent="0.5">
      <c r="A26" s="17"/>
      <c r="B26" s="83" t="s">
        <v>202</v>
      </c>
      <c r="C26" s="28" t="s">
        <v>350</v>
      </c>
      <c r="D26" s="28"/>
      <c r="E26" s="63" t="s">
        <v>263</v>
      </c>
      <c r="F26" s="94"/>
      <c r="G26" s="123">
        <v>1.976887111392453E-2</v>
      </c>
      <c r="H26" s="123">
        <v>1.976887111392453E-2</v>
      </c>
      <c r="I26" s="123">
        <v>1.976887111392453E-2</v>
      </c>
      <c r="J26" s="123">
        <v>1.976887111392453E-2</v>
      </c>
      <c r="K26" s="123">
        <v>1.976887111392453E-2</v>
      </c>
      <c r="L26" s="123">
        <v>1.976887111392453E-2</v>
      </c>
      <c r="M26" s="123">
        <v>1.976887111392453E-2</v>
      </c>
    </row>
    <row r="27" spans="1:13" x14ac:dyDescent="0.5">
      <c r="A27" s="17"/>
      <c r="B27" s="83" t="s">
        <v>265</v>
      </c>
      <c r="C27" s="28" t="s">
        <v>350</v>
      </c>
      <c r="D27" s="28"/>
      <c r="E27" s="63" t="s">
        <v>263</v>
      </c>
      <c r="F27" s="95">
        <v>9.4831914798390871E-2</v>
      </c>
      <c r="G27" s="123">
        <v>0.11287353941256818</v>
      </c>
      <c r="H27" s="123">
        <v>0.11287353941256818</v>
      </c>
      <c r="I27" s="123">
        <v>0.11287353941256818</v>
      </c>
      <c r="J27" s="123">
        <v>0.11287353941256818</v>
      </c>
      <c r="K27" s="123">
        <v>0.11287353941256818</v>
      </c>
      <c r="L27" s="123">
        <v>0.11287353941256818</v>
      </c>
      <c r="M27" s="123">
        <v>0.11287353941256818</v>
      </c>
    </row>
    <row r="28" spans="1:13" x14ac:dyDescent="0.5">
      <c r="A28" s="17"/>
      <c r="B28" s="83" t="s">
        <v>266</v>
      </c>
      <c r="C28" s="28" t="s">
        <v>350</v>
      </c>
      <c r="D28" s="28"/>
      <c r="E28" s="63" t="s">
        <v>263</v>
      </c>
      <c r="F28" s="95">
        <v>0.14353285279303138</v>
      </c>
      <c r="G28" s="123">
        <v>0.13</v>
      </c>
      <c r="H28" s="123">
        <v>0.13100000000000001</v>
      </c>
      <c r="I28" s="123">
        <v>0.13300000000000001</v>
      </c>
      <c r="J28" s="123">
        <v>0.13300000000000001</v>
      </c>
      <c r="K28" s="123">
        <v>0.13300000000000001</v>
      </c>
      <c r="L28" s="123">
        <v>0.13300000000000001</v>
      </c>
      <c r="M28" s="123">
        <v>0.13300000000000001</v>
      </c>
    </row>
    <row r="29" spans="1:13" x14ac:dyDescent="0.5">
      <c r="A29" s="17"/>
      <c r="B29" s="83" t="s">
        <v>267</v>
      </c>
      <c r="C29" s="28" t="s">
        <v>350</v>
      </c>
      <c r="D29" s="28"/>
      <c r="E29" s="63" t="s">
        <v>263</v>
      </c>
      <c r="F29" s="95">
        <v>1.8049037324448802E-2</v>
      </c>
      <c r="G29" s="123">
        <v>1.5776321619988896E-2</v>
      </c>
      <c r="H29" s="123">
        <v>1.5776321619988896E-2</v>
      </c>
      <c r="I29" s="123">
        <v>1.5776321619988896E-2</v>
      </c>
      <c r="J29" s="123">
        <v>1.5776321619988896E-2</v>
      </c>
      <c r="K29" s="123">
        <v>1.5776321619988896E-2</v>
      </c>
      <c r="L29" s="123">
        <v>1.5776321619988896E-2</v>
      </c>
      <c r="M29" s="123">
        <v>1.5776321619988896E-2</v>
      </c>
    </row>
    <row r="30" spans="1:13" x14ac:dyDescent="0.5">
      <c r="A30" s="17"/>
      <c r="B30" s="83" t="s">
        <v>268</v>
      </c>
      <c r="C30" s="28" t="s">
        <v>350</v>
      </c>
      <c r="D30" s="28"/>
      <c r="E30" s="63" t="s">
        <v>263</v>
      </c>
      <c r="F30" s="94">
        <v>4.7947631892988653E-2</v>
      </c>
      <c r="G30" s="123">
        <v>4.7E-2</v>
      </c>
      <c r="H30" s="123">
        <v>4.6399100535051079E-2</v>
      </c>
      <c r="I30" s="123">
        <v>4.5399100535051036E-2</v>
      </c>
      <c r="J30" s="123">
        <v>4.5399100535051036E-2</v>
      </c>
      <c r="K30" s="123">
        <v>4.5407502749932417E-2</v>
      </c>
      <c r="L30" s="123">
        <v>4.5407502749932417E-2</v>
      </c>
      <c r="M30" s="123">
        <v>4.5407502749932417E-2</v>
      </c>
    </row>
    <row r="31" spans="1:13" x14ac:dyDescent="0.5">
      <c r="A31" s="17"/>
      <c r="B31" s="83" t="s">
        <v>269</v>
      </c>
      <c r="C31" s="28" t="s">
        <v>350</v>
      </c>
      <c r="D31" s="28"/>
      <c r="E31" s="63" t="s">
        <v>263</v>
      </c>
      <c r="F31" s="94">
        <v>0.13857314828289904</v>
      </c>
      <c r="G31" s="123">
        <v>0.16500000000000001</v>
      </c>
      <c r="H31" s="123">
        <v>0.17003892470834639</v>
      </c>
      <c r="I31" s="123">
        <v>0.17262550176737526</v>
      </c>
      <c r="J31" s="123">
        <v>0.17262550176737526</v>
      </c>
      <c r="K31" s="123">
        <v>0.17262550176737526</v>
      </c>
      <c r="L31" s="123">
        <v>0.17262550176737526</v>
      </c>
      <c r="M31" s="123">
        <v>0.17262550176737526</v>
      </c>
    </row>
    <row r="32" spans="1:13" x14ac:dyDescent="0.5">
      <c r="A32" s="17"/>
      <c r="B32" s="83" t="s">
        <v>270</v>
      </c>
      <c r="C32" s="28" t="s">
        <v>350</v>
      </c>
      <c r="D32" s="28"/>
      <c r="E32" s="63" t="s">
        <v>263</v>
      </c>
      <c r="F32" s="94">
        <v>1.1327852822672173E-2</v>
      </c>
      <c r="G32" s="123">
        <v>1.5889036485563033E-2</v>
      </c>
      <c r="H32" s="123">
        <v>1.4254260739290469E-2</v>
      </c>
      <c r="I32" s="123">
        <v>1.3478287621581974E-2</v>
      </c>
      <c r="J32" s="123">
        <v>1.3478287621581974E-2</v>
      </c>
      <c r="K32" s="123">
        <v>1.3469885406700565E-2</v>
      </c>
      <c r="L32" s="123">
        <v>1.3469885406700565E-2</v>
      </c>
      <c r="M32" s="123">
        <v>1.3469885406700565E-2</v>
      </c>
    </row>
    <row r="33" spans="1:23" x14ac:dyDescent="0.5">
      <c r="A33" s="17"/>
      <c r="B33" s="83" t="s">
        <v>271</v>
      </c>
      <c r="C33" s="28" t="s">
        <v>350</v>
      </c>
      <c r="D33" s="28"/>
      <c r="E33" s="63" t="s">
        <v>263</v>
      </c>
      <c r="F33" s="94"/>
      <c r="G33" s="159">
        <v>1.6256E-2</v>
      </c>
      <c r="H33" s="159">
        <v>1.4999999999999999E-2</v>
      </c>
      <c r="I33" s="159">
        <v>1.4999999999999999E-2</v>
      </c>
      <c r="J33" s="159">
        <v>1.4999999999999999E-2</v>
      </c>
      <c r="K33" s="159">
        <v>1.4999999999999999E-2</v>
      </c>
      <c r="L33" s="159">
        <v>1.4999999999999999E-2</v>
      </c>
      <c r="M33" s="159">
        <v>1.4999999999999999E-2</v>
      </c>
      <c r="N33" s="147"/>
      <c r="R33" s="147"/>
      <c r="S33" s="147"/>
      <c r="T33" s="146"/>
      <c r="U33" s="146"/>
      <c r="V33" s="146"/>
      <c r="W33" s="146"/>
    </row>
    <row r="34" spans="1:23" x14ac:dyDescent="0.5">
      <c r="A34" s="17"/>
      <c r="B34" s="83" t="s">
        <v>272</v>
      </c>
      <c r="C34" s="28" t="s">
        <v>350</v>
      </c>
      <c r="D34" s="28"/>
      <c r="E34" s="63" t="s">
        <v>263</v>
      </c>
      <c r="F34" s="94"/>
      <c r="G34" s="123">
        <v>0.23073623136795529</v>
      </c>
      <c r="H34" s="123">
        <v>0.23073623136795529</v>
      </c>
      <c r="I34" s="123">
        <v>0.22996025825024663</v>
      </c>
      <c r="J34" s="123">
        <v>0.22996025825024663</v>
      </c>
      <c r="K34" s="123">
        <v>0.22996025825024663</v>
      </c>
      <c r="L34" s="123">
        <v>0.22996025825024663</v>
      </c>
      <c r="M34" s="123">
        <v>0.22996025825024663</v>
      </c>
      <c r="N34" s="146"/>
    </row>
    <row r="35" spans="1:23" x14ac:dyDescent="0.5">
      <c r="A35" s="17"/>
      <c r="B35" s="83" t="s">
        <v>273</v>
      </c>
      <c r="C35" s="28" t="s">
        <v>350</v>
      </c>
      <c r="D35" s="28"/>
      <c r="E35" s="63" t="s">
        <v>274</v>
      </c>
      <c r="F35" s="94">
        <v>2.6211878170987173E-2</v>
      </c>
      <c r="G35" s="94"/>
      <c r="H35" s="94"/>
      <c r="I35" s="123">
        <v>2.7211878170987174E-2</v>
      </c>
      <c r="J35" s="123">
        <v>2.75E-2</v>
      </c>
      <c r="K35" s="123">
        <v>2.75E-2</v>
      </c>
      <c r="L35" s="123">
        <v>2.7799999999999998E-2</v>
      </c>
      <c r="M35" s="123">
        <v>2.7799999999999998E-2</v>
      </c>
    </row>
    <row r="36" spans="1:23" x14ac:dyDescent="0.5">
      <c r="A36" s="17"/>
      <c r="B36" s="8" t="s">
        <v>275</v>
      </c>
      <c r="C36" s="28" t="s">
        <v>313</v>
      </c>
      <c r="D36" s="28"/>
      <c r="E36" s="63" t="s">
        <v>276</v>
      </c>
      <c r="F36" s="122">
        <f>F10*F23</f>
        <v>65936940.409927882</v>
      </c>
      <c r="G36" s="122">
        <f>G10*G23</f>
        <v>66869046.825321324</v>
      </c>
      <c r="H36" s="122">
        <f t="shared" ref="H36:M36" si="2">H10*H23</f>
        <v>67473183.883617833</v>
      </c>
      <c r="I36" s="122">
        <f t="shared" si="2"/>
        <v>67855186.589420259</v>
      </c>
      <c r="J36" s="122">
        <f t="shared" si="2"/>
        <v>68654006.309127808</v>
      </c>
      <c r="K36" s="122">
        <f t="shared" si="2"/>
        <v>69517685.37047261</v>
      </c>
      <c r="L36" s="122">
        <f t="shared" si="2"/>
        <v>70340436.316999421</v>
      </c>
      <c r="M36" s="122">
        <f t="shared" si="2"/>
        <v>71084547.209845185</v>
      </c>
    </row>
    <row r="37" spans="1:23" x14ac:dyDescent="0.5">
      <c r="A37" s="17"/>
      <c r="B37" s="8" t="s">
        <v>268</v>
      </c>
      <c r="C37" s="28" t="s">
        <v>313</v>
      </c>
      <c r="D37" s="28"/>
      <c r="E37" s="63" t="s">
        <v>276</v>
      </c>
      <c r="F37" s="122">
        <f>F30*F36</f>
        <v>3161520.1469251504</v>
      </c>
      <c r="G37" s="122">
        <f>G30*G36</f>
        <v>3142845.2007901021</v>
      </c>
      <c r="H37" s="122">
        <f t="shared" ref="H37:M37" si="3">H30*H36</f>
        <v>3130695.042435972</v>
      </c>
      <c r="I37" s="122">
        <f t="shared" si="3"/>
        <v>3080564.4377977373</v>
      </c>
      <c r="J37" s="122">
        <f t="shared" si="3"/>
        <v>3116830.1345621212</v>
      </c>
      <c r="K37" s="122">
        <f t="shared" si="3"/>
        <v>3156624.4896286717</v>
      </c>
      <c r="L37" s="122">
        <f t="shared" si="3"/>
        <v>3193983.5554955974</v>
      </c>
      <c r="M37" s="122">
        <f t="shared" si="3"/>
        <v>3227771.7729087458</v>
      </c>
    </row>
    <row r="38" spans="1:23" x14ac:dyDescent="0.5">
      <c r="A38" s="17"/>
      <c r="B38" s="8" t="s">
        <v>277</v>
      </c>
      <c r="C38" s="28" t="s">
        <v>350</v>
      </c>
      <c r="D38" s="28"/>
      <c r="E38" s="63" t="s">
        <v>276</v>
      </c>
      <c r="F38" s="95">
        <v>0.30719322739379784</v>
      </c>
      <c r="G38" s="95">
        <v>0.31046855298794418</v>
      </c>
      <c r="H38" s="95">
        <v>0.30666530349081933</v>
      </c>
      <c r="I38" s="95">
        <v>0.30485469954949906</v>
      </c>
      <c r="J38" s="95">
        <v>0.30485469954949906</v>
      </c>
      <c r="K38" s="95">
        <v>0.30485469954949906</v>
      </c>
      <c r="L38" s="95">
        <v>0.30485469954949906</v>
      </c>
      <c r="M38" s="95">
        <v>0.30485469954949906</v>
      </c>
    </row>
    <row r="39" spans="1:23" x14ac:dyDescent="0.5">
      <c r="A39" s="17"/>
      <c r="B39" s="8" t="s">
        <v>278</v>
      </c>
      <c r="C39" s="28" t="s">
        <v>313</v>
      </c>
      <c r="D39" s="28"/>
      <c r="E39" s="63" t="s">
        <v>276</v>
      </c>
      <c r="F39" s="122">
        <f>F36*F25</f>
        <v>15125268.468558529</v>
      </c>
      <c r="G39" s="122">
        <f>G36*G25</f>
        <v>13306940.318238944</v>
      </c>
      <c r="H39" s="122">
        <f t="shared" ref="H39:M39" si="4">H36*H25</f>
        <v>13427163.592839949</v>
      </c>
      <c r="I39" s="122">
        <f t="shared" si="4"/>
        <v>13435326.944705212</v>
      </c>
      <c r="J39" s="122">
        <f t="shared" si="4"/>
        <v>13593493.249207307</v>
      </c>
      <c r="K39" s="122">
        <f>K36*K25</f>
        <v>13764501.703353578</v>
      </c>
      <c r="L39" s="122">
        <f t="shared" si="4"/>
        <v>13927406.390765887</v>
      </c>
      <c r="M39" s="122">
        <f t="shared" si="4"/>
        <v>14074740.347549347</v>
      </c>
    </row>
    <row r="40" spans="1:23" x14ac:dyDescent="0.5">
      <c r="A40" s="17"/>
      <c r="B40" s="8" t="s">
        <v>279</v>
      </c>
      <c r="C40" s="28" t="s">
        <v>351</v>
      </c>
      <c r="D40" s="28"/>
      <c r="E40" s="63" t="s">
        <v>280</v>
      </c>
      <c r="F40" s="164"/>
      <c r="G40" s="89"/>
      <c r="H40" s="89"/>
      <c r="I40" s="89"/>
      <c r="J40" s="89"/>
      <c r="K40" s="89"/>
      <c r="L40" s="89"/>
      <c r="M40" s="89"/>
    </row>
    <row r="41" spans="1:23" x14ac:dyDescent="0.5">
      <c r="A41" s="17"/>
      <c r="B41" s="8" t="s">
        <v>281</v>
      </c>
      <c r="C41" s="28" t="s">
        <v>351</v>
      </c>
      <c r="D41" s="28"/>
      <c r="E41" s="63" t="s">
        <v>280</v>
      </c>
      <c r="F41" s="18"/>
      <c r="G41" s="160"/>
      <c r="H41" s="160"/>
      <c r="I41" s="160"/>
      <c r="J41" s="160"/>
      <c r="K41" s="160"/>
      <c r="L41" s="160"/>
      <c r="M41" s="160"/>
    </row>
    <row r="42" spans="1:23" x14ac:dyDescent="0.5">
      <c r="A42" s="17"/>
      <c r="B42" s="8" t="s">
        <v>282</v>
      </c>
      <c r="C42" s="28" t="s">
        <v>351</v>
      </c>
      <c r="D42" s="28"/>
      <c r="E42" s="63" t="s">
        <v>280</v>
      </c>
      <c r="F42" s="18"/>
      <c r="G42" s="161"/>
      <c r="H42" s="161"/>
      <c r="I42" s="161"/>
      <c r="J42" s="161"/>
      <c r="K42" s="161"/>
      <c r="L42" s="161"/>
      <c r="M42" s="161"/>
    </row>
    <row r="43" spans="1:23" x14ac:dyDescent="0.5">
      <c r="A43" s="17"/>
      <c r="B43" s="8" t="s">
        <v>178</v>
      </c>
      <c r="C43" s="28" t="s">
        <v>351</v>
      </c>
      <c r="D43" s="28"/>
      <c r="E43" s="63" t="s">
        <v>280</v>
      </c>
      <c r="F43" s="18"/>
      <c r="G43" s="18"/>
      <c r="H43" s="18"/>
      <c r="I43" s="18"/>
      <c r="J43" s="18"/>
      <c r="K43" s="18"/>
      <c r="L43" s="18"/>
      <c r="M43" s="18"/>
    </row>
    <row r="44" spans="1:23" x14ac:dyDescent="0.5">
      <c r="A44" s="17"/>
      <c r="B44" s="8" t="s">
        <v>283</v>
      </c>
      <c r="C44" s="64" t="s">
        <v>349</v>
      </c>
      <c r="D44" s="64"/>
      <c r="E44" s="63" t="s">
        <v>284</v>
      </c>
      <c r="F44" s="135">
        <v>2667</v>
      </c>
      <c r="G44" s="135">
        <v>2573.4960000000001</v>
      </c>
      <c r="H44" s="135">
        <v>2499.9259999999999</v>
      </c>
      <c r="I44" s="135">
        <v>2440.299</v>
      </c>
      <c r="J44" s="135">
        <v>2390.422</v>
      </c>
      <c r="K44" s="135">
        <v>2347.366</v>
      </c>
      <c r="L44" s="135">
        <v>2309.0810000000001</v>
      </c>
      <c r="M44" s="135">
        <v>2274.1320000000001</v>
      </c>
    </row>
    <row r="45" spans="1:23" x14ac:dyDescent="0.5">
      <c r="A45" s="17"/>
      <c r="B45" s="8" t="s">
        <v>352</v>
      </c>
      <c r="C45" s="64" t="s">
        <v>349</v>
      </c>
      <c r="D45" s="64"/>
      <c r="E45" s="63" t="s">
        <v>284</v>
      </c>
      <c r="F45" s="164">
        <v>1785</v>
      </c>
      <c r="G45" s="164">
        <v>1785</v>
      </c>
      <c r="H45" s="164">
        <v>1785</v>
      </c>
      <c r="I45" s="164">
        <v>1633.0708661417323</v>
      </c>
      <c r="J45" s="135">
        <v>1494.073083384262</v>
      </c>
      <c r="K45" s="135">
        <v>1366.906008045594</v>
      </c>
      <c r="L45" s="135">
        <v>1250.5626770270901</v>
      </c>
      <c r="M45" s="135">
        <v>1144.1218342505063</v>
      </c>
    </row>
    <row r="46" spans="1:23" x14ac:dyDescent="0.5">
      <c r="A46" s="17"/>
      <c r="B46" s="8" t="s">
        <v>285</v>
      </c>
      <c r="C46" s="64" t="s">
        <v>349</v>
      </c>
      <c r="D46" s="64"/>
      <c r="E46" s="63" t="s">
        <v>284</v>
      </c>
      <c r="F46" s="122">
        <f t="shared" ref="F46:M46" si="5">SUM(F44:F45)</f>
        <v>4452</v>
      </c>
      <c r="G46" s="122">
        <f t="shared" si="5"/>
        <v>4358.4960000000001</v>
      </c>
      <c r="H46" s="122">
        <f t="shared" si="5"/>
        <v>4284.9259999999995</v>
      </c>
      <c r="I46" s="122">
        <f t="shared" si="5"/>
        <v>4073.369866141732</v>
      </c>
      <c r="J46" s="122">
        <f t="shared" si="5"/>
        <v>3884.4950833842622</v>
      </c>
      <c r="K46" s="122">
        <f t="shared" si="5"/>
        <v>3714.2720080455938</v>
      </c>
      <c r="L46" s="122">
        <f t="shared" si="5"/>
        <v>3559.6436770270902</v>
      </c>
      <c r="M46" s="122">
        <f t="shared" si="5"/>
        <v>3418.2538342505063</v>
      </c>
    </row>
    <row r="47" spans="1:23" x14ac:dyDescent="0.5">
      <c r="A47" s="17"/>
      <c r="B47" s="8" t="s">
        <v>287</v>
      </c>
      <c r="C47" s="64" t="s">
        <v>351</v>
      </c>
      <c r="D47" s="64"/>
      <c r="E47" s="63" t="s">
        <v>288</v>
      </c>
      <c r="F47" s="135">
        <v>1842249.6267599999</v>
      </c>
      <c r="G47" s="135">
        <v>1842249.6267599999</v>
      </c>
      <c r="H47" s="135">
        <v>1842249.6267599999</v>
      </c>
      <c r="I47" s="135">
        <v>1842249.6267599999</v>
      </c>
      <c r="J47" s="135">
        <v>1842249.6267599999</v>
      </c>
      <c r="K47" s="135">
        <v>1842249.6267599999</v>
      </c>
      <c r="L47" s="135">
        <v>1842249.6267599999</v>
      </c>
      <c r="M47" s="135">
        <v>1842249.6267599999</v>
      </c>
    </row>
    <row r="48" spans="1:23" x14ac:dyDescent="0.5">
      <c r="A48" s="17"/>
      <c r="B48" s="8" t="s">
        <v>289</v>
      </c>
      <c r="C48" s="64" t="s">
        <v>351</v>
      </c>
      <c r="D48" s="64"/>
      <c r="E48" s="63" t="s">
        <v>288</v>
      </c>
      <c r="F48" s="18"/>
      <c r="G48" s="18"/>
      <c r="H48" s="18"/>
      <c r="I48" s="18"/>
      <c r="J48" s="18"/>
      <c r="K48" s="18"/>
      <c r="L48" s="18"/>
      <c r="M48" s="18"/>
    </row>
    <row r="49" spans="1:13" x14ac:dyDescent="0.5">
      <c r="A49" s="17"/>
      <c r="B49" s="8" t="s">
        <v>290</v>
      </c>
      <c r="C49" s="64" t="s">
        <v>351</v>
      </c>
      <c r="D49" s="64"/>
      <c r="E49" s="63" t="s">
        <v>288</v>
      </c>
      <c r="F49" s="18"/>
      <c r="G49" s="18"/>
      <c r="H49" s="18"/>
      <c r="I49" s="18"/>
      <c r="J49" s="18"/>
      <c r="K49" s="18"/>
      <c r="L49" s="18"/>
      <c r="M49" s="18"/>
    </row>
    <row r="50" spans="1:13" x14ac:dyDescent="0.5">
      <c r="A50" s="17"/>
      <c r="B50" s="8" t="s">
        <v>291</v>
      </c>
      <c r="C50" s="64" t="s">
        <v>351</v>
      </c>
      <c r="D50" s="64"/>
      <c r="E50" s="63" t="s">
        <v>288</v>
      </c>
      <c r="F50" s="18"/>
      <c r="G50" s="18"/>
      <c r="H50" s="18"/>
      <c r="I50" s="18"/>
      <c r="J50" s="18"/>
      <c r="K50" s="18"/>
      <c r="L50" s="18"/>
      <c r="M50" s="18"/>
    </row>
    <row r="51" spans="1:13" x14ac:dyDescent="0.5">
      <c r="A51" s="17"/>
      <c r="B51" s="8" t="s">
        <v>292</v>
      </c>
      <c r="C51" s="64" t="s">
        <v>351</v>
      </c>
      <c r="D51" s="64"/>
      <c r="E51" s="63" t="s">
        <v>288</v>
      </c>
      <c r="F51" s="18"/>
      <c r="G51" s="18"/>
      <c r="H51" s="18"/>
      <c r="I51" s="18"/>
      <c r="J51" s="18"/>
      <c r="K51" s="18"/>
      <c r="L51" s="18"/>
      <c r="M51" s="18"/>
    </row>
    <row r="52" spans="1:13" x14ac:dyDescent="0.5">
      <c r="A52" s="17"/>
      <c r="B52" s="8" t="s">
        <v>293</v>
      </c>
      <c r="C52" s="64" t="s">
        <v>353</v>
      </c>
      <c r="D52" s="64"/>
      <c r="E52" s="63" t="s">
        <v>288</v>
      </c>
      <c r="F52" s="18"/>
      <c r="G52" s="18"/>
      <c r="H52" s="18"/>
      <c r="I52" s="18"/>
      <c r="J52" s="18"/>
      <c r="K52" s="18"/>
      <c r="L52" s="18"/>
      <c r="M52" s="18"/>
    </row>
    <row r="53" spans="1:13" x14ac:dyDescent="0.5">
      <c r="A53" s="17"/>
      <c r="B53" s="8" t="s">
        <v>294</v>
      </c>
      <c r="C53" s="64" t="s">
        <v>354</v>
      </c>
      <c r="D53" s="64"/>
      <c r="E53" s="63" t="s">
        <v>288</v>
      </c>
      <c r="F53" s="18"/>
      <c r="G53" s="18"/>
      <c r="H53" s="18"/>
      <c r="I53" s="18"/>
      <c r="J53" s="18"/>
      <c r="K53" s="18"/>
      <c r="L53" s="18"/>
      <c r="M53" s="18"/>
    </row>
    <row r="54" spans="1:13" x14ac:dyDescent="0.5">
      <c r="A54" s="17"/>
      <c r="B54" s="8" t="s">
        <v>295</v>
      </c>
      <c r="C54" s="64" t="s">
        <v>354</v>
      </c>
      <c r="D54" s="64"/>
      <c r="E54" s="63" t="s">
        <v>288</v>
      </c>
      <c r="F54" s="18"/>
      <c r="G54" s="18"/>
      <c r="H54" s="18"/>
      <c r="I54" s="18"/>
      <c r="J54" s="18"/>
      <c r="K54" s="18"/>
      <c r="L54" s="18"/>
      <c r="M54" s="18"/>
    </row>
    <row r="55" spans="1:13" ht="17.25" customHeight="1" x14ac:dyDescent="0.5">
      <c r="A55" s="17"/>
      <c r="B55" s="8" t="s">
        <v>296</v>
      </c>
      <c r="C55" s="62" t="s">
        <v>355</v>
      </c>
      <c r="D55" s="62"/>
      <c r="E55" s="63" t="s">
        <v>288</v>
      </c>
      <c r="F55" s="18"/>
      <c r="G55" s="18"/>
      <c r="H55" s="18"/>
      <c r="I55" s="18"/>
      <c r="J55" s="18"/>
      <c r="K55" s="18"/>
      <c r="L55" s="18"/>
      <c r="M55" s="18"/>
    </row>
    <row r="56" spans="1:13" ht="17.25" customHeight="1" x14ac:dyDescent="0.5">
      <c r="A56" s="17"/>
      <c r="B56" s="8" t="s">
        <v>297</v>
      </c>
      <c r="C56" s="62"/>
      <c r="D56" s="62"/>
      <c r="E56" s="63"/>
      <c r="F56" s="64">
        <v>0</v>
      </c>
      <c r="G56" s="64">
        <v>0</v>
      </c>
      <c r="H56" s="64">
        <v>0</v>
      </c>
      <c r="I56" s="64">
        <v>0</v>
      </c>
      <c r="J56" s="64">
        <v>0</v>
      </c>
      <c r="K56" s="64">
        <v>0</v>
      </c>
      <c r="L56" s="64">
        <v>0</v>
      </c>
      <c r="M56" s="64">
        <v>0</v>
      </c>
    </row>
    <row r="57" spans="1:13" x14ac:dyDescent="0.5">
      <c r="A57" s="17"/>
      <c r="B57" s="17"/>
      <c r="C57" s="17"/>
      <c r="E57" s="17"/>
      <c r="F57" s="17"/>
      <c r="G57" s="17"/>
      <c r="H57" s="17"/>
      <c r="I57" s="17"/>
      <c r="J57" s="17"/>
      <c r="K57" s="17"/>
      <c r="L57" s="17"/>
      <c r="M57" s="17"/>
    </row>
    <row r="58" spans="1:13" ht="19" thickBot="1" x14ac:dyDescent="0.55000000000000004">
      <c r="A58" s="14" t="s">
        <v>356</v>
      </c>
      <c r="B58" s="17"/>
      <c r="C58" s="36"/>
      <c r="D58" s="42"/>
      <c r="E58" s="17"/>
      <c r="F58" s="17"/>
      <c r="G58" s="17"/>
      <c r="H58" s="17"/>
      <c r="I58" s="17"/>
      <c r="J58" s="17"/>
      <c r="K58" s="17"/>
      <c r="L58" s="17"/>
      <c r="M58" s="36"/>
    </row>
    <row r="59" spans="1:13" ht="17" thickTop="1" x14ac:dyDescent="0.5">
      <c r="C59" s="42"/>
      <c r="D59" s="42"/>
      <c r="M59" s="42"/>
    </row>
    <row r="60" spans="1:13" ht="17" thickBot="1" x14ac:dyDescent="0.55000000000000004">
      <c r="B60" s="10" t="s">
        <v>72</v>
      </c>
      <c r="C60" s="11" t="s">
        <v>96</v>
      </c>
      <c r="D60" s="11"/>
      <c r="E60" s="11" t="s">
        <v>227</v>
      </c>
      <c r="F60" s="12">
        <v>2024</v>
      </c>
      <c r="G60" s="12">
        <v>2025</v>
      </c>
      <c r="H60" s="12">
        <v>2026</v>
      </c>
      <c r="I60" s="12">
        <v>2027</v>
      </c>
      <c r="J60" s="12">
        <v>2028</v>
      </c>
      <c r="K60" s="12">
        <v>2029</v>
      </c>
      <c r="L60" s="12">
        <v>2030</v>
      </c>
      <c r="M60" s="12">
        <v>2031</v>
      </c>
    </row>
    <row r="61" spans="1:13" x14ac:dyDescent="0.5">
      <c r="B61" s="8" t="s">
        <v>229</v>
      </c>
      <c r="C61" s="28" t="s">
        <v>350</v>
      </c>
      <c r="D61" s="28"/>
      <c r="E61" s="51" t="s">
        <v>230</v>
      </c>
      <c r="F61" s="64"/>
      <c r="G61" s="92">
        <f t="shared" ref="G61:M72" si="6">(G10-F10)/F10</f>
        <v>6.3696462378769183E-3</v>
      </c>
      <c r="H61" s="92">
        <f t="shared" si="6"/>
        <v>1.2770356954061359E-2</v>
      </c>
      <c r="I61" s="92">
        <f t="shared" si="6"/>
        <v>3.9933157113119641E-3</v>
      </c>
      <c r="J61" s="92">
        <f t="shared" si="6"/>
        <v>1.0088261866934258E-2</v>
      </c>
      <c r="K61" s="92">
        <f t="shared" si="6"/>
        <v>1.0983127466670689E-2</v>
      </c>
      <c r="L61" s="92">
        <f t="shared" si="6"/>
        <v>1.0588201065617545E-2</v>
      </c>
      <c r="M61" s="92">
        <f t="shared" si="6"/>
        <v>8.9700867311968344E-3</v>
      </c>
    </row>
    <row r="62" spans="1:13" x14ac:dyDescent="0.5">
      <c r="B62" s="8" t="s">
        <v>232</v>
      </c>
      <c r="C62" s="28" t="s">
        <v>350</v>
      </c>
      <c r="D62" s="28"/>
      <c r="E62" s="51" t="s">
        <v>230</v>
      </c>
      <c r="F62" s="64"/>
      <c r="G62" s="90">
        <f t="shared" si="6"/>
        <v>6.3696462378769027E-3</v>
      </c>
      <c r="H62" s="90">
        <f t="shared" si="6"/>
        <v>1.2770356954061337E-2</v>
      </c>
      <c r="I62" s="90">
        <f t="shared" si="6"/>
        <v>3.9933157113121089E-3</v>
      </c>
      <c r="J62" s="90">
        <f t="shared" si="6"/>
        <v>1.0088261866934109E-2</v>
      </c>
      <c r="K62" s="90">
        <f t="shared" si="6"/>
        <v>1.0983127466670729E-2</v>
      </c>
      <c r="L62" s="90">
        <f t="shared" si="6"/>
        <v>1.0588201065617557E-2</v>
      </c>
      <c r="M62" s="90">
        <f t="shared" si="6"/>
        <v>8.9700867311968205E-3</v>
      </c>
    </row>
    <row r="63" spans="1:13" x14ac:dyDescent="0.5">
      <c r="B63" s="8" t="s">
        <v>235</v>
      </c>
      <c r="C63" s="28" t="s">
        <v>350</v>
      </c>
      <c r="D63" s="28"/>
      <c r="E63" s="51" t="s">
        <v>230</v>
      </c>
      <c r="F63" s="64"/>
      <c r="G63" s="90" t="e">
        <f t="shared" si="6"/>
        <v>#DIV/0!</v>
      </c>
      <c r="H63" s="90" t="e">
        <f t="shared" si="6"/>
        <v>#DIV/0!</v>
      </c>
      <c r="I63" s="90" t="e">
        <f t="shared" si="6"/>
        <v>#DIV/0!</v>
      </c>
      <c r="J63" s="90" t="e">
        <f t="shared" si="6"/>
        <v>#DIV/0!</v>
      </c>
      <c r="K63" s="90" t="e">
        <f t="shared" si="6"/>
        <v>#DIV/0!</v>
      </c>
      <c r="L63" s="90" t="e">
        <f t="shared" si="6"/>
        <v>#DIV/0!</v>
      </c>
      <c r="M63" s="90" t="e">
        <f t="shared" si="6"/>
        <v>#DIV/0!</v>
      </c>
    </row>
    <row r="64" spans="1:13" x14ac:dyDescent="0.5">
      <c r="B64" s="8" t="s">
        <v>238</v>
      </c>
      <c r="C64" s="28" t="s">
        <v>350</v>
      </c>
      <c r="D64" s="28"/>
      <c r="E64" s="51" t="s">
        <v>230</v>
      </c>
      <c r="F64" s="64"/>
      <c r="G64" s="90" t="e">
        <f t="shared" si="6"/>
        <v>#DIV/0!</v>
      </c>
      <c r="H64" s="90" t="e">
        <f t="shared" si="6"/>
        <v>#DIV/0!</v>
      </c>
      <c r="I64" s="90" t="e">
        <f t="shared" si="6"/>
        <v>#DIV/0!</v>
      </c>
      <c r="J64" s="90" t="e">
        <f t="shared" si="6"/>
        <v>#DIV/0!</v>
      </c>
      <c r="K64" s="90" t="e">
        <f t="shared" si="6"/>
        <v>#DIV/0!</v>
      </c>
      <c r="L64" s="90" t="e">
        <f t="shared" si="6"/>
        <v>#DIV/0!</v>
      </c>
      <c r="M64" s="90" t="e">
        <f t="shared" si="6"/>
        <v>#DIV/0!</v>
      </c>
    </row>
    <row r="65" spans="2:13" x14ac:dyDescent="0.5">
      <c r="B65" s="8" t="s">
        <v>241</v>
      </c>
      <c r="C65" s="28" t="s">
        <v>350</v>
      </c>
      <c r="D65" s="28"/>
      <c r="E65" s="51" t="s">
        <v>230</v>
      </c>
      <c r="F65" s="64"/>
      <c r="G65" s="90" t="e">
        <f t="shared" si="6"/>
        <v>#DIV/0!</v>
      </c>
      <c r="H65" s="90" t="e">
        <f t="shared" si="6"/>
        <v>#DIV/0!</v>
      </c>
      <c r="I65" s="90" t="e">
        <f t="shared" si="6"/>
        <v>#DIV/0!</v>
      </c>
      <c r="J65" s="90" t="e">
        <f t="shared" si="6"/>
        <v>#DIV/0!</v>
      </c>
      <c r="K65" s="90" t="e">
        <f t="shared" si="6"/>
        <v>#DIV/0!</v>
      </c>
      <c r="L65" s="90" t="e">
        <f t="shared" si="6"/>
        <v>#DIV/0!</v>
      </c>
      <c r="M65" s="90" t="e">
        <f t="shared" si="6"/>
        <v>#DIV/0!</v>
      </c>
    </row>
    <row r="66" spans="2:13" x14ac:dyDescent="0.5">
      <c r="B66" s="8" t="s">
        <v>243</v>
      </c>
      <c r="C66" s="28" t="s">
        <v>350</v>
      </c>
      <c r="D66" s="28"/>
      <c r="E66" s="51" t="s">
        <v>230</v>
      </c>
      <c r="F66" s="64"/>
      <c r="G66" s="90" t="e">
        <f t="shared" si="6"/>
        <v>#DIV/0!</v>
      </c>
      <c r="H66" s="90" t="e">
        <f t="shared" si="6"/>
        <v>#DIV/0!</v>
      </c>
      <c r="I66" s="90" t="e">
        <f t="shared" si="6"/>
        <v>#DIV/0!</v>
      </c>
      <c r="J66" s="90" t="e">
        <f t="shared" si="6"/>
        <v>#DIV/0!</v>
      </c>
      <c r="K66" s="90" t="e">
        <f t="shared" si="6"/>
        <v>#DIV/0!</v>
      </c>
      <c r="L66" s="90" t="e">
        <f t="shared" si="6"/>
        <v>#DIV/0!</v>
      </c>
      <c r="M66" s="90" t="e">
        <f t="shared" si="6"/>
        <v>#DIV/0!</v>
      </c>
    </row>
    <row r="67" spans="2:13" x14ac:dyDescent="0.5">
      <c r="B67" s="8" t="s">
        <v>246</v>
      </c>
      <c r="C67" s="28" t="s">
        <v>350</v>
      </c>
      <c r="D67" s="28"/>
      <c r="E67" s="51" t="s">
        <v>230</v>
      </c>
      <c r="F67" s="64"/>
      <c r="G67" s="90" t="e">
        <f t="shared" si="6"/>
        <v>#DIV/0!</v>
      </c>
      <c r="H67" s="90" t="e">
        <f t="shared" si="6"/>
        <v>#DIV/0!</v>
      </c>
      <c r="I67" s="90" t="e">
        <f t="shared" si="6"/>
        <v>#DIV/0!</v>
      </c>
      <c r="J67" s="90" t="e">
        <f t="shared" si="6"/>
        <v>#DIV/0!</v>
      </c>
      <c r="K67" s="90" t="e">
        <f t="shared" si="6"/>
        <v>#DIV/0!</v>
      </c>
      <c r="L67" s="90" t="e">
        <f t="shared" si="6"/>
        <v>#DIV/0!</v>
      </c>
      <c r="M67" s="90" t="e">
        <f t="shared" si="6"/>
        <v>#DIV/0!</v>
      </c>
    </row>
    <row r="68" spans="2:13" x14ac:dyDescent="0.5">
      <c r="B68" s="8" t="s">
        <v>249</v>
      </c>
      <c r="C68" s="28" t="s">
        <v>350</v>
      </c>
      <c r="D68" s="28"/>
      <c r="E68" s="51" t="s">
        <v>230</v>
      </c>
      <c r="F68" s="64"/>
      <c r="G68" s="90" t="e">
        <f t="shared" si="6"/>
        <v>#DIV/0!</v>
      </c>
      <c r="H68" s="90" t="e">
        <f t="shared" si="6"/>
        <v>#DIV/0!</v>
      </c>
      <c r="I68" s="90" t="e">
        <f t="shared" si="6"/>
        <v>#DIV/0!</v>
      </c>
      <c r="J68" s="90" t="e">
        <f t="shared" si="6"/>
        <v>#DIV/0!</v>
      </c>
      <c r="K68" s="90" t="e">
        <f t="shared" si="6"/>
        <v>#DIV/0!</v>
      </c>
      <c r="L68" s="90" t="e">
        <f t="shared" si="6"/>
        <v>#DIV/0!</v>
      </c>
      <c r="M68" s="90" t="e">
        <f t="shared" si="6"/>
        <v>#DIV/0!</v>
      </c>
    </row>
    <row r="69" spans="2:13" x14ac:dyDescent="0.5">
      <c r="B69" s="8" t="s">
        <v>252</v>
      </c>
      <c r="C69" s="28" t="s">
        <v>350</v>
      </c>
      <c r="D69" s="28"/>
      <c r="E69" s="51" t="s">
        <v>230</v>
      </c>
      <c r="F69" s="64"/>
      <c r="G69" s="90" t="e">
        <f t="shared" si="6"/>
        <v>#DIV/0!</v>
      </c>
      <c r="H69" s="90" t="e">
        <f t="shared" si="6"/>
        <v>#DIV/0!</v>
      </c>
      <c r="I69" s="90" t="e">
        <f t="shared" si="6"/>
        <v>#DIV/0!</v>
      </c>
      <c r="J69" s="90" t="e">
        <f t="shared" si="6"/>
        <v>#DIV/0!</v>
      </c>
      <c r="K69" s="90" t="e">
        <f t="shared" si="6"/>
        <v>#DIV/0!</v>
      </c>
      <c r="L69" s="90" t="e">
        <f t="shared" si="6"/>
        <v>#DIV/0!</v>
      </c>
      <c r="M69" s="90" t="e">
        <f t="shared" si="6"/>
        <v>#DIV/0!</v>
      </c>
    </row>
    <row r="70" spans="2:13" x14ac:dyDescent="0.5">
      <c r="B70" s="8" t="s">
        <v>255</v>
      </c>
      <c r="C70" s="28" t="s">
        <v>350</v>
      </c>
      <c r="D70" s="28"/>
      <c r="E70" s="51" t="s">
        <v>230</v>
      </c>
      <c r="F70" s="64"/>
      <c r="G70" s="90" t="e">
        <f t="shared" si="6"/>
        <v>#DIV/0!</v>
      </c>
      <c r="H70" s="90" t="e">
        <f t="shared" si="6"/>
        <v>#DIV/0!</v>
      </c>
      <c r="I70" s="90" t="e">
        <f t="shared" si="6"/>
        <v>#DIV/0!</v>
      </c>
      <c r="J70" s="90" t="e">
        <f t="shared" si="6"/>
        <v>#DIV/0!</v>
      </c>
      <c r="K70" s="90" t="e">
        <f t="shared" si="6"/>
        <v>#DIV/0!</v>
      </c>
      <c r="L70" s="90" t="e">
        <f t="shared" si="6"/>
        <v>#DIV/0!</v>
      </c>
      <c r="M70" s="90" t="e">
        <f t="shared" si="6"/>
        <v>#DIV/0!</v>
      </c>
    </row>
    <row r="71" spans="2:13" x14ac:dyDescent="0.5">
      <c r="B71" s="8" t="s">
        <v>257</v>
      </c>
      <c r="C71" s="28" t="s">
        <v>350</v>
      </c>
      <c r="D71" s="28"/>
      <c r="E71" s="51" t="s">
        <v>230</v>
      </c>
      <c r="F71" s="64"/>
      <c r="G71" s="90" t="e">
        <f t="shared" si="6"/>
        <v>#DIV/0!</v>
      </c>
      <c r="H71" s="90" t="e">
        <f t="shared" si="6"/>
        <v>#DIV/0!</v>
      </c>
      <c r="I71" s="90" t="e">
        <f t="shared" si="6"/>
        <v>#DIV/0!</v>
      </c>
      <c r="J71" s="90" t="e">
        <f t="shared" si="6"/>
        <v>#DIV/0!</v>
      </c>
      <c r="K71" s="90" t="e">
        <f t="shared" si="6"/>
        <v>#DIV/0!</v>
      </c>
      <c r="L71" s="90" t="e">
        <f t="shared" si="6"/>
        <v>#DIV/0!</v>
      </c>
      <c r="M71" s="90" t="e">
        <f t="shared" si="6"/>
        <v>#DIV/0!</v>
      </c>
    </row>
    <row r="72" spans="2:13" x14ac:dyDescent="0.5">
      <c r="B72" s="8" t="s">
        <v>258</v>
      </c>
      <c r="C72" s="28" t="s">
        <v>350</v>
      </c>
      <c r="D72" s="28"/>
      <c r="E72" s="51" t="s">
        <v>230</v>
      </c>
      <c r="F72" s="64"/>
      <c r="G72" s="90" t="e">
        <f t="shared" si="6"/>
        <v>#DIV/0!</v>
      </c>
      <c r="H72" s="90" t="e">
        <f t="shared" si="6"/>
        <v>#DIV/0!</v>
      </c>
      <c r="I72" s="90" t="e">
        <f t="shared" si="6"/>
        <v>#DIV/0!</v>
      </c>
      <c r="J72" s="90" t="e">
        <f t="shared" si="6"/>
        <v>#DIV/0!</v>
      </c>
      <c r="K72" s="90" t="e">
        <f t="shared" si="6"/>
        <v>#DIV/0!</v>
      </c>
      <c r="L72" s="90" t="e">
        <f t="shared" si="6"/>
        <v>#DIV/0!</v>
      </c>
      <c r="M72" s="90" t="e">
        <f t="shared" si="6"/>
        <v>#DIV/0!</v>
      </c>
    </row>
    <row r="73" spans="2:13" x14ac:dyDescent="0.5">
      <c r="B73" s="8" t="s">
        <v>307</v>
      </c>
      <c r="C73" s="28" t="s">
        <v>350</v>
      </c>
      <c r="D73" s="28"/>
      <c r="E73" s="51" t="s">
        <v>230</v>
      </c>
      <c r="F73" s="64"/>
      <c r="G73" s="107">
        <f>(G22*G10-F22*F10)/(F22*F10)</f>
        <v>-9.4267318385910681E-2</v>
      </c>
      <c r="H73" s="107">
        <f t="shared" ref="H73:M73" si="7">(H22*H10-G22*G10)/(G22*G10)</f>
        <v>-8.8506678741344894E-2</v>
      </c>
      <c r="I73" s="90">
        <f t="shared" si="7"/>
        <v>-9.6406015859819102E-2</v>
      </c>
      <c r="J73" s="90">
        <f t="shared" si="7"/>
        <v>-9.0920564319759131E-2</v>
      </c>
      <c r="K73" s="90">
        <f t="shared" si="7"/>
        <v>-9.0115185279996277E-2</v>
      </c>
      <c r="L73" s="90">
        <f t="shared" si="7"/>
        <v>-9.0470619040944111E-2</v>
      </c>
      <c r="M73" s="90">
        <f t="shared" si="7"/>
        <v>-9.1926921941922909E-2</v>
      </c>
    </row>
    <row r="74" spans="2:13" x14ac:dyDescent="0.5">
      <c r="B74" s="8" t="s">
        <v>260</v>
      </c>
      <c r="C74" s="28" t="s">
        <v>350</v>
      </c>
      <c r="D74" s="28"/>
      <c r="E74" s="63" t="s">
        <v>261</v>
      </c>
      <c r="F74" s="8"/>
      <c r="G74" s="92">
        <f>(G23*G$10-F23*F$10)/(F23*F$10)</f>
        <v>1.4136331009576205E-2</v>
      </c>
      <c r="H74" s="92">
        <f t="shared" ref="H74:M74" si="8">(H23*H$10-G23*G$10)/(G23*G$10)</f>
        <v>9.0346294283910784E-3</v>
      </c>
      <c r="I74" s="92">
        <f t="shared" si="8"/>
        <v>5.6615485414372776E-3</v>
      </c>
      <c r="J74" s="92">
        <f t="shared" si="8"/>
        <v>1.1772419469436662E-2</v>
      </c>
      <c r="K74" s="92">
        <f t="shared" si="8"/>
        <v>1.2580169865920454E-2</v>
      </c>
      <c r="L74" s="92">
        <f t="shared" si="8"/>
        <v>1.1835131479740996E-2</v>
      </c>
      <c r="M74" s="92">
        <f t="shared" si="8"/>
        <v>1.0578707380948288E-2</v>
      </c>
    </row>
    <row r="75" spans="2:13" x14ac:dyDescent="0.5">
      <c r="B75" s="83" t="s">
        <v>262</v>
      </c>
      <c r="C75" s="28" t="s">
        <v>350</v>
      </c>
      <c r="D75" s="28"/>
      <c r="E75" s="63" t="s">
        <v>263</v>
      </c>
      <c r="F75" s="8"/>
      <c r="G75" s="92" t="e">
        <f t="shared" ref="G75:M84" si="9">(G24*G$36-F24*F$36)/(F24*F$36)</f>
        <v>#DIV/0!</v>
      </c>
      <c r="H75" s="92">
        <f t="shared" si="9"/>
        <v>-4.4849289908989523E-2</v>
      </c>
      <c r="I75" s="92">
        <f t="shared" si="9"/>
        <v>-1.7382195741109673E-2</v>
      </c>
      <c r="J75" s="92">
        <f t="shared" si="9"/>
        <v>1.1772419469436645E-2</v>
      </c>
      <c r="K75" s="92">
        <f t="shared" si="9"/>
        <v>1.2580169865920473E-2</v>
      </c>
      <c r="L75" s="92">
        <f t="shared" si="9"/>
        <v>1.1835131479741065E-2</v>
      </c>
      <c r="M75" s="92">
        <f t="shared" si="9"/>
        <v>1.0578707380948267E-2</v>
      </c>
    </row>
    <row r="76" spans="2:13" x14ac:dyDescent="0.5">
      <c r="B76" s="83" t="s">
        <v>264</v>
      </c>
      <c r="C76" s="28" t="s">
        <v>350</v>
      </c>
      <c r="D76" s="28"/>
      <c r="E76" s="63" t="s">
        <v>263</v>
      </c>
      <c r="F76" s="8"/>
      <c r="G76" s="92">
        <f t="shared" si="9"/>
        <v>-0.12021790912997105</v>
      </c>
      <c r="H76" s="92">
        <f t="shared" si="9"/>
        <v>9.0346294283910576E-3</v>
      </c>
      <c r="I76" s="92">
        <f t="shared" si="9"/>
        <v>6.0797292062612343E-4</v>
      </c>
      <c r="J76" s="92">
        <f t="shared" si="9"/>
        <v>1.1772419469436628E-2</v>
      </c>
      <c r="K76" s="92">
        <f t="shared" si="9"/>
        <v>1.2580169865920504E-2</v>
      </c>
      <c r="L76" s="92">
        <f t="shared" si="9"/>
        <v>1.1835131479740999E-2</v>
      </c>
      <c r="M76" s="92">
        <f t="shared" si="9"/>
        <v>1.0578707380948217E-2</v>
      </c>
    </row>
    <row r="77" spans="2:13" x14ac:dyDescent="0.5">
      <c r="B77" s="83" t="s">
        <v>202</v>
      </c>
      <c r="C77" s="28" t="s">
        <v>350</v>
      </c>
      <c r="D77" s="28"/>
      <c r="E77" s="63" t="s">
        <v>263</v>
      </c>
      <c r="F77" s="8"/>
      <c r="G77" s="92" t="e">
        <f t="shared" si="9"/>
        <v>#DIV/0!</v>
      </c>
      <c r="H77" s="92">
        <f t="shared" si="9"/>
        <v>9.0346294283910385E-3</v>
      </c>
      <c r="I77" s="92">
        <f t="shared" si="9"/>
        <v>5.6615485414374181E-3</v>
      </c>
      <c r="J77" s="92">
        <f t="shared" si="9"/>
        <v>1.1772419469436662E-2</v>
      </c>
      <c r="K77" s="92">
        <f t="shared" si="9"/>
        <v>1.258016986592044E-2</v>
      </c>
      <c r="L77" s="92">
        <f t="shared" si="9"/>
        <v>1.1835131479740951E-2</v>
      </c>
      <c r="M77" s="92">
        <f t="shared" si="9"/>
        <v>1.0578707380948368E-2</v>
      </c>
    </row>
    <row r="78" spans="2:13" x14ac:dyDescent="0.5">
      <c r="B78" s="83" t="s">
        <v>265</v>
      </c>
      <c r="C78" s="28" t="s">
        <v>350</v>
      </c>
      <c r="D78" s="28"/>
      <c r="E78" s="63" t="s">
        <v>263</v>
      </c>
      <c r="F78" s="8"/>
      <c r="G78" s="92">
        <f t="shared" si="9"/>
        <v>0.20707419407573768</v>
      </c>
      <c r="H78" s="92">
        <f t="shared" si="9"/>
        <v>9.0346294283911339E-3</v>
      </c>
      <c r="I78" s="92">
        <f t="shared" si="9"/>
        <v>5.6615485414372229E-3</v>
      </c>
      <c r="J78" s="92">
        <f t="shared" si="9"/>
        <v>1.1772419469436713E-2</v>
      </c>
      <c r="K78" s="92">
        <f t="shared" si="9"/>
        <v>1.2580169865920459E-2</v>
      </c>
      <c r="L78" s="92">
        <f t="shared" si="9"/>
        <v>1.1835131479740992E-2</v>
      </c>
      <c r="M78" s="92">
        <f t="shared" si="9"/>
        <v>1.05787073809483E-2</v>
      </c>
    </row>
    <row r="79" spans="2:13" x14ac:dyDescent="0.5">
      <c r="B79" s="83" t="s">
        <v>266</v>
      </c>
      <c r="C79" s="28" t="s">
        <v>350</v>
      </c>
      <c r="D79" s="28"/>
      <c r="E79" s="63" t="s">
        <v>263</v>
      </c>
      <c r="F79" s="8"/>
      <c r="G79" s="92">
        <f t="shared" si="9"/>
        <v>-8.1480508010597266E-2</v>
      </c>
      <c r="H79" s="92">
        <f t="shared" si="9"/>
        <v>1.679643427014808E-2</v>
      </c>
      <c r="I79" s="92">
        <f t="shared" si="9"/>
        <v>2.1015159969550792E-2</v>
      </c>
      <c r="J79" s="92">
        <f t="shared" si="9"/>
        <v>1.1772419469436702E-2</v>
      </c>
      <c r="K79" s="92">
        <f t="shared" si="9"/>
        <v>1.2580169865920473E-2</v>
      </c>
      <c r="L79" s="92">
        <f t="shared" si="9"/>
        <v>1.1835131479740855E-2</v>
      </c>
      <c r="M79" s="92">
        <f t="shared" si="9"/>
        <v>1.0578707380948304E-2</v>
      </c>
    </row>
    <row r="80" spans="2:13" x14ac:dyDescent="0.5">
      <c r="B80" s="83" t="s">
        <v>267</v>
      </c>
      <c r="C80" s="28" t="s">
        <v>350</v>
      </c>
      <c r="D80" s="28"/>
      <c r="E80" s="63" t="s">
        <v>263</v>
      </c>
      <c r="F80" s="8"/>
      <c r="G80" s="92">
        <f t="shared" si="9"/>
        <v>-0.11356264398377283</v>
      </c>
      <c r="H80" s="92">
        <f t="shared" si="9"/>
        <v>9.0346294283911149E-3</v>
      </c>
      <c r="I80" s="92">
        <f t="shared" si="9"/>
        <v>5.6615485414371882E-3</v>
      </c>
      <c r="J80" s="92">
        <f t="shared" si="9"/>
        <v>1.1772419469436593E-2</v>
      </c>
      <c r="K80" s="92">
        <f t="shared" si="9"/>
        <v>1.2580169865920462E-2</v>
      </c>
      <c r="L80" s="92">
        <f t="shared" si="9"/>
        <v>1.1835131479741101E-2</v>
      </c>
      <c r="M80" s="92">
        <f t="shared" si="9"/>
        <v>1.0578707380948302E-2</v>
      </c>
    </row>
    <row r="81" spans="1:13" x14ac:dyDescent="0.5">
      <c r="B81" s="83" t="s">
        <v>268</v>
      </c>
      <c r="C81" s="28" t="s">
        <v>350</v>
      </c>
      <c r="D81" s="28"/>
      <c r="E81" s="63" t="s">
        <v>263</v>
      </c>
      <c r="F81" s="8"/>
      <c r="G81" s="92">
        <f t="shared" si="9"/>
        <v>-5.90695148762891E-3</v>
      </c>
      <c r="H81" s="92">
        <f t="shared" si="9"/>
        <v>-3.8659741660440651E-3</v>
      </c>
      <c r="I81" s="92">
        <f t="shared" si="9"/>
        <v>-1.6012611882896276E-2</v>
      </c>
      <c r="J81" s="92">
        <f t="shared" si="9"/>
        <v>1.1772419469436546E-2</v>
      </c>
      <c r="K81" s="92">
        <f t="shared" si="9"/>
        <v>1.2767572613366394E-2</v>
      </c>
      <c r="L81" s="92">
        <f t="shared" si="9"/>
        <v>1.183513147974103E-2</v>
      </c>
      <c r="M81" s="92">
        <f t="shared" si="9"/>
        <v>1.0578707380948177E-2</v>
      </c>
    </row>
    <row r="82" spans="1:13" x14ac:dyDescent="0.5">
      <c r="B82" s="83" t="s">
        <v>269</v>
      </c>
      <c r="C82" s="28" t="s">
        <v>350</v>
      </c>
      <c r="D82" s="28"/>
      <c r="E82" s="63" t="s">
        <v>263</v>
      </c>
      <c r="F82" s="8"/>
      <c r="G82" s="92">
        <f t="shared" si="9"/>
        <v>0.20753909895276687</v>
      </c>
      <c r="H82" s="92">
        <f t="shared" si="9"/>
        <v>3.984947503932354E-2</v>
      </c>
      <c r="I82" s="92">
        <f t="shared" si="9"/>
        <v>2.095934635488729E-2</v>
      </c>
      <c r="J82" s="92">
        <f t="shared" si="9"/>
        <v>1.1772419469436753E-2</v>
      </c>
      <c r="K82" s="92">
        <f t="shared" si="9"/>
        <v>1.2580169865920343E-2</v>
      </c>
      <c r="L82" s="92">
        <f t="shared" si="9"/>
        <v>1.183513147974102E-2</v>
      </c>
      <c r="M82" s="92">
        <f t="shared" si="9"/>
        <v>1.0578707380948285E-2</v>
      </c>
    </row>
    <row r="83" spans="1:13" x14ac:dyDescent="0.5">
      <c r="B83" s="83" t="s">
        <v>270</v>
      </c>
      <c r="C83" s="28" t="s">
        <v>350</v>
      </c>
      <c r="D83" s="28"/>
      <c r="E83" s="63" t="s">
        <v>263</v>
      </c>
      <c r="F83" s="8"/>
      <c r="G83" s="92">
        <f t="shared" si="9"/>
        <v>0.42248044858911499</v>
      </c>
      <c r="H83" s="92">
        <f t="shared" si="9"/>
        <v>-9.4781945027678338E-2</v>
      </c>
      <c r="I83" s="92">
        <f t="shared" si="9"/>
        <v>-4.9084631667701724E-2</v>
      </c>
      <c r="J83" s="92">
        <f t="shared" si="9"/>
        <v>1.1772419469436685E-2</v>
      </c>
      <c r="K83" s="92">
        <f t="shared" si="9"/>
        <v>1.1948938628634418E-2</v>
      </c>
      <c r="L83" s="92">
        <f t="shared" si="9"/>
        <v>1.1835131479741006E-2</v>
      </c>
      <c r="M83" s="92">
        <f t="shared" si="9"/>
        <v>1.0578707380948295E-2</v>
      </c>
    </row>
    <row r="84" spans="1:13" x14ac:dyDescent="0.5">
      <c r="B84" s="83" t="s">
        <v>271</v>
      </c>
      <c r="C84" s="28" t="s">
        <v>350</v>
      </c>
      <c r="D84" s="28"/>
      <c r="E84" s="63" t="s">
        <v>263</v>
      </c>
      <c r="F84" s="8"/>
      <c r="G84" s="92" t="e">
        <f t="shared" si="9"/>
        <v>#DIV/0!</v>
      </c>
      <c r="H84" s="92">
        <f t="shared" si="9"/>
        <v>-6.8927199715436371E-2</v>
      </c>
      <c r="I84" s="92">
        <f t="shared" si="9"/>
        <v>5.6615485414371804E-3</v>
      </c>
      <c r="J84" s="92">
        <f t="shared" si="9"/>
        <v>1.1772419469436751E-2</v>
      </c>
      <c r="K84" s="92">
        <f t="shared" si="9"/>
        <v>1.258016986592044E-2</v>
      </c>
      <c r="L84" s="92">
        <f t="shared" si="9"/>
        <v>1.183513147974101E-2</v>
      </c>
      <c r="M84" s="92">
        <f t="shared" si="9"/>
        <v>1.0578707380948332E-2</v>
      </c>
    </row>
    <row r="85" spans="1:13" x14ac:dyDescent="0.5">
      <c r="B85" s="83" t="s">
        <v>272</v>
      </c>
      <c r="C85" s="28" t="s">
        <v>350</v>
      </c>
      <c r="D85" s="28"/>
      <c r="E85" s="63" t="s">
        <v>263</v>
      </c>
      <c r="F85" s="8"/>
      <c r="G85" s="92" t="e">
        <f>(G34*G$36-F34*F$36)/(F34*F$36)</f>
        <v>#DIV/0!</v>
      </c>
      <c r="H85" s="92">
        <f t="shared" ref="H85:M85" si="10">(H34*H$36-G34*G$36)/(G34*G$36)</f>
        <v>9.0346294283911027E-3</v>
      </c>
      <c r="I85" s="92">
        <f t="shared" si="10"/>
        <v>2.2794774962664119E-3</v>
      </c>
      <c r="J85" s="92">
        <f t="shared" si="10"/>
        <v>1.1772419469436576E-2</v>
      </c>
      <c r="K85" s="92">
        <f t="shared" si="10"/>
        <v>1.2580169865920489E-2</v>
      </c>
      <c r="L85" s="92">
        <f t="shared" si="10"/>
        <v>1.1835131479740975E-2</v>
      </c>
      <c r="M85" s="92">
        <f t="shared" si="10"/>
        <v>1.0578707380948274E-2</v>
      </c>
    </row>
    <row r="86" spans="1:13" x14ac:dyDescent="0.5">
      <c r="A86" s="17"/>
      <c r="B86" s="83" t="s">
        <v>273</v>
      </c>
      <c r="C86" s="28" t="s">
        <v>350</v>
      </c>
      <c r="D86" s="28"/>
      <c r="E86" s="63" t="s">
        <v>274</v>
      </c>
      <c r="F86" s="8"/>
      <c r="G86" s="92">
        <f t="shared" ref="G86:M86" si="11">(G35*G$10-F35*F$10)/(F35*F$10)</f>
        <v>-1</v>
      </c>
      <c r="H86" s="92" t="e">
        <f t="shared" si="11"/>
        <v>#DIV/0!</v>
      </c>
      <c r="I86" s="92" t="e">
        <f t="shared" si="11"/>
        <v>#DIV/0!</v>
      </c>
      <c r="J86" s="92">
        <f t="shared" si="11"/>
        <v>2.0783167806347917E-2</v>
      </c>
      <c r="K86" s="92">
        <f t="shared" si="11"/>
        <v>1.0983127466670571E-2</v>
      </c>
      <c r="L86" s="92">
        <f t="shared" si="11"/>
        <v>2.161279962269691E-2</v>
      </c>
      <c r="M86" s="92">
        <f t="shared" si="11"/>
        <v>8.9700867311969402E-3</v>
      </c>
    </row>
    <row r="87" spans="1:13" x14ac:dyDescent="0.5">
      <c r="B87" s="8" t="s">
        <v>275</v>
      </c>
      <c r="C87" s="28" t="s">
        <v>350</v>
      </c>
      <c r="D87" s="28"/>
      <c r="E87" s="63" t="s">
        <v>276</v>
      </c>
      <c r="F87" s="8"/>
      <c r="G87" s="107">
        <f t="shared" ref="G87:M90" si="12">(G36-F36)/F36</f>
        <v>1.4136331009576205E-2</v>
      </c>
      <c r="H87" s="107">
        <f t="shared" si="12"/>
        <v>9.0346294283910784E-3</v>
      </c>
      <c r="I87" s="107">
        <f t="shared" si="12"/>
        <v>5.6615485414372776E-3</v>
      </c>
      <c r="J87" s="107">
        <f t="shared" si="12"/>
        <v>1.1772419469436662E-2</v>
      </c>
      <c r="K87" s="107">
        <f t="shared" si="12"/>
        <v>1.2580169865920454E-2</v>
      </c>
      <c r="L87" s="107">
        <f t="shared" si="12"/>
        <v>1.1835131479740996E-2</v>
      </c>
      <c r="M87" s="107">
        <f t="shared" si="12"/>
        <v>1.0578707380948288E-2</v>
      </c>
    </row>
    <row r="88" spans="1:13" x14ac:dyDescent="0.5">
      <c r="B88" s="8" t="s">
        <v>268</v>
      </c>
      <c r="C88" s="28" t="s">
        <v>350</v>
      </c>
      <c r="D88" s="28"/>
      <c r="E88" s="63" t="s">
        <v>276</v>
      </c>
      <c r="F88" s="8"/>
      <c r="G88" s="107">
        <f t="shared" si="12"/>
        <v>-5.90695148762891E-3</v>
      </c>
      <c r="H88" s="107">
        <f t="shared" si="12"/>
        <v>-3.8659741660440651E-3</v>
      </c>
      <c r="I88" s="107">
        <f t="shared" si="12"/>
        <v>-1.6012611882896276E-2</v>
      </c>
      <c r="J88" s="107">
        <f t="shared" si="12"/>
        <v>1.1772419469436546E-2</v>
      </c>
      <c r="K88" s="107">
        <f t="shared" si="12"/>
        <v>1.2767572613366394E-2</v>
      </c>
      <c r="L88" s="107">
        <f t="shared" si="12"/>
        <v>1.183513147974103E-2</v>
      </c>
      <c r="M88" s="107">
        <f t="shared" si="12"/>
        <v>1.0578707380948177E-2</v>
      </c>
    </row>
    <row r="89" spans="1:13" x14ac:dyDescent="0.5">
      <c r="B89" s="8" t="s">
        <v>277</v>
      </c>
      <c r="C89" s="28" t="s">
        <v>350</v>
      </c>
      <c r="D89" s="28"/>
      <c r="E89" s="63" t="s">
        <v>276</v>
      </c>
      <c r="F89" s="8"/>
      <c r="G89" s="107">
        <f>(G38*G36-F38*F36)/(F38*F36)</f>
        <v>2.4949156243679597E-2</v>
      </c>
      <c r="H89" s="92">
        <f t="shared" ref="H89:M89" si="13">(H38*H36-G38*G36)/(G38*G36)</f>
        <v>-3.3260763823004412E-3</v>
      </c>
      <c r="I89" s="92">
        <f t="shared" si="13"/>
        <v>-2.7604773272964667E-4</v>
      </c>
      <c r="J89" s="92">
        <f t="shared" si="13"/>
        <v>1.1772419469436499E-2</v>
      </c>
      <c r="K89" s="92">
        <f t="shared" si="13"/>
        <v>1.2580169865920468E-2</v>
      </c>
      <c r="L89" s="92">
        <f t="shared" si="13"/>
        <v>1.1835131479740992E-2</v>
      </c>
      <c r="M89" s="92">
        <f t="shared" si="13"/>
        <v>1.057870738094842E-2</v>
      </c>
    </row>
    <row r="90" spans="1:13" x14ac:dyDescent="0.5">
      <c r="B90" s="8" t="s">
        <v>278</v>
      </c>
      <c r="C90" s="28" t="s">
        <v>350</v>
      </c>
      <c r="D90" s="28"/>
      <c r="E90" s="63" t="s">
        <v>276</v>
      </c>
      <c r="F90" s="8"/>
      <c r="G90" s="107">
        <f t="shared" si="12"/>
        <v>-0.12021790912997105</v>
      </c>
      <c r="H90" s="107">
        <f t="shared" si="12"/>
        <v>9.0346294283910576E-3</v>
      </c>
      <c r="I90" s="107">
        <f t="shared" si="12"/>
        <v>6.0797292062612343E-4</v>
      </c>
      <c r="J90" s="107">
        <f t="shared" si="12"/>
        <v>1.1772419469436628E-2</v>
      </c>
      <c r="K90" s="107">
        <f t="shared" si="12"/>
        <v>1.2580169865920504E-2</v>
      </c>
      <c r="L90" s="107">
        <f t="shared" si="12"/>
        <v>1.1835131479740999E-2</v>
      </c>
      <c r="M90" s="107">
        <f t="shared" si="12"/>
        <v>1.0578707380948217E-2</v>
      </c>
    </row>
    <row r="91" spans="1:13" x14ac:dyDescent="0.5">
      <c r="B91" s="8" t="s">
        <v>279</v>
      </c>
      <c r="C91" s="28" t="s">
        <v>350</v>
      </c>
      <c r="D91" s="28"/>
      <c r="E91" s="63" t="s">
        <v>280</v>
      </c>
      <c r="F91" s="8"/>
      <c r="G91" s="92" t="e">
        <f t="shared" ref="G91:M92" si="14">(G40*G$10-F40*F$10)/(F40*F$10)</f>
        <v>#DIV/0!</v>
      </c>
      <c r="H91" s="92" t="e">
        <f t="shared" si="14"/>
        <v>#DIV/0!</v>
      </c>
      <c r="I91" s="92" t="e">
        <f t="shared" si="14"/>
        <v>#DIV/0!</v>
      </c>
      <c r="J91" s="92" t="e">
        <f t="shared" si="14"/>
        <v>#DIV/0!</v>
      </c>
      <c r="K91" s="92" t="e">
        <f t="shared" si="14"/>
        <v>#DIV/0!</v>
      </c>
      <c r="L91" s="92" t="e">
        <f t="shared" si="14"/>
        <v>#DIV/0!</v>
      </c>
      <c r="M91" s="92" t="e">
        <f t="shared" si="14"/>
        <v>#DIV/0!</v>
      </c>
    </row>
    <row r="92" spans="1:13" x14ac:dyDescent="0.5">
      <c r="B92" s="8" t="s">
        <v>281</v>
      </c>
      <c r="C92" s="28" t="s">
        <v>350</v>
      </c>
      <c r="D92" s="28"/>
      <c r="E92" s="63" t="s">
        <v>280</v>
      </c>
      <c r="F92" s="8"/>
      <c r="G92" s="92" t="e">
        <f t="shared" si="14"/>
        <v>#DIV/0!</v>
      </c>
      <c r="H92" s="92" t="e">
        <f t="shared" si="14"/>
        <v>#DIV/0!</v>
      </c>
      <c r="I92" s="92" t="e">
        <f t="shared" si="14"/>
        <v>#DIV/0!</v>
      </c>
      <c r="J92" s="92" t="e">
        <f t="shared" si="14"/>
        <v>#DIV/0!</v>
      </c>
      <c r="K92" s="92" t="e">
        <f t="shared" si="14"/>
        <v>#DIV/0!</v>
      </c>
      <c r="L92" s="92" t="e">
        <f t="shared" si="14"/>
        <v>#DIV/0!</v>
      </c>
      <c r="M92" s="92" t="e">
        <f t="shared" si="14"/>
        <v>#DIV/0!</v>
      </c>
    </row>
    <row r="93" spans="1:13" x14ac:dyDescent="0.5">
      <c r="B93" s="8" t="s">
        <v>282</v>
      </c>
      <c r="C93" s="28" t="s">
        <v>350</v>
      </c>
      <c r="D93" s="28"/>
      <c r="E93" s="63" t="s">
        <v>280</v>
      </c>
      <c r="F93" s="8"/>
      <c r="G93" s="92" t="e">
        <f t="shared" ref="G93:M97" si="15">(G42*G$10-F42*F$10)/(F42*F$10)</f>
        <v>#DIV/0!</v>
      </c>
      <c r="H93" s="92" t="e">
        <f t="shared" si="15"/>
        <v>#DIV/0!</v>
      </c>
      <c r="I93" s="92" t="e">
        <f t="shared" si="15"/>
        <v>#DIV/0!</v>
      </c>
      <c r="J93" s="92" t="e">
        <f t="shared" si="15"/>
        <v>#DIV/0!</v>
      </c>
      <c r="K93" s="92" t="e">
        <f t="shared" si="15"/>
        <v>#DIV/0!</v>
      </c>
      <c r="L93" s="92" t="e">
        <f t="shared" si="15"/>
        <v>#DIV/0!</v>
      </c>
      <c r="M93" s="92" t="e">
        <f t="shared" si="15"/>
        <v>#DIV/0!</v>
      </c>
    </row>
    <row r="94" spans="1:13" x14ac:dyDescent="0.5">
      <c r="B94" s="8" t="s">
        <v>178</v>
      </c>
      <c r="C94" s="28" t="s">
        <v>350</v>
      </c>
      <c r="D94" s="28"/>
      <c r="E94" s="63" t="s">
        <v>280</v>
      </c>
      <c r="F94" s="8"/>
      <c r="G94" s="92" t="e">
        <f t="shared" si="15"/>
        <v>#DIV/0!</v>
      </c>
      <c r="H94" s="92" t="e">
        <f t="shared" si="15"/>
        <v>#DIV/0!</v>
      </c>
      <c r="I94" s="92" t="e">
        <f t="shared" si="15"/>
        <v>#DIV/0!</v>
      </c>
      <c r="J94" s="92" t="e">
        <f t="shared" si="15"/>
        <v>#DIV/0!</v>
      </c>
      <c r="K94" s="92" t="e">
        <f t="shared" si="15"/>
        <v>#DIV/0!</v>
      </c>
      <c r="L94" s="92" t="e">
        <f t="shared" si="15"/>
        <v>#DIV/0!</v>
      </c>
      <c r="M94" s="92" t="e">
        <f t="shared" si="15"/>
        <v>#DIV/0!</v>
      </c>
    </row>
    <row r="95" spans="1:13" x14ac:dyDescent="0.5">
      <c r="B95" s="8" t="s">
        <v>283</v>
      </c>
      <c r="C95" s="28" t="s">
        <v>350</v>
      </c>
      <c r="D95" s="64"/>
      <c r="E95" s="63" t="s">
        <v>284</v>
      </c>
      <c r="F95" s="8"/>
      <c r="G95" s="92">
        <f t="shared" ref="G95:M96" si="16">(G44-F44)/F44</f>
        <v>-3.5059617547806489E-2</v>
      </c>
      <c r="H95" s="92">
        <f t="shared" si="16"/>
        <v>-2.8587571148352343E-2</v>
      </c>
      <c r="I95" s="92">
        <f t="shared" si="16"/>
        <v>-2.3851506004577718E-2</v>
      </c>
      <c r="J95" s="92">
        <f t="shared" si="16"/>
        <v>-2.043888884108052E-2</v>
      </c>
      <c r="K95" s="92">
        <f t="shared" si="16"/>
        <v>-1.801188242076087E-2</v>
      </c>
      <c r="L95" s="92">
        <f t="shared" si="16"/>
        <v>-1.6309770184964704E-2</v>
      </c>
      <c r="M95" s="92">
        <f t="shared" si="16"/>
        <v>-1.5135458652165111E-2</v>
      </c>
    </row>
    <row r="96" spans="1:13" x14ac:dyDescent="0.5">
      <c r="B96" s="8" t="s">
        <v>285</v>
      </c>
      <c r="C96" s="28" t="s">
        <v>350</v>
      </c>
      <c r="D96" s="64"/>
      <c r="E96" s="63" t="s">
        <v>284</v>
      </c>
      <c r="F96" s="8"/>
      <c r="G96" s="92">
        <f t="shared" si="16"/>
        <v>0</v>
      </c>
      <c r="H96" s="92">
        <f t="shared" si="16"/>
        <v>0</v>
      </c>
      <c r="I96" s="92">
        <f t="shared" si="16"/>
        <v>-8.5114360704911893E-2</v>
      </c>
      <c r="J96" s="92">
        <f t="shared" si="16"/>
        <v>-8.5114360704911907E-2</v>
      </c>
      <c r="K96" s="92">
        <f t="shared" si="16"/>
        <v>-8.5114360704911865E-2</v>
      </c>
      <c r="L96" s="92">
        <f t="shared" si="16"/>
        <v>-8.5114360704911921E-2</v>
      </c>
      <c r="M96" s="92">
        <f t="shared" si="16"/>
        <v>-8.5114360704911782E-2</v>
      </c>
    </row>
    <row r="97" spans="1:13" x14ac:dyDescent="0.5">
      <c r="B97" s="8" t="s">
        <v>286</v>
      </c>
      <c r="C97" s="28" t="s">
        <v>350</v>
      </c>
      <c r="D97" s="64"/>
      <c r="E97" s="63" t="s">
        <v>284</v>
      </c>
      <c r="F97" s="8"/>
      <c r="G97" s="92">
        <f t="shared" si="15"/>
        <v>-1.4766828919766E-2</v>
      </c>
      <c r="H97" s="92">
        <f t="shared" si="15"/>
        <v>-4.3248784576749352E-3</v>
      </c>
      <c r="I97" s="92">
        <f t="shared" si="15"/>
        <v>-4.5576022076885159E-2</v>
      </c>
      <c r="J97" s="92">
        <f t="shared" si="15"/>
        <v>-3.6747701302472839E-2</v>
      </c>
      <c r="K97" s="92">
        <f t="shared" si="15"/>
        <v>-3.3319324558304129E-2</v>
      </c>
      <c r="L97" s="92">
        <f t="shared" si="15"/>
        <v>-3.1483452959525773E-2</v>
      </c>
      <c r="M97" s="92">
        <f t="shared" si="15"/>
        <v>-3.1106430716286548E-2</v>
      </c>
    </row>
    <row r="98" spans="1:13" x14ac:dyDescent="0.5">
      <c r="B98" s="8" t="s">
        <v>287</v>
      </c>
      <c r="C98" s="28" t="s">
        <v>350</v>
      </c>
      <c r="D98" s="64"/>
      <c r="E98" s="63" t="s">
        <v>288</v>
      </c>
      <c r="F98" s="8"/>
      <c r="G98" s="92">
        <f t="shared" ref="G98:M98" si="17">(G47*G$10-F47*F$10)/(F47*F$10)</f>
        <v>6.3696462378767761E-3</v>
      </c>
      <c r="H98" s="92">
        <f t="shared" si="17"/>
        <v>1.2770356954061375E-2</v>
      </c>
      <c r="I98" s="92">
        <f t="shared" si="17"/>
        <v>3.9933157113119632E-3</v>
      </c>
      <c r="J98" s="92">
        <f t="shared" si="17"/>
        <v>1.0088261866934284E-2</v>
      </c>
      <c r="K98" s="92">
        <f t="shared" si="17"/>
        <v>1.0983127466670786E-2</v>
      </c>
      <c r="L98" s="92">
        <f t="shared" si="17"/>
        <v>1.0588201065617454E-2</v>
      </c>
      <c r="M98" s="92">
        <f t="shared" si="17"/>
        <v>8.9700867311968257E-3</v>
      </c>
    </row>
    <row r="99" spans="1:13" x14ac:dyDescent="0.5">
      <c r="B99" s="8" t="s">
        <v>289</v>
      </c>
      <c r="C99" s="28" t="s">
        <v>350</v>
      </c>
      <c r="D99" s="64"/>
      <c r="E99" s="63" t="s">
        <v>288</v>
      </c>
      <c r="F99" s="8"/>
      <c r="G99" s="92" t="e">
        <f t="shared" ref="G99:M99" si="18">(G48*G$10-F48*F$10)/(F48*F$10)</f>
        <v>#DIV/0!</v>
      </c>
      <c r="H99" s="92" t="e">
        <f t="shared" si="18"/>
        <v>#DIV/0!</v>
      </c>
      <c r="I99" s="92" t="e">
        <f t="shared" si="18"/>
        <v>#DIV/0!</v>
      </c>
      <c r="J99" s="92" t="e">
        <f t="shared" si="18"/>
        <v>#DIV/0!</v>
      </c>
      <c r="K99" s="92" t="e">
        <f t="shared" si="18"/>
        <v>#DIV/0!</v>
      </c>
      <c r="L99" s="92" t="e">
        <f t="shared" si="18"/>
        <v>#DIV/0!</v>
      </c>
      <c r="M99" s="92" t="e">
        <f t="shared" si="18"/>
        <v>#DIV/0!</v>
      </c>
    </row>
    <row r="100" spans="1:13" x14ac:dyDescent="0.5">
      <c r="B100" s="8" t="s">
        <v>290</v>
      </c>
      <c r="C100" s="28" t="s">
        <v>350</v>
      </c>
      <c r="D100" s="64"/>
      <c r="E100" s="63" t="s">
        <v>288</v>
      </c>
      <c r="F100" s="8"/>
      <c r="G100" s="92" t="e">
        <f t="shared" ref="G100:M100" si="19">(G49*G$10-F49*F$10)/(F49*F$10)</f>
        <v>#DIV/0!</v>
      </c>
      <c r="H100" s="92" t="e">
        <f t="shared" si="19"/>
        <v>#DIV/0!</v>
      </c>
      <c r="I100" s="92" t="e">
        <f t="shared" si="19"/>
        <v>#DIV/0!</v>
      </c>
      <c r="J100" s="92" t="e">
        <f t="shared" si="19"/>
        <v>#DIV/0!</v>
      </c>
      <c r="K100" s="92" t="e">
        <f t="shared" si="19"/>
        <v>#DIV/0!</v>
      </c>
      <c r="L100" s="92" t="e">
        <f t="shared" si="19"/>
        <v>#DIV/0!</v>
      </c>
      <c r="M100" s="92" t="e">
        <f t="shared" si="19"/>
        <v>#DIV/0!</v>
      </c>
    </row>
    <row r="101" spans="1:13" x14ac:dyDescent="0.5">
      <c r="B101" s="8" t="s">
        <v>291</v>
      </c>
      <c r="C101" s="28" t="s">
        <v>350</v>
      </c>
      <c r="D101" s="64"/>
      <c r="E101" s="63" t="s">
        <v>288</v>
      </c>
      <c r="F101" s="8"/>
      <c r="G101" s="92" t="e">
        <f t="shared" ref="G101:M101" si="20">(G50*G$10-F50*F$10)/(F50*F$10)</f>
        <v>#DIV/0!</v>
      </c>
      <c r="H101" s="92" t="e">
        <f t="shared" si="20"/>
        <v>#DIV/0!</v>
      </c>
      <c r="I101" s="92" t="e">
        <f t="shared" si="20"/>
        <v>#DIV/0!</v>
      </c>
      <c r="J101" s="92" t="e">
        <f t="shared" si="20"/>
        <v>#DIV/0!</v>
      </c>
      <c r="K101" s="92" t="e">
        <f t="shared" si="20"/>
        <v>#DIV/0!</v>
      </c>
      <c r="L101" s="92" t="e">
        <f t="shared" si="20"/>
        <v>#DIV/0!</v>
      </c>
      <c r="M101" s="92" t="e">
        <f t="shared" si="20"/>
        <v>#DIV/0!</v>
      </c>
    </row>
    <row r="102" spans="1:13" x14ac:dyDescent="0.5">
      <c r="B102" s="8" t="s">
        <v>292</v>
      </c>
      <c r="C102" s="28" t="s">
        <v>350</v>
      </c>
      <c r="D102" s="64"/>
      <c r="E102" s="63" t="s">
        <v>288</v>
      </c>
      <c r="F102" s="8"/>
      <c r="G102" s="92" t="e">
        <f t="shared" ref="G102:M102" si="21">(G51*G$10-F51*F$10)/(F51*F$10)</f>
        <v>#DIV/0!</v>
      </c>
      <c r="H102" s="92" t="e">
        <f t="shared" si="21"/>
        <v>#DIV/0!</v>
      </c>
      <c r="I102" s="92" t="e">
        <f t="shared" si="21"/>
        <v>#DIV/0!</v>
      </c>
      <c r="J102" s="92" t="e">
        <f t="shared" si="21"/>
        <v>#DIV/0!</v>
      </c>
      <c r="K102" s="92" t="e">
        <f t="shared" si="21"/>
        <v>#DIV/0!</v>
      </c>
      <c r="L102" s="92" t="e">
        <f t="shared" si="21"/>
        <v>#DIV/0!</v>
      </c>
      <c r="M102" s="92" t="e">
        <f t="shared" si="21"/>
        <v>#DIV/0!</v>
      </c>
    </row>
    <row r="103" spans="1:13" x14ac:dyDescent="0.5">
      <c r="B103" s="8" t="s">
        <v>293</v>
      </c>
      <c r="C103" s="28" t="s">
        <v>350</v>
      </c>
      <c r="D103" s="64"/>
      <c r="E103" s="63" t="s">
        <v>288</v>
      </c>
      <c r="F103" s="8"/>
      <c r="G103" s="92" t="e">
        <f t="shared" ref="G103:M103" si="22">(G52*G$10-F52*F$10)/(F52*F$10)</f>
        <v>#DIV/0!</v>
      </c>
      <c r="H103" s="92" t="e">
        <f t="shared" si="22"/>
        <v>#DIV/0!</v>
      </c>
      <c r="I103" s="92" t="e">
        <f t="shared" si="22"/>
        <v>#DIV/0!</v>
      </c>
      <c r="J103" s="92" t="e">
        <f t="shared" si="22"/>
        <v>#DIV/0!</v>
      </c>
      <c r="K103" s="92" t="e">
        <f t="shared" si="22"/>
        <v>#DIV/0!</v>
      </c>
      <c r="L103" s="92" t="e">
        <f t="shared" si="22"/>
        <v>#DIV/0!</v>
      </c>
      <c r="M103" s="92" t="e">
        <f t="shared" si="22"/>
        <v>#DIV/0!</v>
      </c>
    </row>
    <row r="104" spans="1:13" x14ac:dyDescent="0.5">
      <c r="B104" s="8" t="s">
        <v>294</v>
      </c>
      <c r="C104" s="28" t="s">
        <v>350</v>
      </c>
      <c r="D104" s="64"/>
      <c r="E104" s="63" t="s">
        <v>288</v>
      </c>
      <c r="F104" s="8"/>
      <c r="G104" s="92" t="e">
        <f t="shared" ref="G104:M104" si="23">(G53*G$10-F53*F$10)/(F53*F$10)</f>
        <v>#DIV/0!</v>
      </c>
      <c r="H104" s="92" t="e">
        <f t="shared" si="23"/>
        <v>#DIV/0!</v>
      </c>
      <c r="I104" s="92" t="e">
        <f t="shared" si="23"/>
        <v>#DIV/0!</v>
      </c>
      <c r="J104" s="92" t="e">
        <f t="shared" si="23"/>
        <v>#DIV/0!</v>
      </c>
      <c r="K104" s="92" t="e">
        <f t="shared" si="23"/>
        <v>#DIV/0!</v>
      </c>
      <c r="L104" s="92" t="e">
        <f t="shared" si="23"/>
        <v>#DIV/0!</v>
      </c>
      <c r="M104" s="92" t="e">
        <f t="shared" si="23"/>
        <v>#DIV/0!</v>
      </c>
    </row>
    <row r="105" spans="1:13" x14ac:dyDescent="0.5">
      <c r="B105" s="8" t="s">
        <v>295</v>
      </c>
      <c r="C105" s="28" t="s">
        <v>350</v>
      </c>
      <c r="D105" s="64"/>
      <c r="E105" s="63" t="s">
        <v>288</v>
      </c>
      <c r="F105" s="8"/>
      <c r="G105" s="92" t="e">
        <f t="shared" ref="G105:M105" si="24">(G54*G$10-F54*F$10)/(F54*F$10)</f>
        <v>#DIV/0!</v>
      </c>
      <c r="H105" s="92" t="e">
        <f t="shared" si="24"/>
        <v>#DIV/0!</v>
      </c>
      <c r="I105" s="92" t="e">
        <f t="shared" si="24"/>
        <v>#DIV/0!</v>
      </c>
      <c r="J105" s="92" t="e">
        <f t="shared" si="24"/>
        <v>#DIV/0!</v>
      </c>
      <c r="K105" s="92" t="e">
        <f t="shared" si="24"/>
        <v>#DIV/0!</v>
      </c>
      <c r="L105" s="92" t="e">
        <f t="shared" si="24"/>
        <v>#DIV/0!</v>
      </c>
      <c r="M105" s="92" t="e">
        <f t="shared" si="24"/>
        <v>#DIV/0!</v>
      </c>
    </row>
    <row r="106" spans="1:13" x14ac:dyDescent="0.5">
      <c r="B106" s="8" t="s">
        <v>296</v>
      </c>
      <c r="C106" s="28" t="s">
        <v>350</v>
      </c>
      <c r="D106" s="62"/>
      <c r="E106" s="63" t="s">
        <v>288</v>
      </c>
      <c r="F106" s="8"/>
      <c r="G106" s="92" t="e">
        <f t="shared" ref="G106:M106" si="25">(G55*G$10-F55*F$10)/(F55*F$10)</f>
        <v>#DIV/0!</v>
      </c>
      <c r="H106" s="92" t="e">
        <f t="shared" si="25"/>
        <v>#DIV/0!</v>
      </c>
      <c r="I106" s="92" t="e">
        <f t="shared" si="25"/>
        <v>#DIV/0!</v>
      </c>
      <c r="J106" s="92" t="e">
        <f t="shared" si="25"/>
        <v>#DIV/0!</v>
      </c>
      <c r="K106" s="92" t="e">
        <f t="shared" si="25"/>
        <v>#DIV/0!</v>
      </c>
      <c r="L106" s="92" t="e">
        <f t="shared" si="25"/>
        <v>#DIV/0!</v>
      </c>
      <c r="M106" s="92" t="e">
        <f t="shared" si="25"/>
        <v>#DIV/0!</v>
      </c>
    </row>
    <row r="107" spans="1:13" x14ac:dyDescent="0.5">
      <c r="B107" s="8" t="s">
        <v>297</v>
      </c>
      <c r="C107" s="28" t="s">
        <v>350</v>
      </c>
      <c r="D107" s="62"/>
      <c r="E107" s="63"/>
      <c r="F107" s="8"/>
      <c r="G107" s="92">
        <f t="shared" ref="G107:M107" si="26">G56</f>
        <v>0</v>
      </c>
      <c r="H107" s="92">
        <f t="shared" si="26"/>
        <v>0</v>
      </c>
      <c r="I107" s="92">
        <f t="shared" si="26"/>
        <v>0</v>
      </c>
      <c r="J107" s="92">
        <f t="shared" si="26"/>
        <v>0</v>
      </c>
      <c r="K107" s="92">
        <f t="shared" si="26"/>
        <v>0</v>
      </c>
      <c r="L107" s="92">
        <f t="shared" si="26"/>
        <v>0</v>
      </c>
      <c r="M107" s="92">
        <f t="shared" si="26"/>
        <v>0</v>
      </c>
    </row>
    <row r="109" spans="1:13" ht="19" thickBot="1" x14ac:dyDescent="0.55000000000000004">
      <c r="A109" s="14" t="s">
        <v>357</v>
      </c>
    </row>
    <row r="110" spans="1:13" ht="17" thickTop="1" x14ac:dyDescent="0.5"/>
    <row r="111" spans="1:13" ht="17" thickBot="1" x14ac:dyDescent="0.55000000000000004">
      <c r="B111" s="27" t="s">
        <v>302</v>
      </c>
      <c r="C111" s="27" t="s">
        <v>96</v>
      </c>
      <c r="D111" s="27" t="s">
        <v>97</v>
      </c>
      <c r="E111" s="50" t="s">
        <v>98</v>
      </c>
      <c r="F111" s="45" t="s">
        <v>99</v>
      </c>
      <c r="G111" s="45" t="s">
        <v>100</v>
      </c>
    </row>
    <row r="112" spans="1:13" x14ac:dyDescent="0.5">
      <c r="B112" s="8" t="s">
        <v>101</v>
      </c>
      <c r="C112" s="29" t="s">
        <v>102</v>
      </c>
      <c r="D112" s="28" t="s">
        <v>103</v>
      </c>
      <c r="E112" s="51" t="s">
        <v>104</v>
      </c>
      <c r="F112" s="65" t="str">
        <f>Assumptions!F70</f>
        <v>Total Pax</v>
      </c>
      <c r="G112" s="111">
        <f>Assumptions!G70</f>
        <v>0.3</v>
      </c>
    </row>
    <row r="113" spans="2:7" x14ac:dyDescent="0.5">
      <c r="B113" s="8" t="s">
        <v>105</v>
      </c>
      <c r="C113" s="29" t="s">
        <v>102</v>
      </c>
      <c r="D113" s="28" t="s">
        <v>103</v>
      </c>
      <c r="E113" s="51" t="s">
        <v>104</v>
      </c>
      <c r="F113" s="65" t="str">
        <f>Assumptions!F71</f>
        <v>Total Pax</v>
      </c>
      <c r="G113" s="111">
        <f>Assumptions!G71</f>
        <v>0.3</v>
      </c>
    </row>
    <row r="114" spans="2:7" x14ac:dyDescent="0.5">
      <c r="B114" s="8" t="s">
        <v>106</v>
      </c>
      <c r="C114" s="29" t="s">
        <v>102</v>
      </c>
      <c r="D114" s="28" t="s">
        <v>103</v>
      </c>
      <c r="E114" s="51" t="s">
        <v>104</v>
      </c>
      <c r="F114" s="65" t="str">
        <f>Assumptions!F72</f>
        <v>Total Pax</v>
      </c>
      <c r="G114" s="111">
        <f>Assumptions!G72</f>
        <v>0.3</v>
      </c>
    </row>
    <row r="115" spans="2:7" x14ac:dyDescent="0.5">
      <c r="B115" s="8" t="s">
        <v>107</v>
      </c>
      <c r="C115" s="29" t="s">
        <v>102</v>
      </c>
      <c r="D115" s="28" t="s">
        <v>103</v>
      </c>
      <c r="E115" s="51" t="s">
        <v>104</v>
      </c>
      <c r="F115" s="65" t="str">
        <f>Assumptions!F73</f>
        <v>Total Pax</v>
      </c>
      <c r="G115" s="111">
        <f>Assumptions!G73</f>
        <v>0.3</v>
      </c>
    </row>
    <row r="116" spans="2:7" x14ac:dyDescent="0.5">
      <c r="B116" s="8" t="s">
        <v>108</v>
      </c>
      <c r="C116" s="29" t="s">
        <v>102</v>
      </c>
      <c r="D116" s="28" t="s">
        <v>103</v>
      </c>
      <c r="E116" s="51" t="s">
        <v>104</v>
      </c>
      <c r="F116" s="65" t="str">
        <f>Assumptions!F74</f>
        <v>Total Pax</v>
      </c>
      <c r="G116" s="111">
        <f>Assumptions!G74</f>
        <v>0.3</v>
      </c>
    </row>
    <row r="117" spans="2:7" x14ac:dyDescent="0.5">
      <c r="B117" s="8" t="s">
        <v>109</v>
      </c>
      <c r="C117" s="29" t="s">
        <v>102</v>
      </c>
      <c r="D117" s="28" t="s">
        <v>103</v>
      </c>
      <c r="E117" s="51" t="s">
        <v>104</v>
      </c>
      <c r="F117" s="65" t="str">
        <f>Assumptions!F75</f>
        <v>Total Pax</v>
      </c>
      <c r="G117" s="111">
        <f>Assumptions!G75</f>
        <v>0.3</v>
      </c>
    </row>
    <row r="118" spans="2:7" x14ac:dyDescent="0.5">
      <c r="B118" s="8" t="s">
        <v>110</v>
      </c>
      <c r="C118" s="29" t="s">
        <v>102</v>
      </c>
      <c r="D118" s="28" t="s">
        <v>103</v>
      </c>
      <c r="E118" s="51" t="s">
        <v>104</v>
      </c>
      <c r="F118" s="65" t="str">
        <f>Assumptions!F76</f>
        <v>No Driver</v>
      </c>
      <c r="G118" s="111">
        <f>Assumptions!G76</f>
        <v>0</v>
      </c>
    </row>
    <row r="119" spans="2:7" x14ac:dyDescent="0.5">
      <c r="B119" s="8" t="s">
        <v>111</v>
      </c>
      <c r="C119" s="29" t="s">
        <v>102</v>
      </c>
      <c r="D119" s="28" t="s">
        <v>103</v>
      </c>
      <c r="E119" s="51" t="s">
        <v>112</v>
      </c>
      <c r="F119" s="65" t="str">
        <f>Assumptions!F77</f>
        <v>Total terminal size</v>
      </c>
      <c r="G119" s="111">
        <f>Assumptions!G77</f>
        <v>0.35</v>
      </c>
    </row>
    <row r="120" spans="2:7" x14ac:dyDescent="0.5">
      <c r="B120" s="8" t="s">
        <v>113</v>
      </c>
      <c r="C120" s="29" t="s">
        <v>102</v>
      </c>
      <c r="D120" s="28" t="s">
        <v>103</v>
      </c>
      <c r="E120" s="51" t="s">
        <v>112</v>
      </c>
      <c r="F120" s="65" t="str">
        <f>Assumptions!F78</f>
        <v>Total terminal size</v>
      </c>
      <c r="G120" s="111">
        <f>Assumptions!G78</f>
        <v>0.35</v>
      </c>
    </row>
    <row r="121" spans="2:7" x14ac:dyDescent="0.5">
      <c r="B121" s="8" t="s">
        <v>114</v>
      </c>
      <c r="C121" s="29" t="s">
        <v>102</v>
      </c>
      <c r="D121" s="28" t="s">
        <v>103</v>
      </c>
      <c r="E121" s="51" t="s">
        <v>112</v>
      </c>
      <c r="F121" s="65" t="str">
        <f>Assumptions!F79</f>
        <v>Total terminal size</v>
      </c>
      <c r="G121" s="111">
        <f>Assumptions!G79</f>
        <v>0.35</v>
      </c>
    </row>
    <row r="122" spans="2:7" x14ac:dyDescent="0.5">
      <c r="B122" s="8" t="s">
        <v>115</v>
      </c>
      <c r="C122" s="29" t="s">
        <v>102</v>
      </c>
      <c r="D122" s="28" t="s">
        <v>103</v>
      </c>
      <c r="E122" s="51" t="s">
        <v>112</v>
      </c>
      <c r="F122" s="65" t="str">
        <f>Assumptions!F80</f>
        <v>Total terminal size</v>
      </c>
      <c r="G122" s="111">
        <f>Assumptions!G80</f>
        <v>0.35</v>
      </c>
    </row>
    <row r="123" spans="2:7" x14ac:dyDescent="0.5">
      <c r="B123" s="8" t="s">
        <v>116</v>
      </c>
      <c r="C123" s="29" t="s">
        <v>102</v>
      </c>
      <c r="D123" s="28" t="s">
        <v>103</v>
      </c>
      <c r="E123" s="51" t="s">
        <v>117</v>
      </c>
      <c r="F123" s="28"/>
      <c r="G123" s="116"/>
    </row>
    <row r="124" spans="2:7" x14ac:dyDescent="0.5">
      <c r="B124" s="8" t="s">
        <v>118</v>
      </c>
      <c r="C124" s="29" t="s">
        <v>102</v>
      </c>
      <c r="D124" s="28" t="s">
        <v>103</v>
      </c>
      <c r="E124" s="51" t="s">
        <v>119</v>
      </c>
      <c r="F124" s="65" t="str">
        <f>Assumptions!F82</f>
        <v>Total Pax</v>
      </c>
      <c r="G124" s="111">
        <f>Assumptions!G82</f>
        <v>0.3</v>
      </c>
    </row>
    <row r="125" spans="2:7" x14ac:dyDescent="0.5">
      <c r="B125" s="8" t="s">
        <v>120</v>
      </c>
      <c r="C125" s="29" t="s">
        <v>102</v>
      </c>
      <c r="D125" s="28" t="s">
        <v>103</v>
      </c>
      <c r="E125" s="51" t="s">
        <v>119</v>
      </c>
      <c r="F125" s="65" t="str">
        <f>Assumptions!F83</f>
        <v>Total Pax</v>
      </c>
      <c r="G125" s="111">
        <f>Assumptions!G83</f>
        <v>0.3</v>
      </c>
    </row>
    <row r="126" spans="2:7" x14ac:dyDescent="0.5">
      <c r="B126" s="8" t="s">
        <v>121</v>
      </c>
      <c r="C126" s="29" t="s">
        <v>102</v>
      </c>
      <c r="D126" s="28" t="s">
        <v>103</v>
      </c>
      <c r="E126" s="51" t="s">
        <v>119</v>
      </c>
      <c r="F126" s="65" t="str">
        <f>Assumptions!F84</f>
        <v>Total Pax</v>
      </c>
      <c r="G126" s="111">
        <f>Assumptions!G84</f>
        <v>0.3</v>
      </c>
    </row>
    <row r="127" spans="2:7" x14ac:dyDescent="0.5">
      <c r="B127" s="8" t="s">
        <v>122</v>
      </c>
      <c r="C127" s="29" t="s">
        <v>102</v>
      </c>
      <c r="D127" s="28" t="s">
        <v>103</v>
      </c>
      <c r="E127" s="51" t="s">
        <v>119</v>
      </c>
      <c r="F127" s="65" t="str">
        <f>Assumptions!F85</f>
        <v>Total Pax</v>
      </c>
      <c r="G127" s="111">
        <f>Assumptions!G85</f>
        <v>0.3</v>
      </c>
    </row>
    <row r="128" spans="2:7" x14ac:dyDescent="0.5">
      <c r="B128" s="8" t="s">
        <v>123</v>
      </c>
      <c r="C128" s="29" t="s">
        <v>102</v>
      </c>
      <c r="D128" s="28" t="s">
        <v>103</v>
      </c>
      <c r="E128" s="51" t="s">
        <v>119</v>
      </c>
      <c r="F128" s="65" t="str">
        <f>Assumptions!F86</f>
        <v>Total Pax</v>
      </c>
      <c r="G128" s="111">
        <f>Assumptions!G86</f>
        <v>0.3</v>
      </c>
    </row>
    <row r="129" spans="2:7" x14ac:dyDescent="0.5">
      <c r="B129" s="8" t="s">
        <v>124</v>
      </c>
      <c r="C129" s="29" t="s">
        <v>102</v>
      </c>
      <c r="D129" s="28" t="s">
        <v>103</v>
      </c>
      <c r="E129" s="51" t="s">
        <v>124</v>
      </c>
      <c r="F129" s="65" t="str">
        <f>Assumptions!F87</f>
        <v>No Driver</v>
      </c>
      <c r="G129" s="111">
        <f>Assumptions!G87</f>
        <v>0</v>
      </c>
    </row>
    <row r="130" spans="2:7" x14ac:dyDescent="0.5">
      <c r="B130" s="8" t="s">
        <v>125</v>
      </c>
      <c r="C130" s="29" t="s">
        <v>102</v>
      </c>
      <c r="D130" s="28" t="s">
        <v>103</v>
      </c>
      <c r="E130" s="51" t="s">
        <v>125</v>
      </c>
      <c r="F130" s="65" t="str">
        <f>Assumptions!F88</f>
        <v>No Driver</v>
      </c>
      <c r="G130" s="111">
        <f>Assumptions!G88</f>
        <v>0</v>
      </c>
    </row>
    <row r="131" spans="2:7" x14ac:dyDescent="0.5">
      <c r="B131" s="8" t="s">
        <v>126</v>
      </c>
      <c r="C131" s="29" t="s">
        <v>102</v>
      </c>
      <c r="D131" s="28" t="s">
        <v>103</v>
      </c>
      <c r="E131" s="51" t="s">
        <v>127</v>
      </c>
      <c r="F131" s="65" t="str">
        <f>Assumptions!F89</f>
        <v>Total Pax</v>
      </c>
      <c r="G131" s="111">
        <f>Assumptions!G89</f>
        <v>0.25</v>
      </c>
    </row>
    <row r="132" spans="2:7" x14ac:dyDescent="0.5">
      <c r="B132" s="8" t="s">
        <v>128</v>
      </c>
      <c r="C132" s="29" t="s">
        <v>102</v>
      </c>
      <c r="D132" s="28" t="s">
        <v>103</v>
      </c>
      <c r="E132" s="51" t="s">
        <v>127</v>
      </c>
      <c r="F132" s="65" t="str">
        <f>Assumptions!F90</f>
        <v>Total Pax</v>
      </c>
      <c r="G132" s="111">
        <f>Assumptions!G90</f>
        <v>0.25</v>
      </c>
    </row>
    <row r="133" spans="2:7" x14ac:dyDescent="0.5">
      <c r="B133" s="8" t="s">
        <v>129</v>
      </c>
      <c r="C133" s="29" t="s">
        <v>102</v>
      </c>
      <c r="D133" s="28" t="s">
        <v>103</v>
      </c>
      <c r="E133" s="51" t="s">
        <v>127</v>
      </c>
      <c r="F133" s="65" t="str">
        <f>Assumptions!F91</f>
        <v>Total Pax</v>
      </c>
      <c r="G133" s="111">
        <f>Assumptions!G91</f>
        <v>0.25</v>
      </c>
    </row>
    <row r="134" spans="2:7" x14ac:dyDescent="0.5">
      <c r="B134" s="8" t="s">
        <v>130</v>
      </c>
      <c r="C134" s="29" t="s">
        <v>102</v>
      </c>
      <c r="D134" s="28" t="s">
        <v>103</v>
      </c>
      <c r="E134" s="51" t="s">
        <v>127</v>
      </c>
      <c r="F134" s="65" t="str">
        <f>Assumptions!F92</f>
        <v>Total Pax</v>
      </c>
      <c r="G134" s="111">
        <f>Assumptions!G92</f>
        <v>0.25</v>
      </c>
    </row>
    <row r="135" spans="2:7" x14ac:dyDescent="0.5">
      <c r="B135" s="8" t="s">
        <v>131</v>
      </c>
      <c r="C135" s="29" t="s">
        <v>102</v>
      </c>
      <c r="D135" s="28" t="s">
        <v>103</v>
      </c>
      <c r="E135" s="51" t="s">
        <v>127</v>
      </c>
      <c r="F135" s="65" t="str">
        <f>Assumptions!F93</f>
        <v>Total Pax</v>
      </c>
      <c r="G135" s="111">
        <f>Assumptions!G93</f>
        <v>0.25</v>
      </c>
    </row>
    <row r="136" spans="2:7" x14ac:dyDescent="0.5">
      <c r="B136" s="8" t="s">
        <v>132</v>
      </c>
      <c r="C136" s="29" t="s">
        <v>102</v>
      </c>
      <c r="D136" s="28" t="s">
        <v>103</v>
      </c>
      <c r="E136" s="51" t="s">
        <v>127</v>
      </c>
      <c r="F136" s="65" t="str">
        <f>Assumptions!F94</f>
        <v>Total Pax</v>
      </c>
      <c r="G136" s="111">
        <f>Assumptions!G94</f>
        <v>0.25</v>
      </c>
    </row>
    <row r="137" spans="2:7" x14ac:dyDescent="0.5">
      <c r="B137" s="8" t="s">
        <v>133</v>
      </c>
      <c r="C137" s="29" t="s">
        <v>102</v>
      </c>
      <c r="D137" s="28" t="s">
        <v>103</v>
      </c>
      <c r="E137" s="51" t="s">
        <v>127</v>
      </c>
      <c r="F137" s="65" t="str">
        <f>Assumptions!F95</f>
        <v>Total Pax</v>
      </c>
      <c r="G137" s="111">
        <f>Assumptions!G95</f>
        <v>0.25</v>
      </c>
    </row>
    <row r="138" spans="2:7" x14ac:dyDescent="0.5">
      <c r="B138" s="8" t="s">
        <v>134</v>
      </c>
      <c r="C138" s="29" t="s">
        <v>102</v>
      </c>
      <c r="D138" s="28" t="s">
        <v>103</v>
      </c>
      <c r="E138" s="51" t="s">
        <v>127</v>
      </c>
      <c r="F138" s="65" t="str">
        <f>Assumptions!F96</f>
        <v>Total Pax</v>
      </c>
      <c r="G138" s="111">
        <f>Assumptions!G96</f>
        <v>0.25</v>
      </c>
    </row>
    <row r="139" spans="2:7" x14ac:dyDescent="0.5">
      <c r="B139" s="8" t="s">
        <v>135</v>
      </c>
      <c r="C139" s="29" t="s">
        <v>102</v>
      </c>
      <c r="D139" s="28" t="s">
        <v>103</v>
      </c>
      <c r="E139" s="51" t="s">
        <v>127</v>
      </c>
      <c r="F139" s="65" t="str">
        <f>Assumptions!F97</f>
        <v>Total Pax</v>
      </c>
      <c r="G139" s="111">
        <f>Assumptions!G97</f>
        <v>0.25</v>
      </c>
    </row>
    <row r="140" spans="2:7" x14ac:dyDescent="0.5">
      <c r="B140" s="8" t="s">
        <v>136</v>
      </c>
      <c r="C140" s="29" t="s">
        <v>102</v>
      </c>
      <c r="D140" s="28" t="s">
        <v>103</v>
      </c>
      <c r="E140" s="51" t="s">
        <v>127</v>
      </c>
      <c r="F140" s="65" t="str">
        <f>Assumptions!F98</f>
        <v>Total Pax</v>
      </c>
      <c r="G140" s="111">
        <f>Assumptions!G98</f>
        <v>0.25</v>
      </c>
    </row>
    <row r="141" spans="2:7" x14ac:dyDescent="0.5">
      <c r="B141" s="8" t="s">
        <v>137</v>
      </c>
      <c r="C141" s="29" t="s">
        <v>102</v>
      </c>
      <c r="D141" s="28" t="s">
        <v>103</v>
      </c>
      <c r="E141" s="51" t="s">
        <v>127</v>
      </c>
      <c r="F141" s="65" t="str">
        <f>Assumptions!F99</f>
        <v>Total Pax</v>
      </c>
      <c r="G141" s="111">
        <f>Assumptions!G99</f>
        <v>0.25</v>
      </c>
    </row>
    <row r="142" spans="2:7" x14ac:dyDescent="0.5">
      <c r="B142" s="8" t="s">
        <v>138</v>
      </c>
      <c r="C142" s="29" t="s">
        <v>102</v>
      </c>
      <c r="D142" s="28" t="s">
        <v>103</v>
      </c>
      <c r="E142" s="51" t="s">
        <v>127</v>
      </c>
      <c r="F142" s="65" t="str">
        <f>Assumptions!F100</f>
        <v>Total Pax</v>
      </c>
      <c r="G142" s="111">
        <f>Assumptions!G100</f>
        <v>0.25</v>
      </c>
    </row>
    <row r="143" spans="2:7" x14ac:dyDescent="0.5">
      <c r="B143" s="8" t="s">
        <v>139</v>
      </c>
      <c r="C143" s="29" t="s">
        <v>102</v>
      </c>
      <c r="D143" s="28" t="s">
        <v>103</v>
      </c>
      <c r="E143" s="51" t="s">
        <v>127</v>
      </c>
      <c r="F143" s="65" t="str">
        <f>Assumptions!F101</f>
        <v>Total Pax</v>
      </c>
      <c r="G143" s="111">
        <f>Assumptions!G101</f>
        <v>0.25</v>
      </c>
    </row>
    <row r="144" spans="2:7" x14ac:dyDescent="0.5">
      <c r="B144" s="8" t="s">
        <v>140</v>
      </c>
      <c r="C144" s="29" t="s">
        <v>102</v>
      </c>
      <c r="D144" s="28" t="s">
        <v>103</v>
      </c>
      <c r="E144" s="51" t="s">
        <v>127</v>
      </c>
      <c r="F144" s="65" t="str">
        <f>Assumptions!F102</f>
        <v>Total Pax</v>
      </c>
      <c r="G144" s="111">
        <f>Assumptions!G102</f>
        <v>0.25</v>
      </c>
    </row>
    <row r="145" spans="2:7" x14ac:dyDescent="0.5">
      <c r="B145" s="8" t="s">
        <v>141</v>
      </c>
      <c r="C145" s="29" t="s">
        <v>102</v>
      </c>
      <c r="D145" s="28" t="s">
        <v>103</v>
      </c>
      <c r="E145" s="51" t="s">
        <v>127</v>
      </c>
      <c r="F145" s="65" t="str">
        <f>Assumptions!F103</f>
        <v>Total Pax</v>
      </c>
      <c r="G145" s="111">
        <f>Assumptions!G103</f>
        <v>0.25</v>
      </c>
    </row>
    <row r="146" spans="2:7" x14ac:dyDescent="0.5">
      <c r="B146" s="8" t="s">
        <v>142</v>
      </c>
      <c r="C146" s="29" t="s">
        <v>102</v>
      </c>
      <c r="D146" s="28" t="s">
        <v>103</v>
      </c>
      <c r="E146" s="51" t="s">
        <v>127</v>
      </c>
      <c r="F146" s="65" t="str">
        <f>Assumptions!F104</f>
        <v>Total Pax</v>
      </c>
      <c r="G146" s="111">
        <f>Assumptions!G104</f>
        <v>0.25</v>
      </c>
    </row>
    <row r="147" spans="2:7" x14ac:dyDescent="0.5">
      <c r="E147" s="49"/>
    </row>
    <row r="148" spans="2:7" ht="17" thickBot="1" x14ac:dyDescent="0.55000000000000004">
      <c r="B148" s="27" t="s">
        <v>306</v>
      </c>
      <c r="C148" s="27" t="s">
        <v>96</v>
      </c>
      <c r="D148" s="27" t="s">
        <v>97</v>
      </c>
      <c r="E148" s="50" t="s">
        <v>144</v>
      </c>
      <c r="F148" s="45" t="s">
        <v>99</v>
      </c>
      <c r="G148" s="45" t="s">
        <v>100</v>
      </c>
    </row>
    <row r="149" spans="2:7" x14ac:dyDescent="0.5">
      <c r="B149" s="8" t="s">
        <v>146</v>
      </c>
      <c r="C149" s="29" t="s">
        <v>350</v>
      </c>
      <c r="D149" s="28" t="s">
        <v>103</v>
      </c>
      <c r="E149" s="51" t="s">
        <v>147</v>
      </c>
      <c r="F149" s="65" t="str">
        <f>Assumptions!F109</f>
        <v>Total Pax</v>
      </c>
      <c r="G149" s="111">
        <f>Assumptions!G109</f>
        <v>1</v>
      </c>
    </row>
    <row r="150" spans="2:7" x14ac:dyDescent="0.5">
      <c r="B150" s="8" t="s">
        <v>148</v>
      </c>
      <c r="C150" s="29" t="s">
        <v>350</v>
      </c>
      <c r="D150" s="28" t="s">
        <v>103</v>
      </c>
      <c r="E150" s="51" t="s">
        <v>147</v>
      </c>
      <c r="F150" s="65" t="str">
        <f>Assumptions!F110</f>
        <v>Total Pax</v>
      </c>
      <c r="G150" s="111">
        <f>Assumptions!G110</f>
        <v>1</v>
      </c>
    </row>
    <row r="151" spans="2:7" x14ac:dyDescent="0.5">
      <c r="B151" s="8" t="s">
        <v>149</v>
      </c>
      <c r="C151" s="29" t="s">
        <v>350</v>
      </c>
      <c r="D151" s="28" t="s">
        <v>103</v>
      </c>
      <c r="E151" s="51" t="s">
        <v>147</v>
      </c>
      <c r="F151" s="65" t="str">
        <f>Assumptions!F111</f>
        <v>Total Pax</v>
      </c>
      <c r="G151" s="111">
        <f>Assumptions!G111</f>
        <v>1</v>
      </c>
    </row>
    <row r="152" spans="2:7" x14ac:dyDescent="0.5">
      <c r="B152" s="8" t="s">
        <v>150</v>
      </c>
      <c r="C152" s="29" t="s">
        <v>350</v>
      </c>
      <c r="D152" s="28" t="s">
        <v>103</v>
      </c>
      <c r="E152" s="51" t="s">
        <v>147</v>
      </c>
      <c r="F152" s="65" t="str">
        <f>Assumptions!F112</f>
        <v>Total Pax</v>
      </c>
      <c r="G152" s="111">
        <f>Assumptions!G112</f>
        <v>1</v>
      </c>
    </row>
    <row r="153" spans="2:7" x14ac:dyDescent="0.5">
      <c r="B153" s="8" t="s">
        <v>151</v>
      </c>
      <c r="C153" s="29" t="s">
        <v>350</v>
      </c>
      <c r="D153" s="28" t="s">
        <v>103</v>
      </c>
      <c r="E153" s="51" t="s">
        <v>147</v>
      </c>
      <c r="F153" s="65" t="str">
        <f>Assumptions!F113</f>
        <v>Total Pax</v>
      </c>
      <c r="G153" s="111">
        <f>Assumptions!G113</f>
        <v>1</v>
      </c>
    </row>
    <row r="154" spans="2:7" x14ac:dyDescent="0.5">
      <c r="B154" s="8" t="s">
        <v>152</v>
      </c>
      <c r="C154" s="29" t="s">
        <v>350</v>
      </c>
      <c r="D154" s="28" t="s">
        <v>103</v>
      </c>
      <c r="E154" s="51" t="s">
        <v>147</v>
      </c>
      <c r="F154" s="65" t="str">
        <f>Assumptions!F114</f>
        <v>Total Pax</v>
      </c>
      <c r="G154" s="111">
        <f>Assumptions!G114</f>
        <v>1</v>
      </c>
    </row>
    <row r="155" spans="2:7" x14ac:dyDescent="0.5">
      <c r="B155" s="8" t="s">
        <v>153</v>
      </c>
      <c r="C155" s="29" t="s">
        <v>350</v>
      </c>
      <c r="D155" s="28" t="s">
        <v>103</v>
      </c>
      <c r="E155" s="51" t="s">
        <v>147</v>
      </c>
      <c r="F155" s="65" t="str">
        <f>Assumptions!F115</f>
        <v>Total Pax</v>
      </c>
      <c r="G155" s="111">
        <f>Assumptions!G115</f>
        <v>1</v>
      </c>
    </row>
    <row r="156" spans="2:7" x14ac:dyDescent="0.5">
      <c r="B156" s="8" t="s">
        <v>154</v>
      </c>
      <c r="C156" s="29" t="s">
        <v>350</v>
      </c>
      <c r="D156" s="28" t="s">
        <v>103</v>
      </c>
      <c r="E156" s="51" t="s">
        <v>147</v>
      </c>
      <c r="F156" s="65" t="str">
        <f>Assumptions!F116</f>
        <v>Total Pax</v>
      </c>
      <c r="G156" s="111">
        <f>Assumptions!G116</f>
        <v>1</v>
      </c>
    </row>
    <row r="157" spans="2:7" x14ac:dyDescent="0.5">
      <c r="B157" s="8" t="s">
        <v>155</v>
      </c>
      <c r="C157" s="29" t="s">
        <v>350</v>
      </c>
      <c r="D157" s="28" t="s">
        <v>103</v>
      </c>
      <c r="E157" s="51" t="s">
        <v>147</v>
      </c>
      <c r="F157" s="65" t="str">
        <f>Assumptions!F117</f>
        <v>Total Pax</v>
      </c>
      <c r="G157" s="111">
        <f>Assumptions!G117</f>
        <v>1</v>
      </c>
    </row>
    <row r="158" spans="2:7" x14ac:dyDescent="0.5">
      <c r="B158" s="8" t="s">
        <v>156</v>
      </c>
      <c r="C158" s="29" t="s">
        <v>350</v>
      </c>
      <c r="D158" s="28" t="s">
        <v>103</v>
      </c>
      <c r="E158" s="51" t="s">
        <v>147</v>
      </c>
      <c r="F158" s="65" t="str">
        <f>Assumptions!F118</f>
        <v>Total Pax</v>
      </c>
      <c r="G158" s="111">
        <f>Assumptions!G118</f>
        <v>1</v>
      </c>
    </row>
    <row r="159" spans="2:7" x14ac:dyDescent="0.5">
      <c r="B159" s="8" t="s">
        <v>157</v>
      </c>
      <c r="C159" s="29" t="s">
        <v>350</v>
      </c>
      <c r="D159" s="28" t="s">
        <v>103</v>
      </c>
      <c r="E159" s="51" t="s">
        <v>147</v>
      </c>
      <c r="F159" s="65" t="str">
        <f>Assumptions!F119</f>
        <v>Total Pax</v>
      </c>
      <c r="G159" s="111">
        <f>Assumptions!G119</f>
        <v>1</v>
      </c>
    </row>
    <row r="160" spans="2:7" x14ac:dyDescent="0.5">
      <c r="B160" s="8" t="s">
        <v>158</v>
      </c>
      <c r="C160" s="29" t="s">
        <v>350</v>
      </c>
      <c r="D160" s="28" t="s">
        <v>103</v>
      </c>
      <c r="E160" s="51" t="s">
        <v>147</v>
      </c>
      <c r="F160" s="65" t="str">
        <f>Assumptions!F120</f>
        <v>Bureau volume adjustment</v>
      </c>
      <c r="G160" s="111">
        <f>Assumptions!G120</f>
        <v>1</v>
      </c>
    </row>
    <row r="161" spans="2:7" x14ac:dyDescent="0.5">
      <c r="B161" s="8" t="s">
        <v>159</v>
      </c>
      <c r="C161" s="29" t="s">
        <v>350</v>
      </c>
      <c r="D161" s="28" t="s">
        <v>103</v>
      </c>
      <c r="E161" s="51" t="s">
        <v>147</v>
      </c>
      <c r="F161" s="65" t="str">
        <f>Assumptions!F121</f>
        <v>Total Pax</v>
      </c>
      <c r="G161" s="111">
        <f>Assumptions!G121</f>
        <v>1</v>
      </c>
    </row>
    <row r="162" spans="2:7" x14ac:dyDescent="0.5">
      <c r="B162" s="53" t="s">
        <v>160</v>
      </c>
      <c r="C162" s="29" t="s">
        <v>350</v>
      </c>
      <c r="D162" s="28" t="s">
        <v>103</v>
      </c>
      <c r="E162" s="51" t="s">
        <v>147</v>
      </c>
      <c r="F162" s="65" t="str">
        <f>Assumptions!F122</f>
        <v>Total Pax</v>
      </c>
      <c r="G162" s="111">
        <f>Assumptions!G122</f>
        <v>1</v>
      </c>
    </row>
    <row r="163" spans="2:7" x14ac:dyDescent="0.5">
      <c r="B163" s="53" t="s">
        <v>161</v>
      </c>
      <c r="C163" s="29" t="s">
        <v>350</v>
      </c>
      <c r="D163" s="28" t="s">
        <v>103</v>
      </c>
      <c r="E163" s="51" t="s">
        <v>147</v>
      </c>
      <c r="F163" s="65" t="str">
        <f>Assumptions!F123</f>
        <v>No driver</v>
      </c>
      <c r="G163" s="111">
        <f>Assumptions!G123</f>
        <v>0</v>
      </c>
    </row>
    <row r="164" spans="2:7" x14ac:dyDescent="0.5">
      <c r="B164" s="53" t="s">
        <v>161</v>
      </c>
      <c r="C164" s="29" t="s">
        <v>350</v>
      </c>
      <c r="D164" s="28" t="s">
        <v>103</v>
      </c>
      <c r="E164" s="51" t="s">
        <v>147</v>
      </c>
      <c r="F164" s="65" t="str">
        <f>Assumptions!F124</f>
        <v>No driver</v>
      </c>
      <c r="G164" s="111">
        <f>Assumptions!G124</f>
        <v>0</v>
      </c>
    </row>
    <row r="165" spans="2:7" x14ac:dyDescent="0.5">
      <c r="B165" s="8" t="s">
        <v>163</v>
      </c>
      <c r="C165" s="29" t="s">
        <v>350</v>
      </c>
      <c r="D165" s="28" t="s">
        <v>103</v>
      </c>
      <c r="E165" s="51" t="s">
        <v>162</v>
      </c>
      <c r="F165" s="65" t="str">
        <f>Assumptions!F125</f>
        <v>Parking/Rental Pax</v>
      </c>
      <c r="G165" s="111">
        <f>Assumptions!G125</f>
        <v>1</v>
      </c>
    </row>
    <row r="166" spans="2:7" x14ac:dyDescent="0.5">
      <c r="B166" s="8" t="s">
        <v>164</v>
      </c>
      <c r="C166" s="29" t="s">
        <v>350</v>
      </c>
      <c r="D166" s="28" t="s">
        <v>103</v>
      </c>
      <c r="E166" s="51" t="s">
        <v>162</v>
      </c>
      <c r="F166" s="65" t="str">
        <f>Assumptions!F126</f>
        <v>Parking/Rental Pax</v>
      </c>
      <c r="G166" s="111">
        <f>Assumptions!G126</f>
        <v>1</v>
      </c>
    </row>
    <row r="167" spans="2:7" x14ac:dyDescent="0.5">
      <c r="B167" s="53" t="s">
        <v>165</v>
      </c>
      <c r="C167" s="29" t="s">
        <v>350</v>
      </c>
      <c r="D167" s="28" t="s">
        <v>103</v>
      </c>
      <c r="E167" s="51" t="s">
        <v>162</v>
      </c>
      <c r="F167" s="65" t="str">
        <f>Assumptions!F127</f>
        <v>Parking/Rental Pax</v>
      </c>
      <c r="G167" s="111">
        <f>Assumptions!G127</f>
        <v>1</v>
      </c>
    </row>
    <row r="168" spans="2:7" x14ac:dyDescent="0.5">
      <c r="B168" s="53" t="s">
        <v>161</v>
      </c>
      <c r="C168" s="29" t="s">
        <v>350</v>
      </c>
      <c r="D168" s="28" t="s">
        <v>103</v>
      </c>
      <c r="E168" s="51" t="s">
        <v>162</v>
      </c>
      <c r="F168" s="65" t="str">
        <f>Assumptions!F128</f>
        <v>No driver</v>
      </c>
      <c r="G168" s="111">
        <f>Assumptions!G128</f>
        <v>0</v>
      </c>
    </row>
    <row r="169" spans="2:7" x14ac:dyDescent="0.5">
      <c r="B169" s="8" t="s">
        <v>166</v>
      </c>
      <c r="C169" s="29" t="s">
        <v>350</v>
      </c>
      <c r="D169" s="28" t="s">
        <v>103</v>
      </c>
      <c r="E169" s="51" t="s">
        <v>166</v>
      </c>
      <c r="F169" s="28"/>
      <c r="G169" s="116"/>
    </row>
    <row r="170" spans="2:7" x14ac:dyDescent="0.5">
      <c r="B170" s="8" t="s">
        <v>167</v>
      </c>
      <c r="C170" s="29" t="s">
        <v>350</v>
      </c>
      <c r="D170" s="28" t="s">
        <v>103</v>
      </c>
      <c r="E170" s="51" t="s">
        <v>168</v>
      </c>
      <c r="F170" s="65" t="str">
        <f>Assumptions!F130</f>
        <v>Total Pax</v>
      </c>
      <c r="G170" s="111">
        <f>Assumptions!G130</f>
        <v>0.6</v>
      </c>
    </row>
    <row r="171" spans="2:7" x14ac:dyDescent="0.5">
      <c r="B171" s="8" t="s">
        <v>169</v>
      </c>
      <c r="C171" s="29" t="s">
        <v>350</v>
      </c>
      <c r="D171" s="28" t="s">
        <v>103</v>
      </c>
      <c r="E171" s="51" t="s">
        <v>168</v>
      </c>
      <c r="F171" s="65" t="str">
        <f>Assumptions!F131</f>
        <v>Total Pax</v>
      </c>
      <c r="G171" s="111">
        <f>Assumptions!G131</f>
        <v>0.6</v>
      </c>
    </row>
    <row r="172" spans="2:7" x14ac:dyDescent="0.5">
      <c r="B172" s="8" t="s">
        <v>170</v>
      </c>
      <c r="C172" s="29" t="s">
        <v>350</v>
      </c>
      <c r="D172" s="28" t="s">
        <v>103</v>
      </c>
      <c r="E172" s="51" t="s">
        <v>168</v>
      </c>
      <c r="F172" s="65" t="str">
        <f>Assumptions!F132</f>
        <v>Total Pax</v>
      </c>
      <c r="G172" s="111">
        <f>Assumptions!G132</f>
        <v>0.6</v>
      </c>
    </row>
    <row r="173" spans="2:7" x14ac:dyDescent="0.5">
      <c r="B173" s="8" t="s">
        <v>171</v>
      </c>
      <c r="C173" s="29" t="s">
        <v>350</v>
      </c>
      <c r="D173" s="28" t="s">
        <v>103</v>
      </c>
      <c r="E173" s="51" t="s">
        <v>172</v>
      </c>
      <c r="F173" s="65" t="str">
        <f>Assumptions!F133</f>
        <v>No driver</v>
      </c>
      <c r="G173" s="111">
        <f>Assumptions!G133</f>
        <v>0</v>
      </c>
    </row>
    <row r="174" spans="2:7" x14ac:dyDescent="0.5">
      <c r="B174" s="8" t="s">
        <v>173</v>
      </c>
      <c r="C174" s="29" t="s">
        <v>350</v>
      </c>
      <c r="D174" s="28" t="s">
        <v>103</v>
      </c>
      <c r="E174" s="51" t="s">
        <v>172</v>
      </c>
      <c r="F174" s="65" t="str">
        <f>Assumptions!F134</f>
        <v>Heathrow Express Pax</v>
      </c>
      <c r="G174" s="111">
        <f>Assumptions!G134</f>
        <v>1</v>
      </c>
    </row>
    <row r="175" spans="2:7" x14ac:dyDescent="0.5">
      <c r="B175" s="8" t="s">
        <v>174</v>
      </c>
      <c r="C175" s="29" t="s">
        <v>350</v>
      </c>
      <c r="D175" s="28" t="s">
        <v>103</v>
      </c>
      <c r="E175" s="51" t="s">
        <v>172</v>
      </c>
      <c r="F175" s="65" t="str">
        <f>Assumptions!F135</f>
        <v>No driver</v>
      </c>
      <c r="G175" s="111">
        <f>Assumptions!G135</f>
        <v>0</v>
      </c>
    </row>
    <row r="176" spans="2:7" x14ac:dyDescent="0.5">
      <c r="B176" s="53" t="s">
        <v>161</v>
      </c>
      <c r="C176" s="29" t="s">
        <v>350</v>
      </c>
      <c r="D176" s="28" t="s">
        <v>103</v>
      </c>
      <c r="E176" s="51" t="s">
        <v>172</v>
      </c>
      <c r="F176" s="65" t="str">
        <f>Assumptions!F136</f>
        <v>No driver</v>
      </c>
      <c r="G176" s="111">
        <f>Assumptions!G136</f>
        <v>0</v>
      </c>
    </row>
    <row r="177" spans="1:7" x14ac:dyDescent="0.5">
      <c r="B177" s="53" t="s">
        <v>161</v>
      </c>
      <c r="C177" s="29" t="s">
        <v>350</v>
      </c>
      <c r="D177" s="28" t="s">
        <v>103</v>
      </c>
      <c r="E177" s="51" t="s">
        <v>172</v>
      </c>
      <c r="F177" s="65" t="str">
        <f>Assumptions!F137</f>
        <v>No driver</v>
      </c>
      <c r="G177" s="111">
        <f>Assumptions!G137</f>
        <v>0</v>
      </c>
    </row>
    <row r="178" spans="1:7" x14ac:dyDescent="0.5">
      <c r="B178" s="53" t="s">
        <v>161</v>
      </c>
      <c r="C178" s="29" t="s">
        <v>350</v>
      </c>
      <c r="D178" s="28" t="s">
        <v>103</v>
      </c>
      <c r="E178" s="51" t="s">
        <v>172</v>
      </c>
      <c r="F178" s="65" t="str">
        <f>Assumptions!F138</f>
        <v>No driver</v>
      </c>
      <c r="G178" s="111">
        <f>Assumptions!G138</f>
        <v>0</v>
      </c>
    </row>
    <row r="179" spans="1:7" x14ac:dyDescent="0.5">
      <c r="B179" s="8" t="s">
        <v>175</v>
      </c>
      <c r="C179" s="29" t="s">
        <v>350</v>
      </c>
      <c r="D179" s="28" t="s">
        <v>103</v>
      </c>
      <c r="E179" s="51" t="s">
        <v>176</v>
      </c>
      <c r="F179" s="65" t="str">
        <f>Assumptions!F139</f>
        <v>Utilised Terminal Floor Area</v>
      </c>
      <c r="G179" s="111">
        <f>Assumptions!G139</f>
        <v>0.5</v>
      </c>
    </row>
    <row r="180" spans="1:7" x14ac:dyDescent="0.5">
      <c r="A180" s="17"/>
      <c r="B180" s="8" t="s">
        <v>177</v>
      </c>
      <c r="C180" s="29" t="s">
        <v>350</v>
      </c>
      <c r="D180" s="28" t="s">
        <v>103</v>
      </c>
      <c r="E180" s="51" t="s">
        <v>176</v>
      </c>
      <c r="F180" s="65" t="str">
        <f>Assumptions!F140</f>
        <v>Utilised Terminal Floor Area</v>
      </c>
      <c r="G180" s="111">
        <f>Assumptions!G140</f>
        <v>0.5</v>
      </c>
    </row>
    <row r="181" spans="1:7" x14ac:dyDescent="0.5">
      <c r="B181" s="8" t="s">
        <v>178</v>
      </c>
      <c r="C181" s="29" t="s">
        <v>350</v>
      </c>
      <c r="D181" s="28" t="s">
        <v>103</v>
      </c>
      <c r="E181" s="51" t="s">
        <v>176</v>
      </c>
      <c r="F181" s="65" t="str">
        <f>Assumptions!F141</f>
        <v>Utilised Terminal Floor Area</v>
      </c>
      <c r="G181" s="111">
        <f>Assumptions!G141</f>
        <v>0.5</v>
      </c>
    </row>
    <row r="182" spans="1:7" x14ac:dyDescent="0.5">
      <c r="B182" s="8" t="s">
        <v>179</v>
      </c>
      <c r="C182" s="29" t="s">
        <v>350</v>
      </c>
      <c r="D182" s="28" t="s">
        <v>103</v>
      </c>
      <c r="E182" s="51" t="s">
        <v>176</v>
      </c>
      <c r="F182" s="65" t="str">
        <f>Assumptions!F142</f>
        <v>Utilised Terminal Floor Area</v>
      </c>
      <c r="G182" s="111">
        <f>Assumptions!G142</f>
        <v>0.5</v>
      </c>
    </row>
    <row r="183" spans="1:7" x14ac:dyDescent="0.5">
      <c r="B183" s="53" t="s">
        <v>180</v>
      </c>
      <c r="C183" s="29" t="s">
        <v>350</v>
      </c>
      <c r="D183" s="28" t="s">
        <v>103</v>
      </c>
      <c r="E183" s="51" t="s">
        <v>176</v>
      </c>
      <c r="F183" s="65" t="str">
        <f>Assumptions!F143</f>
        <v>Utilised Terminal Floor Area</v>
      </c>
      <c r="G183" s="111">
        <f>Assumptions!G143</f>
        <v>0.5</v>
      </c>
    </row>
    <row r="184" spans="1:7" x14ac:dyDescent="0.5">
      <c r="B184" s="53" t="s">
        <v>181</v>
      </c>
      <c r="C184" s="29" t="s">
        <v>350</v>
      </c>
      <c r="D184" s="28" t="s">
        <v>103</v>
      </c>
      <c r="E184" s="51" t="s">
        <v>176</v>
      </c>
      <c r="F184" s="65" t="str">
        <f>Assumptions!F144</f>
        <v>Utilised Terminal Floor Area</v>
      </c>
      <c r="G184" s="111">
        <f>Assumptions!G144</f>
        <v>0.5</v>
      </c>
    </row>
    <row r="185" spans="1:7" x14ac:dyDescent="0.5">
      <c r="B185" s="53" t="s">
        <v>161</v>
      </c>
      <c r="C185" s="29" t="s">
        <v>350</v>
      </c>
      <c r="D185" s="28" t="s">
        <v>103</v>
      </c>
      <c r="E185" s="51" t="s">
        <v>176</v>
      </c>
      <c r="F185" s="65" t="str">
        <f>Assumptions!F145</f>
        <v>No driver</v>
      </c>
      <c r="G185" s="111">
        <f>Assumptions!G145</f>
        <v>0</v>
      </c>
    </row>
    <row r="186" spans="1:7" x14ac:dyDescent="0.5">
      <c r="B186" s="53" t="s">
        <v>161</v>
      </c>
      <c r="C186" s="29" t="s">
        <v>350</v>
      </c>
      <c r="D186" s="28" t="s">
        <v>103</v>
      </c>
      <c r="E186" s="51" t="s">
        <v>176</v>
      </c>
      <c r="F186" s="65" t="str">
        <f>Assumptions!F146</f>
        <v>No driver</v>
      </c>
      <c r="G186" s="111">
        <f>Assumptions!G146</f>
        <v>0</v>
      </c>
    </row>
    <row r="187" spans="1:7" x14ac:dyDescent="0.5">
      <c r="B187" s="53" t="s">
        <v>161</v>
      </c>
      <c r="C187" s="29" t="s">
        <v>350</v>
      </c>
      <c r="D187" s="28" t="s">
        <v>103</v>
      </c>
      <c r="E187" s="51" t="s">
        <v>176</v>
      </c>
      <c r="F187" s="65" t="str">
        <f>Assumptions!F147</f>
        <v>No driver</v>
      </c>
      <c r="G187" s="111">
        <f>Assumptions!G147</f>
        <v>0</v>
      </c>
    </row>
    <row r="188" spans="1:7" x14ac:dyDescent="0.5">
      <c r="B188" s="8" t="s">
        <v>182</v>
      </c>
      <c r="C188" s="29" t="s">
        <v>350</v>
      </c>
      <c r="D188" s="28" t="s">
        <v>103</v>
      </c>
      <c r="E188" s="51" t="s">
        <v>182</v>
      </c>
      <c r="F188" s="65" t="str">
        <f>Assumptions!F148</f>
        <v>No driver</v>
      </c>
      <c r="G188" s="111">
        <f>Assumptions!G148</f>
        <v>0</v>
      </c>
    </row>
    <row r="189" spans="1:7" x14ac:dyDescent="0.5">
      <c r="B189" s="8" t="s">
        <v>183</v>
      </c>
      <c r="C189" s="29" t="s">
        <v>350</v>
      </c>
      <c r="D189" s="28" t="s">
        <v>103</v>
      </c>
      <c r="E189" s="51" t="s">
        <v>184</v>
      </c>
      <c r="F189" s="65" t="str">
        <f>Assumptions!F149</f>
        <v>No driver</v>
      </c>
      <c r="G189" s="111">
        <f>Assumptions!G149</f>
        <v>0</v>
      </c>
    </row>
    <row r="190" spans="1:7" x14ac:dyDescent="0.5">
      <c r="B190" s="8" t="s">
        <v>185</v>
      </c>
      <c r="C190" s="29" t="s">
        <v>350</v>
      </c>
      <c r="D190" s="28" t="s">
        <v>103</v>
      </c>
      <c r="E190" s="51" t="s">
        <v>184</v>
      </c>
      <c r="F190" s="65" t="str">
        <f>Assumptions!F150</f>
        <v>No driver</v>
      </c>
      <c r="G190" s="111">
        <f>Assumptions!G150</f>
        <v>0</v>
      </c>
    </row>
    <row r="191" spans="1:7" x14ac:dyDescent="0.5">
      <c r="B191" s="8" t="s">
        <v>186</v>
      </c>
      <c r="C191" s="29" t="s">
        <v>350</v>
      </c>
      <c r="D191" s="28" t="s">
        <v>103</v>
      </c>
      <c r="E191" s="51" t="s">
        <v>184</v>
      </c>
      <c r="F191" s="65" t="str">
        <f>Assumptions!F151</f>
        <v>No driver</v>
      </c>
      <c r="G191" s="111">
        <f>Assumptions!G151</f>
        <v>0</v>
      </c>
    </row>
    <row r="192" spans="1:7" x14ac:dyDescent="0.5">
      <c r="B192" s="8" t="s">
        <v>161</v>
      </c>
      <c r="C192" s="29" t="s">
        <v>350</v>
      </c>
      <c r="D192" s="28" t="s">
        <v>103</v>
      </c>
      <c r="E192" s="51" t="s">
        <v>184</v>
      </c>
      <c r="F192" s="65" t="str">
        <f>Assumptions!F152</f>
        <v>No driver</v>
      </c>
      <c r="G192" s="111">
        <f>Assumptions!G152</f>
        <v>0</v>
      </c>
    </row>
    <row r="193" spans="1:13" x14ac:dyDescent="0.5">
      <c r="B193" s="53" t="s">
        <v>161</v>
      </c>
      <c r="C193" s="29" t="s">
        <v>350</v>
      </c>
      <c r="D193" s="28" t="s">
        <v>103</v>
      </c>
      <c r="E193" s="51" t="s">
        <v>184</v>
      </c>
      <c r="F193" s="65" t="str">
        <f>Assumptions!F153</f>
        <v>No driver</v>
      </c>
      <c r="G193" s="111">
        <f>Assumptions!G153</f>
        <v>0</v>
      </c>
    </row>
    <row r="194" spans="1:13" x14ac:dyDescent="0.5">
      <c r="B194" s="53" t="s">
        <v>161</v>
      </c>
      <c r="C194" s="29" t="s">
        <v>350</v>
      </c>
      <c r="D194" s="28" t="s">
        <v>103</v>
      </c>
      <c r="E194" s="51" t="s">
        <v>184</v>
      </c>
      <c r="F194" s="65" t="str">
        <f>Assumptions!F154</f>
        <v>No driver</v>
      </c>
      <c r="G194" s="111">
        <f>Assumptions!G154</f>
        <v>0</v>
      </c>
    </row>
    <row r="195" spans="1:13" x14ac:dyDescent="0.5">
      <c r="B195" s="53" t="s">
        <v>187</v>
      </c>
      <c r="C195" s="29" t="s">
        <v>350</v>
      </c>
      <c r="D195" s="28" t="s">
        <v>103</v>
      </c>
      <c r="E195" s="51" t="s">
        <v>187</v>
      </c>
      <c r="F195" s="28"/>
      <c r="G195" s="116"/>
    </row>
    <row r="196" spans="1:13" x14ac:dyDescent="0.5">
      <c r="B196" s="8" t="s">
        <v>161</v>
      </c>
      <c r="C196" s="29" t="s">
        <v>350</v>
      </c>
      <c r="D196" s="28" t="s">
        <v>103</v>
      </c>
      <c r="E196" s="51" t="s">
        <v>187</v>
      </c>
      <c r="F196" s="65" t="str">
        <f>Assumptions!F156</f>
        <v>No driver</v>
      </c>
      <c r="G196" s="111">
        <f>Assumptions!G156</f>
        <v>0</v>
      </c>
    </row>
    <row r="197" spans="1:13" x14ac:dyDescent="0.5">
      <c r="B197" s="53" t="s">
        <v>161</v>
      </c>
      <c r="C197" s="29" t="s">
        <v>350</v>
      </c>
      <c r="D197" s="28" t="s">
        <v>103</v>
      </c>
      <c r="E197" s="51" t="s">
        <v>187</v>
      </c>
      <c r="F197" s="65" t="str">
        <f>Assumptions!F157</f>
        <v>No driver</v>
      </c>
      <c r="G197" s="111">
        <f>Assumptions!G157</f>
        <v>0</v>
      </c>
    </row>
    <row r="198" spans="1:13" x14ac:dyDescent="0.5">
      <c r="B198" s="53" t="s">
        <v>161</v>
      </c>
      <c r="C198" s="29" t="s">
        <v>350</v>
      </c>
      <c r="D198" s="28" t="s">
        <v>103</v>
      </c>
      <c r="E198" s="51" t="s">
        <v>187</v>
      </c>
      <c r="F198" s="65" t="str">
        <f>Assumptions!F158</f>
        <v>No driver</v>
      </c>
      <c r="G198" s="111">
        <f>Assumptions!G158</f>
        <v>0</v>
      </c>
    </row>
    <row r="200" spans="1:13" ht="19" thickBot="1" x14ac:dyDescent="0.55000000000000004">
      <c r="A200" s="14" t="s">
        <v>358</v>
      </c>
    </row>
    <row r="201" spans="1:13" ht="17" thickTop="1" x14ac:dyDescent="0.5"/>
    <row r="202" spans="1:13" ht="17" thickBot="1" x14ac:dyDescent="0.55000000000000004">
      <c r="B202" s="27" t="s">
        <v>302</v>
      </c>
      <c r="C202" s="27" t="s">
        <v>96</v>
      </c>
      <c r="D202" s="27" t="s">
        <v>97</v>
      </c>
      <c r="E202" s="50" t="s">
        <v>98</v>
      </c>
      <c r="F202" s="12">
        <v>2024</v>
      </c>
      <c r="G202" s="12">
        <v>2025</v>
      </c>
      <c r="H202" s="12">
        <v>2026</v>
      </c>
      <c r="I202" s="12">
        <v>2027</v>
      </c>
      <c r="J202" s="12">
        <v>2028</v>
      </c>
      <c r="K202" s="12">
        <v>2029</v>
      </c>
      <c r="L202" s="12">
        <v>2030</v>
      </c>
      <c r="M202" s="12">
        <v>2031</v>
      </c>
    </row>
    <row r="203" spans="1:13" x14ac:dyDescent="0.5">
      <c r="B203" s="8" t="s">
        <v>101</v>
      </c>
      <c r="C203" s="29" t="s">
        <v>102</v>
      </c>
      <c r="D203" s="28" t="s">
        <v>103</v>
      </c>
      <c r="E203" s="51" t="s">
        <v>104</v>
      </c>
      <c r="F203" s="64"/>
      <c r="G203" s="92">
        <f>IFERROR(INDEX(G$61:G$107, MATCH($F112, $B$61:$B$107, 0)), 0) * $G112</f>
        <v>1.9108938713630753E-3</v>
      </c>
      <c r="H203" s="92">
        <f t="shared" ref="H203:M203" si="27">IFERROR(INDEX(H$61:H$107, MATCH($F112, $B$61:$B$107, 0)), 0) * $G112</f>
        <v>3.8311070862184077E-3</v>
      </c>
      <c r="I203" s="92">
        <f t="shared" si="27"/>
        <v>1.1979947133935892E-3</v>
      </c>
      <c r="J203" s="92">
        <f t="shared" si="27"/>
        <v>3.0264785600802773E-3</v>
      </c>
      <c r="K203" s="92">
        <f t="shared" si="27"/>
        <v>3.2949382400012067E-3</v>
      </c>
      <c r="L203" s="92">
        <f t="shared" si="27"/>
        <v>3.1764603196852634E-3</v>
      </c>
      <c r="M203" s="92">
        <f t="shared" si="27"/>
        <v>2.6910260193590504E-3</v>
      </c>
    </row>
    <row r="204" spans="1:13" x14ac:dyDescent="0.5">
      <c r="B204" s="8" t="s">
        <v>105</v>
      </c>
      <c r="C204" s="29" t="s">
        <v>102</v>
      </c>
      <c r="D204" s="28" t="s">
        <v>103</v>
      </c>
      <c r="E204" s="51" t="s">
        <v>104</v>
      </c>
      <c r="F204" s="64"/>
      <c r="G204" s="92">
        <f t="shared" ref="G204:M204" si="28">IFERROR(INDEX(G$61:G$107, MATCH($F113, $B$61:$B$107, 0)), 0) * $G113</f>
        <v>1.9108938713630753E-3</v>
      </c>
      <c r="H204" s="92">
        <f t="shared" si="28"/>
        <v>3.8311070862184077E-3</v>
      </c>
      <c r="I204" s="92">
        <f t="shared" si="28"/>
        <v>1.1979947133935892E-3</v>
      </c>
      <c r="J204" s="92">
        <f t="shared" si="28"/>
        <v>3.0264785600802773E-3</v>
      </c>
      <c r="K204" s="92">
        <f t="shared" si="28"/>
        <v>3.2949382400012067E-3</v>
      </c>
      <c r="L204" s="92">
        <f t="shared" si="28"/>
        <v>3.1764603196852634E-3</v>
      </c>
      <c r="M204" s="92">
        <f t="shared" si="28"/>
        <v>2.6910260193590504E-3</v>
      </c>
    </row>
    <row r="205" spans="1:13" x14ac:dyDescent="0.5">
      <c r="B205" s="8" t="s">
        <v>106</v>
      </c>
      <c r="C205" s="29" t="s">
        <v>102</v>
      </c>
      <c r="D205" s="28" t="s">
        <v>103</v>
      </c>
      <c r="E205" s="51" t="s">
        <v>104</v>
      </c>
      <c r="F205" s="64"/>
      <c r="G205" s="92">
        <f t="shared" ref="G205:M205" si="29">IFERROR(INDEX(G$61:G$107, MATCH($F114, $B$61:$B$107, 0)), 0) * $G114</f>
        <v>1.9108938713630753E-3</v>
      </c>
      <c r="H205" s="92">
        <f t="shared" si="29"/>
        <v>3.8311070862184077E-3</v>
      </c>
      <c r="I205" s="92">
        <f t="shared" si="29"/>
        <v>1.1979947133935892E-3</v>
      </c>
      <c r="J205" s="92">
        <f t="shared" si="29"/>
        <v>3.0264785600802773E-3</v>
      </c>
      <c r="K205" s="92">
        <f t="shared" si="29"/>
        <v>3.2949382400012067E-3</v>
      </c>
      <c r="L205" s="92">
        <f t="shared" si="29"/>
        <v>3.1764603196852634E-3</v>
      </c>
      <c r="M205" s="92">
        <f t="shared" si="29"/>
        <v>2.6910260193590504E-3</v>
      </c>
    </row>
    <row r="206" spans="1:13" x14ac:dyDescent="0.5">
      <c r="B206" s="8" t="s">
        <v>107</v>
      </c>
      <c r="C206" s="29" t="s">
        <v>102</v>
      </c>
      <c r="D206" s="28" t="s">
        <v>103</v>
      </c>
      <c r="E206" s="51" t="s">
        <v>104</v>
      </c>
      <c r="F206" s="64"/>
      <c r="G206" s="92">
        <f t="shared" ref="G206:M206" si="30">IFERROR(INDEX(G$61:G$107, MATCH($F115, $B$61:$B$107, 0)), 0) * $G115</f>
        <v>1.9108938713630753E-3</v>
      </c>
      <c r="H206" s="92">
        <f t="shared" si="30"/>
        <v>3.8311070862184077E-3</v>
      </c>
      <c r="I206" s="92">
        <f t="shared" si="30"/>
        <v>1.1979947133935892E-3</v>
      </c>
      <c r="J206" s="92">
        <f t="shared" si="30"/>
        <v>3.0264785600802773E-3</v>
      </c>
      <c r="K206" s="92">
        <f t="shared" si="30"/>
        <v>3.2949382400012067E-3</v>
      </c>
      <c r="L206" s="92">
        <f t="shared" si="30"/>
        <v>3.1764603196852634E-3</v>
      </c>
      <c r="M206" s="92">
        <f t="shared" si="30"/>
        <v>2.6910260193590504E-3</v>
      </c>
    </row>
    <row r="207" spans="1:13" x14ac:dyDescent="0.5">
      <c r="B207" s="8" t="s">
        <v>108</v>
      </c>
      <c r="C207" s="29" t="s">
        <v>102</v>
      </c>
      <c r="D207" s="28" t="s">
        <v>103</v>
      </c>
      <c r="E207" s="51" t="s">
        <v>104</v>
      </c>
      <c r="F207" s="64"/>
      <c r="G207" s="92">
        <f t="shared" ref="G207:M207" si="31">IFERROR(INDEX(G$61:G$107, MATCH($F116, $B$61:$B$107, 0)), 0) * $G116</f>
        <v>1.9108938713630753E-3</v>
      </c>
      <c r="H207" s="92">
        <f t="shared" si="31"/>
        <v>3.8311070862184077E-3</v>
      </c>
      <c r="I207" s="92">
        <f t="shared" si="31"/>
        <v>1.1979947133935892E-3</v>
      </c>
      <c r="J207" s="92">
        <f t="shared" si="31"/>
        <v>3.0264785600802773E-3</v>
      </c>
      <c r="K207" s="92">
        <f t="shared" si="31"/>
        <v>3.2949382400012067E-3</v>
      </c>
      <c r="L207" s="92">
        <f t="shared" si="31"/>
        <v>3.1764603196852634E-3</v>
      </c>
      <c r="M207" s="92">
        <f t="shared" si="31"/>
        <v>2.6910260193590504E-3</v>
      </c>
    </row>
    <row r="208" spans="1:13" x14ac:dyDescent="0.5">
      <c r="B208" s="8" t="s">
        <v>109</v>
      </c>
      <c r="C208" s="29" t="s">
        <v>102</v>
      </c>
      <c r="D208" s="28" t="s">
        <v>103</v>
      </c>
      <c r="E208" s="51" t="s">
        <v>104</v>
      </c>
      <c r="F208" s="64"/>
      <c r="G208" s="92">
        <f t="shared" ref="G208:M208" si="32">IFERROR(INDEX(G$61:G$107, MATCH($F117, $B$61:$B$107, 0)), 0) * $G117</f>
        <v>1.9108938713630753E-3</v>
      </c>
      <c r="H208" s="92">
        <f t="shared" si="32"/>
        <v>3.8311070862184077E-3</v>
      </c>
      <c r="I208" s="92">
        <f t="shared" si="32"/>
        <v>1.1979947133935892E-3</v>
      </c>
      <c r="J208" s="92">
        <f t="shared" si="32"/>
        <v>3.0264785600802773E-3</v>
      </c>
      <c r="K208" s="92">
        <f t="shared" si="32"/>
        <v>3.2949382400012067E-3</v>
      </c>
      <c r="L208" s="92">
        <f t="shared" si="32"/>
        <v>3.1764603196852634E-3</v>
      </c>
      <c r="M208" s="92">
        <f t="shared" si="32"/>
        <v>2.6910260193590504E-3</v>
      </c>
    </row>
    <row r="209" spans="2:13" x14ac:dyDescent="0.5">
      <c r="B209" s="8" t="s">
        <v>110</v>
      </c>
      <c r="C209" s="29" t="s">
        <v>102</v>
      </c>
      <c r="D209" s="28" t="s">
        <v>103</v>
      </c>
      <c r="E209" s="51" t="s">
        <v>104</v>
      </c>
      <c r="F209" s="64"/>
      <c r="G209" s="92">
        <f t="shared" ref="G209:M209" si="33">IFERROR(INDEX(G$61:G$107, MATCH($F118, $B$61:$B$107, 0)), 0) * $G118</f>
        <v>0</v>
      </c>
      <c r="H209" s="92">
        <f t="shared" si="33"/>
        <v>0</v>
      </c>
      <c r="I209" s="92">
        <f t="shared" si="33"/>
        <v>0</v>
      </c>
      <c r="J209" s="92">
        <f t="shared" si="33"/>
        <v>0</v>
      </c>
      <c r="K209" s="92">
        <f t="shared" si="33"/>
        <v>0</v>
      </c>
      <c r="L209" s="92">
        <f t="shared" si="33"/>
        <v>0</v>
      </c>
      <c r="M209" s="92">
        <f t="shared" si="33"/>
        <v>0</v>
      </c>
    </row>
    <row r="210" spans="2:13" x14ac:dyDescent="0.5">
      <c r="B210" s="8" t="s">
        <v>111</v>
      </c>
      <c r="C210" s="29" t="s">
        <v>102</v>
      </c>
      <c r="D210" s="28" t="s">
        <v>103</v>
      </c>
      <c r="E210" s="51" t="s">
        <v>112</v>
      </c>
      <c r="F210" s="64"/>
      <c r="G210" s="92">
        <f t="shared" ref="G210:M210" si="34">IFERROR(INDEX(G$61:G$107, MATCH($F119, $B$61:$B$107, 0)), 0) * $G119</f>
        <v>0</v>
      </c>
      <c r="H210" s="92">
        <f t="shared" si="34"/>
        <v>0</v>
      </c>
      <c r="I210" s="92">
        <f t="shared" si="34"/>
        <v>0</v>
      </c>
      <c r="J210" s="92">
        <f t="shared" si="34"/>
        <v>0</v>
      </c>
      <c r="K210" s="92">
        <f t="shared" si="34"/>
        <v>0</v>
      </c>
      <c r="L210" s="92">
        <f t="shared" si="34"/>
        <v>0</v>
      </c>
      <c r="M210" s="92">
        <f t="shared" si="34"/>
        <v>0</v>
      </c>
    </row>
    <row r="211" spans="2:13" x14ac:dyDescent="0.5">
      <c r="B211" s="8" t="s">
        <v>113</v>
      </c>
      <c r="C211" s="29" t="s">
        <v>102</v>
      </c>
      <c r="D211" s="28" t="s">
        <v>103</v>
      </c>
      <c r="E211" s="51" t="s">
        <v>112</v>
      </c>
      <c r="F211" s="64"/>
      <c r="G211" s="92">
        <f t="shared" ref="G211:M211" si="35">IFERROR(INDEX(G$61:G$107, MATCH($F120, $B$61:$B$107, 0)), 0) * $G120</f>
        <v>0</v>
      </c>
      <c r="H211" s="92">
        <f t="shared" si="35"/>
        <v>0</v>
      </c>
      <c r="I211" s="92">
        <f t="shared" si="35"/>
        <v>0</v>
      </c>
      <c r="J211" s="92">
        <f t="shared" si="35"/>
        <v>0</v>
      </c>
      <c r="K211" s="92">
        <f t="shared" si="35"/>
        <v>0</v>
      </c>
      <c r="L211" s="92">
        <f t="shared" si="35"/>
        <v>0</v>
      </c>
      <c r="M211" s="92">
        <f t="shared" si="35"/>
        <v>0</v>
      </c>
    </row>
    <row r="212" spans="2:13" x14ac:dyDescent="0.5">
      <c r="B212" s="8" t="s">
        <v>114</v>
      </c>
      <c r="C212" s="29" t="s">
        <v>102</v>
      </c>
      <c r="D212" s="28" t="s">
        <v>103</v>
      </c>
      <c r="E212" s="51" t="s">
        <v>112</v>
      </c>
      <c r="F212" s="64"/>
      <c r="G212" s="92">
        <f t="shared" ref="G212:M212" si="36">IFERROR(INDEX(G$61:G$107, MATCH($F121, $B$61:$B$107, 0)), 0) * $G121</f>
        <v>0</v>
      </c>
      <c r="H212" s="92">
        <f t="shared" si="36"/>
        <v>0</v>
      </c>
      <c r="I212" s="92">
        <f t="shared" si="36"/>
        <v>0</v>
      </c>
      <c r="J212" s="92">
        <f t="shared" si="36"/>
        <v>0</v>
      </c>
      <c r="K212" s="92">
        <f t="shared" si="36"/>
        <v>0</v>
      </c>
      <c r="L212" s="92">
        <f t="shared" si="36"/>
        <v>0</v>
      </c>
      <c r="M212" s="92">
        <f t="shared" si="36"/>
        <v>0</v>
      </c>
    </row>
    <row r="213" spans="2:13" x14ac:dyDescent="0.5">
      <c r="B213" s="8" t="s">
        <v>115</v>
      </c>
      <c r="C213" s="29" t="s">
        <v>102</v>
      </c>
      <c r="D213" s="28" t="s">
        <v>103</v>
      </c>
      <c r="E213" s="51" t="s">
        <v>112</v>
      </c>
      <c r="F213" s="64"/>
      <c r="G213" s="92">
        <f t="shared" ref="G213:M213" si="37">IFERROR(INDEX(G$61:G$107, MATCH($F122, $B$61:$B$107, 0)), 0) * $G122</f>
        <v>0</v>
      </c>
      <c r="H213" s="92">
        <f t="shared" si="37"/>
        <v>0</v>
      </c>
      <c r="I213" s="92">
        <f t="shared" si="37"/>
        <v>0</v>
      </c>
      <c r="J213" s="92">
        <f t="shared" si="37"/>
        <v>0</v>
      </c>
      <c r="K213" s="92">
        <f t="shared" si="37"/>
        <v>0</v>
      </c>
      <c r="L213" s="92">
        <f t="shared" si="37"/>
        <v>0</v>
      </c>
      <c r="M213" s="92">
        <f t="shared" si="37"/>
        <v>0</v>
      </c>
    </row>
    <row r="214" spans="2:13" x14ac:dyDescent="0.5">
      <c r="B214" s="8" t="s">
        <v>116</v>
      </c>
      <c r="C214" s="29" t="s">
        <v>102</v>
      </c>
      <c r="D214" s="28" t="s">
        <v>103</v>
      </c>
      <c r="E214" s="51" t="s">
        <v>117</v>
      </c>
      <c r="F214" s="64"/>
      <c r="G214" s="220"/>
      <c r="H214" s="220"/>
      <c r="I214" s="220"/>
      <c r="J214" s="220"/>
      <c r="K214" s="220"/>
      <c r="L214" s="220"/>
      <c r="M214" s="220"/>
    </row>
    <row r="215" spans="2:13" x14ac:dyDescent="0.5">
      <c r="B215" s="8" t="s">
        <v>118</v>
      </c>
      <c r="C215" s="29" t="s">
        <v>102</v>
      </c>
      <c r="D215" s="28" t="s">
        <v>103</v>
      </c>
      <c r="E215" s="51" t="s">
        <v>119</v>
      </c>
      <c r="F215" s="64"/>
      <c r="G215" s="92">
        <f t="shared" ref="G215:M215" si="38">IFERROR(INDEX(G$61:G$107, MATCH($F124, $B$61:$B$107, 0)), 0) * $G124</f>
        <v>1.9108938713630753E-3</v>
      </c>
      <c r="H215" s="92">
        <f t="shared" si="38"/>
        <v>3.8311070862184077E-3</v>
      </c>
      <c r="I215" s="92">
        <f t="shared" si="38"/>
        <v>1.1979947133935892E-3</v>
      </c>
      <c r="J215" s="92">
        <f t="shared" si="38"/>
        <v>3.0264785600802773E-3</v>
      </c>
      <c r="K215" s="92">
        <f t="shared" si="38"/>
        <v>3.2949382400012067E-3</v>
      </c>
      <c r="L215" s="92">
        <f t="shared" si="38"/>
        <v>3.1764603196852634E-3</v>
      </c>
      <c r="M215" s="92">
        <f t="shared" si="38"/>
        <v>2.6910260193590504E-3</v>
      </c>
    </row>
    <row r="216" spans="2:13" x14ac:dyDescent="0.5">
      <c r="B216" s="8" t="s">
        <v>120</v>
      </c>
      <c r="C216" s="29" t="s">
        <v>102</v>
      </c>
      <c r="D216" s="28" t="s">
        <v>103</v>
      </c>
      <c r="E216" s="51" t="s">
        <v>119</v>
      </c>
      <c r="F216" s="64"/>
      <c r="G216" s="92">
        <f t="shared" ref="G216:M216" si="39">IFERROR(INDEX(G$61:G$107, MATCH($F125, $B$61:$B$107, 0)), 0) * $G125</f>
        <v>1.9108938713630753E-3</v>
      </c>
      <c r="H216" s="92">
        <f t="shared" si="39"/>
        <v>3.8311070862184077E-3</v>
      </c>
      <c r="I216" s="92">
        <f t="shared" si="39"/>
        <v>1.1979947133935892E-3</v>
      </c>
      <c r="J216" s="92">
        <f t="shared" si="39"/>
        <v>3.0264785600802773E-3</v>
      </c>
      <c r="K216" s="92">
        <f t="shared" si="39"/>
        <v>3.2949382400012067E-3</v>
      </c>
      <c r="L216" s="92">
        <f t="shared" si="39"/>
        <v>3.1764603196852634E-3</v>
      </c>
      <c r="M216" s="92">
        <f t="shared" si="39"/>
        <v>2.6910260193590504E-3</v>
      </c>
    </row>
    <row r="217" spans="2:13" x14ac:dyDescent="0.5">
      <c r="B217" s="8" t="s">
        <v>121</v>
      </c>
      <c r="C217" s="29" t="s">
        <v>102</v>
      </c>
      <c r="D217" s="28" t="s">
        <v>103</v>
      </c>
      <c r="E217" s="51" t="s">
        <v>119</v>
      </c>
      <c r="F217" s="64"/>
      <c r="G217" s="92">
        <f t="shared" ref="G217:M217" si="40">IFERROR(INDEX(G$61:G$107, MATCH($F126, $B$61:$B$107, 0)), 0) * $G126</f>
        <v>1.9108938713630753E-3</v>
      </c>
      <c r="H217" s="92">
        <f t="shared" si="40"/>
        <v>3.8311070862184077E-3</v>
      </c>
      <c r="I217" s="92">
        <f t="shared" si="40"/>
        <v>1.1979947133935892E-3</v>
      </c>
      <c r="J217" s="92">
        <f t="shared" si="40"/>
        <v>3.0264785600802773E-3</v>
      </c>
      <c r="K217" s="92">
        <f t="shared" si="40"/>
        <v>3.2949382400012067E-3</v>
      </c>
      <c r="L217" s="92">
        <f t="shared" si="40"/>
        <v>3.1764603196852634E-3</v>
      </c>
      <c r="M217" s="92">
        <f t="shared" si="40"/>
        <v>2.6910260193590504E-3</v>
      </c>
    </row>
    <row r="218" spans="2:13" x14ac:dyDescent="0.5">
      <c r="B218" s="8" t="s">
        <v>122</v>
      </c>
      <c r="C218" s="29" t="s">
        <v>102</v>
      </c>
      <c r="D218" s="28" t="s">
        <v>103</v>
      </c>
      <c r="E218" s="51" t="s">
        <v>119</v>
      </c>
      <c r="F218" s="64"/>
      <c r="G218" s="92">
        <f t="shared" ref="G218:M218" si="41">IFERROR(INDEX(G$61:G$107, MATCH($F127, $B$61:$B$107, 0)), 0) * $G127</f>
        <v>1.9108938713630753E-3</v>
      </c>
      <c r="H218" s="92">
        <f t="shared" si="41"/>
        <v>3.8311070862184077E-3</v>
      </c>
      <c r="I218" s="92">
        <f t="shared" si="41"/>
        <v>1.1979947133935892E-3</v>
      </c>
      <c r="J218" s="92">
        <f t="shared" si="41"/>
        <v>3.0264785600802773E-3</v>
      </c>
      <c r="K218" s="92">
        <f t="shared" si="41"/>
        <v>3.2949382400012067E-3</v>
      </c>
      <c r="L218" s="92">
        <f t="shared" si="41"/>
        <v>3.1764603196852634E-3</v>
      </c>
      <c r="M218" s="92">
        <f t="shared" si="41"/>
        <v>2.6910260193590504E-3</v>
      </c>
    </row>
    <row r="219" spans="2:13" x14ac:dyDescent="0.5">
      <c r="B219" s="8" t="s">
        <v>123</v>
      </c>
      <c r="C219" s="29" t="s">
        <v>102</v>
      </c>
      <c r="D219" s="28" t="s">
        <v>103</v>
      </c>
      <c r="E219" s="51" t="s">
        <v>119</v>
      </c>
      <c r="F219" s="64"/>
      <c r="G219" s="92">
        <f t="shared" ref="G219:M219" si="42">IFERROR(INDEX(G$61:G$107, MATCH($F128, $B$61:$B$107, 0)), 0) * $G128</f>
        <v>1.9108938713630753E-3</v>
      </c>
      <c r="H219" s="92">
        <f t="shared" si="42"/>
        <v>3.8311070862184077E-3</v>
      </c>
      <c r="I219" s="92">
        <f t="shared" si="42"/>
        <v>1.1979947133935892E-3</v>
      </c>
      <c r="J219" s="92">
        <f t="shared" si="42"/>
        <v>3.0264785600802773E-3</v>
      </c>
      <c r="K219" s="92">
        <f t="shared" si="42"/>
        <v>3.2949382400012067E-3</v>
      </c>
      <c r="L219" s="92">
        <f t="shared" si="42"/>
        <v>3.1764603196852634E-3</v>
      </c>
      <c r="M219" s="92">
        <f t="shared" si="42"/>
        <v>2.6910260193590504E-3</v>
      </c>
    </row>
    <row r="220" spans="2:13" x14ac:dyDescent="0.5">
      <c r="B220" s="8" t="s">
        <v>124</v>
      </c>
      <c r="C220" s="29" t="s">
        <v>102</v>
      </c>
      <c r="D220" s="28" t="s">
        <v>103</v>
      </c>
      <c r="E220" s="51" t="s">
        <v>124</v>
      </c>
      <c r="F220" s="64"/>
      <c r="G220" s="92">
        <f t="shared" ref="G220:M220" si="43">IFERROR(INDEX(G$61:G$107, MATCH($F129, $B$61:$B$107, 0)), 0) * $G129</f>
        <v>0</v>
      </c>
      <c r="H220" s="92">
        <f t="shared" si="43"/>
        <v>0</v>
      </c>
      <c r="I220" s="92">
        <f t="shared" si="43"/>
        <v>0</v>
      </c>
      <c r="J220" s="92">
        <f t="shared" si="43"/>
        <v>0</v>
      </c>
      <c r="K220" s="92">
        <f t="shared" si="43"/>
        <v>0</v>
      </c>
      <c r="L220" s="92">
        <f t="shared" si="43"/>
        <v>0</v>
      </c>
      <c r="M220" s="92">
        <f t="shared" si="43"/>
        <v>0</v>
      </c>
    </row>
    <row r="221" spans="2:13" x14ac:dyDescent="0.5">
      <c r="B221" s="8" t="s">
        <v>125</v>
      </c>
      <c r="C221" s="29" t="s">
        <v>102</v>
      </c>
      <c r="D221" s="28" t="s">
        <v>103</v>
      </c>
      <c r="E221" s="51" t="s">
        <v>125</v>
      </c>
      <c r="F221" s="64"/>
      <c r="G221" s="92">
        <f t="shared" ref="G221:M221" si="44">IFERROR(INDEX(G$61:G$107, MATCH($F130, $B$61:$B$107, 0)), 0) * $G130</f>
        <v>0</v>
      </c>
      <c r="H221" s="92">
        <f t="shared" si="44"/>
        <v>0</v>
      </c>
      <c r="I221" s="92">
        <f t="shared" si="44"/>
        <v>0</v>
      </c>
      <c r="J221" s="92">
        <f t="shared" si="44"/>
        <v>0</v>
      </c>
      <c r="K221" s="92">
        <f t="shared" si="44"/>
        <v>0</v>
      </c>
      <c r="L221" s="92">
        <f t="shared" si="44"/>
        <v>0</v>
      </c>
      <c r="M221" s="92">
        <f t="shared" si="44"/>
        <v>0</v>
      </c>
    </row>
    <row r="222" spans="2:13" x14ac:dyDescent="0.5">
      <c r="B222" s="8" t="s">
        <v>126</v>
      </c>
      <c r="C222" s="29" t="s">
        <v>102</v>
      </c>
      <c r="D222" s="28" t="s">
        <v>103</v>
      </c>
      <c r="E222" s="51" t="s">
        <v>127</v>
      </c>
      <c r="F222" s="64"/>
      <c r="G222" s="92">
        <f t="shared" ref="G222:M222" si="45">IFERROR(INDEX(G$61:G$107, MATCH($F131, $B$61:$B$107, 0)), 0) * $G131</f>
        <v>1.5924115594692296E-3</v>
      </c>
      <c r="H222" s="92">
        <f t="shared" si="45"/>
        <v>3.1925892385153399E-3</v>
      </c>
      <c r="I222" s="92">
        <f t="shared" si="45"/>
        <v>9.9832892782799102E-4</v>
      </c>
      <c r="J222" s="92">
        <f t="shared" si="45"/>
        <v>2.5220654667335645E-3</v>
      </c>
      <c r="K222" s="92">
        <f t="shared" si="45"/>
        <v>2.7457818666676722E-3</v>
      </c>
      <c r="L222" s="92">
        <f t="shared" si="45"/>
        <v>2.6470502664043861E-3</v>
      </c>
      <c r="M222" s="92">
        <f t="shared" si="45"/>
        <v>2.2425216827992086E-3</v>
      </c>
    </row>
    <row r="223" spans="2:13" x14ac:dyDescent="0.5">
      <c r="B223" s="8" t="s">
        <v>128</v>
      </c>
      <c r="C223" s="29" t="s">
        <v>102</v>
      </c>
      <c r="D223" s="28" t="s">
        <v>103</v>
      </c>
      <c r="E223" s="51" t="s">
        <v>127</v>
      </c>
      <c r="F223" s="64"/>
      <c r="G223" s="92">
        <f t="shared" ref="G223:M223" si="46">IFERROR(INDEX(G$61:G$107, MATCH($F132, $B$61:$B$107, 0)), 0) * $G132</f>
        <v>1.5924115594692296E-3</v>
      </c>
      <c r="H223" s="92">
        <f t="shared" si="46"/>
        <v>3.1925892385153399E-3</v>
      </c>
      <c r="I223" s="92">
        <f t="shared" si="46"/>
        <v>9.9832892782799102E-4</v>
      </c>
      <c r="J223" s="92">
        <f t="shared" si="46"/>
        <v>2.5220654667335645E-3</v>
      </c>
      <c r="K223" s="92">
        <f t="shared" si="46"/>
        <v>2.7457818666676722E-3</v>
      </c>
      <c r="L223" s="92">
        <f t="shared" si="46"/>
        <v>2.6470502664043861E-3</v>
      </c>
      <c r="M223" s="92">
        <f t="shared" si="46"/>
        <v>2.2425216827992086E-3</v>
      </c>
    </row>
    <row r="224" spans="2:13" x14ac:dyDescent="0.5">
      <c r="B224" s="8" t="s">
        <v>129</v>
      </c>
      <c r="C224" s="29" t="s">
        <v>102</v>
      </c>
      <c r="D224" s="28" t="s">
        <v>103</v>
      </c>
      <c r="E224" s="51" t="s">
        <v>127</v>
      </c>
      <c r="F224" s="64"/>
      <c r="G224" s="92">
        <f t="shared" ref="G224:M224" si="47">IFERROR(INDEX(G$61:G$107, MATCH($F133, $B$61:$B$107, 0)), 0) * $G133</f>
        <v>1.5924115594692296E-3</v>
      </c>
      <c r="H224" s="92">
        <f t="shared" si="47"/>
        <v>3.1925892385153399E-3</v>
      </c>
      <c r="I224" s="92">
        <f t="shared" si="47"/>
        <v>9.9832892782799102E-4</v>
      </c>
      <c r="J224" s="92">
        <f t="shared" si="47"/>
        <v>2.5220654667335645E-3</v>
      </c>
      <c r="K224" s="92">
        <f t="shared" si="47"/>
        <v>2.7457818666676722E-3</v>
      </c>
      <c r="L224" s="92">
        <f t="shared" si="47"/>
        <v>2.6470502664043861E-3</v>
      </c>
      <c r="M224" s="92">
        <f t="shared" si="47"/>
        <v>2.2425216827992086E-3</v>
      </c>
    </row>
    <row r="225" spans="2:13" x14ac:dyDescent="0.5">
      <c r="B225" s="8" t="s">
        <v>130</v>
      </c>
      <c r="C225" s="29" t="s">
        <v>102</v>
      </c>
      <c r="D225" s="28" t="s">
        <v>103</v>
      </c>
      <c r="E225" s="51" t="s">
        <v>127</v>
      </c>
      <c r="F225" s="64"/>
      <c r="G225" s="92">
        <f t="shared" ref="G225:M225" si="48">IFERROR(INDEX(G$61:G$107, MATCH($F134, $B$61:$B$107, 0)), 0) * $G134</f>
        <v>1.5924115594692296E-3</v>
      </c>
      <c r="H225" s="92">
        <f t="shared" si="48"/>
        <v>3.1925892385153399E-3</v>
      </c>
      <c r="I225" s="92">
        <f t="shared" si="48"/>
        <v>9.9832892782799102E-4</v>
      </c>
      <c r="J225" s="92">
        <f t="shared" si="48"/>
        <v>2.5220654667335645E-3</v>
      </c>
      <c r="K225" s="92">
        <f t="shared" si="48"/>
        <v>2.7457818666676722E-3</v>
      </c>
      <c r="L225" s="92">
        <f t="shared" si="48"/>
        <v>2.6470502664043861E-3</v>
      </c>
      <c r="M225" s="92">
        <f t="shared" si="48"/>
        <v>2.2425216827992086E-3</v>
      </c>
    </row>
    <row r="226" spans="2:13" x14ac:dyDescent="0.5">
      <c r="B226" s="8" t="s">
        <v>131</v>
      </c>
      <c r="C226" s="29" t="s">
        <v>102</v>
      </c>
      <c r="D226" s="28" t="s">
        <v>103</v>
      </c>
      <c r="E226" s="51" t="s">
        <v>127</v>
      </c>
      <c r="F226" s="64"/>
      <c r="G226" s="92">
        <f t="shared" ref="G226:M226" si="49">IFERROR(INDEX(G$61:G$107, MATCH($F135, $B$61:$B$107, 0)), 0) * $G135</f>
        <v>1.5924115594692296E-3</v>
      </c>
      <c r="H226" s="92">
        <f t="shared" si="49"/>
        <v>3.1925892385153399E-3</v>
      </c>
      <c r="I226" s="92">
        <f t="shared" si="49"/>
        <v>9.9832892782799102E-4</v>
      </c>
      <c r="J226" s="92">
        <f t="shared" si="49"/>
        <v>2.5220654667335645E-3</v>
      </c>
      <c r="K226" s="92">
        <f t="shared" si="49"/>
        <v>2.7457818666676722E-3</v>
      </c>
      <c r="L226" s="92">
        <f t="shared" si="49"/>
        <v>2.6470502664043861E-3</v>
      </c>
      <c r="M226" s="92">
        <f t="shared" si="49"/>
        <v>2.2425216827992086E-3</v>
      </c>
    </row>
    <row r="227" spans="2:13" x14ac:dyDescent="0.5">
      <c r="B227" s="8" t="s">
        <v>132</v>
      </c>
      <c r="C227" s="29" t="s">
        <v>102</v>
      </c>
      <c r="D227" s="28" t="s">
        <v>103</v>
      </c>
      <c r="E227" s="51" t="s">
        <v>127</v>
      </c>
      <c r="F227" s="64"/>
      <c r="G227" s="92">
        <f t="shared" ref="G227:M227" si="50">IFERROR(INDEX(G$61:G$107, MATCH($F136, $B$61:$B$107, 0)), 0) * $G136</f>
        <v>1.5924115594692296E-3</v>
      </c>
      <c r="H227" s="92">
        <f t="shared" si="50"/>
        <v>3.1925892385153399E-3</v>
      </c>
      <c r="I227" s="92">
        <f t="shared" si="50"/>
        <v>9.9832892782799102E-4</v>
      </c>
      <c r="J227" s="92">
        <f t="shared" si="50"/>
        <v>2.5220654667335645E-3</v>
      </c>
      <c r="K227" s="92">
        <f t="shared" si="50"/>
        <v>2.7457818666676722E-3</v>
      </c>
      <c r="L227" s="92">
        <f t="shared" si="50"/>
        <v>2.6470502664043861E-3</v>
      </c>
      <c r="M227" s="92">
        <f t="shared" si="50"/>
        <v>2.2425216827992086E-3</v>
      </c>
    </row>
    <row r="228" spans="2:13" x14ac:dyDescent="0.5">
      <c r="B228" s="8" t="s">
        <v>133</v>
      </c>
      <c r="C228" s="29" t="s">
        <v>102</v>
      </c>
      <c r="D228" s="28" t="s">
        <v>103</v>
      </c>
      <c r="E228" s="51" t="s">
        <v>127</v>
      </c>
      <c r="F228" s="64"/>
      <c r="G228" s="92">
        <f t="shared" ref="G228:M228" si="51">IFERROR(INDEX(G$61:G$107, MATCH($F137, $B$61:$B$107, 0)), 0) * $G137</f>
        <v>1.5924115594692296E-3</v>
      </c>
      <c r="H228" s="92">
        <f t="shared" si="51"/>
        <v>3.1925892385153399E-3</v>
      </c>
      <c r="I228" s="92">
        <f t="shared" si="51"/>
        <v>9.9832892782799102E-4</v>
      </c>
      <c r="J228" s="92">
        <f t="shared" si="51"/>
        <v>2.5220654667335645E-3</v>
      </c>
      <c r="K228" s="92">
        <f t="shared" si="51"/>
        <v>2.7457818666676722E-3</v>
      </c>
      <c r="L228" s="92">
        <f t="shared" si="51"/>
        <v>2.6470502664043861E-3</v>
      </c>
      <c r="M228" s="92">
        <f t="shared" si="51"/>
        <v>2.2425216827992086E-3</v>
      </c>
    </row>
    <row r="229" spans="2:13" x14ac:dyDescent="0.5">
      <c r="B229" s="8" t="s">
        <v>134</v>
      </c>
      <c r="C229" s="29" t="s">
        <v>102</v>
      </c>
      <c r="D229" s="28" t="s">
        <v>103</v>
      </c>
      <c r="E229" s="51" t="s">
        <v>127</v>
      </c>
      <c r="F229" s="64"/>
      <c r="G229" s="92">
        <f t="shared" ref="G229:M229" si="52">IFERROR(INDEX(G$61:G$107, MATCH($F138, $B$61:$B$107, 0)), 0) * $G138</f>
        <v>1.5924115594692296E-3</v>
      </c>
      <c r="H229" s="92">
        <f t="shared" si="52"/>
        <v>3.1925892385153399E-3</v>
      </c>
      <c r="I229" s="92">
        <f t="shared" si="52"/>
        <v>9.9832892782799102E-4</v>
      </c>
      <c r="J229" s="92">
        <f t="shared" si="52"/>
        <v>2.5220654667335645E-3</v>
      </c>
      <c r="K229" s="92">
        <f t="shared" si="52"/>
        <v>2.7457818666676722E-3</v>
      </c>
      <c r="L229" s="92">
        <f t="shared" si="52"/>
        <v>2.6470502664043861E-3</v>
      </c>
      <c r="M229" s="92">
        <f t="shared" si="52"/>
        <v>2.2425216827992086E-3</v>
      </c>
    </row>
    <row r="230" spans="2:13" x14ac:dyDescent="0.5">
      <c r="B230" s="8" t="s">
        <v>135</v>
      </c>
      <c r="C230" s="29" t="s">
        <v>102</v>
      </c>
      <c r="D230" s="28" t="s">
        <v>103</v>
      </c>
      <c r="E230" s="51" t="s">
        <v>127</v>
      </c>
      <c r="F230" s="64"/>
      <c r="G230" s="92">
        <f t="shared" ref="G230:M230" si="53">IFERROR(INDEX(G$61:G$107, MATCH($F139, $B$61:$B$107, 0)), 0) * $G139</f>
        <v>1.5924115594692296E-3</v>
      </c>
      <c r="H230" s="92">
        <f t="shared" si="53"/>
        <v>3.1925892385153399E-3</v>
      </c>
      <c r="I230" s="92">
        <f t="shared" si="53"/>
        <v>9.9832892782799102E-4</v>
      </c>
      <c r="J230" s="92">
        <f t="shared" si="53"/>
        <v>2.5220654667335645E-3</v>
      </c>
      <c r="K230" s="92">
        <f t="shared" si="53"/>
        <v>2.7457818666676722E-3</v>
      </c>
      <c r="L230" s="92">
        <f t="shared" si="53"/>
        <v>2.6470502664043861E-3</v>
      </c>
      <c r="M230" s="92">
        <f t="shared" si="53"/>
        <v>2.2425216827992086E-3</v>
      </c>
    </row>
    <row r="231" spans="2:13" x14ac:dyDescent="0.5">
      <c r="B231" s="8" t="s">
        <v>136</v>
      </c>
      <c r="C231" s="29" t="s">
        <v>102</v>
      </c>
      <c r="D231" s="28" t="s">
        <v>103</v>
      </c>
      <c r="E231" s="51" t="s">
        <v>127</v>
      </c>
      <c r="F231" s="64"/>
      <c r="G231" s="92">
        <f t="shared" ref="G231:M231" si="54">IFERROR(INDEX(G$61:G$107, MATCH($F140, $B$61:$B$107, 0)), 0) * $G140</f>
        <v>1.5924115594692296E-3</v>
      </c>
      <c r="H231" s="92">
        <f t="shared" si="54"/>
        <v>3.1925892385153399E-3</v>
      </c>
      <c r="I231" s="92">
        <f t="shared" si="54"/>
        <v>9.9832892782799102E-4</v>
      </c>
      <c r="J231" s="92">
        <f t="shared" si="54"/>
        <v>2.5220654667335645E-3</v>
      </c>
      <c r="K231" s="92">
        <f t="shared" si="54"/>
        <v>2.7457818666676722E-3</v>
      </c>
      <c r="L231" s="92">
        <f t="shared" si="54"/>
        <v>2.6470502664043861E-3</v>
      </c>
      <c r="M231" s="92">
        <f t="shared" si="54"/>
        <v>2.2425216827992086E-3</v>
      </c>
    </row>
    <row r="232" spans="2:13" x14ac:dyDescent="0.5">
      <c r="B232" s="8" t="s">
        <v>137</v>
      </c>
      <c r="C232" s="29" t="s">
        <v>102</v>
      </c>
      <c r="D232" s="28" t="s">
        <v>103</v>
      </c>
      <c r="E232" s="51" t="s">
        <v>127</v>
      </c>
      <c r="F232" s="64"/>
      <c r="G232" s="92">
        <f t="shared" ref="G232:M232" si="55">IFERROR(INDEX(G$61:G$107, MATCH($F141, $B$61:$B$107, 0)), 0) * $G141</f>
        <v>1.5924115594692296E-3</v>
      </c>
      <c r="H232" s="92">
        <f t="shared" si="55"/>
        <v>3.1925892385153399E-3</v>
      </c>
      <c r="I232" s="92">
        <f t="shared" si="55"/>
        <v>9.9832892782799102E-4</v>
      </c>
      <c r="J232" s="92">
        <f t="shared" si="55"/>
        <v>2.5220654667335645E-3</v>
      </c>
      <c r="K232" s="92">
        <f t="shared" si="55"/>
        <v>2.7457818666676722E-3</v>
      </c>
      <c r="L232" s="92">
        <f t="shared" si="55"/>
        <v>2.6470502664043861E-3</v>
      </c>
      <c r="M232" s="92">
        <f t="shared" si="55"/>
        <v>2.2425216827992086E-3</v>
      </c>
    </row>
    <row r="233" spans="2:13" x14ac:dyDescent="0.5">
      <c r="B233" s="8" t="s">
        <v>138</v>
      </c>
      <c r="C233" s="29" t="s">
        <v>102</v>
      </c>
      <c r="D233" s="28" t="s">
        <v>103</v>
      </c>
      <c r="E233" s="51" t="s">
        <v>127</v>
      </c>
      <c r="F233" s="64"/>
      <c r="G233" s="92">
        <f t="shared" ref="G233:M233" si="56">IFERROR(INDEX(G$61:G$107, MATCH($F142, $B$61:$B$107, 0)), 0) * $G142</f>
        <v>1.5924115594692296E-3</v>
      </c>
      <c r="H233" s="92">
        <f t="shared" si="56"/>
        <v>3.1925892385153399E-3</v>
      </c>
      <c r="I233" s="92">
        <f t="shared" si="56"/>
        <v>9.9832892782799102E-4</v>
      </c>
      <c r="J233" s="92">
        <f t="shared" si="56"/>
        <v>2.5220654667335645E-3</v>
      </c>
      <c r="K233" s="92">
        <f t="shared" si="56"/>
        <v>2.7457818666676722E-3</v>
      </c>
      <c r="L233" s="92">
        <f t="shared" si="56"/>
        <v>2.6470502664043861E-3</v>
      </c>
      <c r="M233" s="92">
        <f t="shared" si="56"/>
        <v>2.2425216827992086E-3</v>
      </c>
    </row>
    <row r="234" spans="2:13" x14ac:dyDescent="0.5">
      <c r="B234" s="8" t="s">
        <v>139</v>
      </c>
      <c r="C234" s="29" t="s">
        <v>102</v>
      </c>
      <c r="D234" s="28" t="s">
        <v>103</v>
      </c>
      <c r="E234" s="51" t="s">
        <v>127</v>
      </c>
      <c r="F234" s="64"/>
      <c r="G234" s="92">
        <f t="shared" ref="G234:M234" si="57">IFERROR(INDEX(G$61:G$107, MATCH($F143, $B$61:$B$107, 0)), 0) * $G143</f>
        <v>1.5924115594692296E-3</v>
      </c>
      <c r="H234" s="92">
        <f t="shared" si="57"/>
        <v>3.1925892385153399E-3</v>
      </c>
      <c r="I234" s="92">
        <f t="shared" si="57"/>
        <v>9.9832892782799102E-4</v>
      </c>
      <c r="J234" s="92">
        <f t="shared" si="57"/>
        <v>2.5220654667335645E-3</v>
      </c>
      <c r="K234" s="92">
        <f t="shared" si="57"/>
        <v>2.7457818666676722E-3</v>
      </c>
      <c r="L234" s="92">
        <f t="shared" si="57"/>
        <v>2.6470502664043861E-3</v>
      </c>
      <c r="M234" s="92">
        <f t="shared" si="57"/>
        <v>2.2425216827992086E-3</v>
      </c>
    </row>
    <row r="235" spans="2:13" x14ac:dyDescent="0.5">
      <c r="B235" s="8" t="s">
        <v>140</v>
      </c>
      <c r="C235" s="29" t="s">
        <v>102</v>
      </c>
      <c r="D235" s="28" t="s">
        <v>103</v>
      </c>
      <c r="E235" s="51" t="s">
        <v>127</v>
      </c>
      <c r="F235" s="64"/>
      <c r="G235" s="92">
        <f t="shared" ref="G235:M235" si="58">IFERROR(INDEX(G$61:G$107, MATCH($F144, $B$61:$B$107, 0)), 0) * $G144</f>
        <v>1.5924115594692296E-3</v>
      </c>
      <c r="H235" s="92">
        <f t="shared" si="58"/>
        <v>3.1925892385153399E-3</v>
      </c>
      <c r="I235" s="92">
        <f t="shared" si="58"/>
        <v>9.9832892782799102E-4</v>
      </c>
      <c r="J235" s="92">
        <f t="shared" si="58"/>
        <v>2.5220654667335645E-3</v>
      </c>
      <c r="K235" s="92">
        <f t="shared" si="58"/>
        <v>2.7457818666676722E-3</v>
      </c>
      <c r="L235" s="92">
        <f t="shared" si="58"/>
        <v>2.6470502664043861E-3</v>
      </c>
      <c r="M235" s="92">
        <f t="shared" si="58"/>
        <v>2.2425216827992086E-3</v>
      </c>
    </row>
    <row r="236" spans="2:13" x14ac:dyDescent="0.5">
      <c r="B236" s="8" t="s">
        <v>141</v>
      </c>
      <c r="C236" s="29" t="s">
        <v>102</v>
      </c>
      <c r="D236" s="28" t="s">
        <v>103</v>
      </c>
      <c r="E236" s="51" t="s">
        <v>127</v>
      </c>
      <c r="F236" s="64"/>
      <c r="G236" s="92">
        <f t="shared" ref="G236:M236" si="59">IFERROR(INDEX(G$61:G$107, MATCH($F145, $B$61:$B$107, 0)), 0) * $G145</f>
        <v>1.5924115594692296E-3</v>
      </c>
      <c r="H236" s="92">
        <f t="shared" si="59"/>
        <v>3.1925892385153399E-3</v>
      </c>
      <c r="I236" s="92">
        <f t="shared" si="59"/>
        <v>9.9832892782799102E-4</v>
      </c>
      <c r="J236" s="92">
        <f t="shared" si="59"/>
        <v>2.5220654667335645E-3</v>
      </c>
      <c r="K236" s="92">
        <f t="shared" si="59"/>
        <v>2.7457818666676722E-3</v>
      </c>
      <c r="L236" s="92">
        <f t="shared" si="59"/>
        <v>2.6470502664043861E-3</v>
      </c>
      <c r="M236" s="92">
        <f t="shared" si="59"/>
        <v>2.2425216827992086E-3</v>
      </c>
    </row>
    <row r="237" spans="2:13" x14ac:dyDescent="0.5">
      <c r="B237" s="8" t="s">
        <v>142</v>
      </c>
      <c r="C237" s="29" t="s">
        <v>102</v>
      </c>
      <c r="D237" s="28" t="s">
        <v>103</v>
      </c>
      <c r="E237" s="51" t="s">
        <v>127</v>
      </c>
      <c r="F237" s="64"/>
      <c r="G237" s="92">
        <f t="shared" ref="G237:M237" si="60">IFERROR(INDEX(G$61:G$107, MATCH($F146, $B$61:$B$107, 0)), 0) * $G146</f>
        <v>1.5924115594692296E-3</v>
      </c>
      <c r="H237" s="92">
        <f t="shared" si="60"/>
        <v>3.1925892385153399E-3</v>
      </c>
      <c r="I237" s="92">
        <f t="shared" si="60"/>
        <v>9.9832892782799102E-4</v>
      </c>
      <c r="J237" s="92">
        <f t="shared" si="60"/>
        <v>2.5220654667335645E-3</v>
      </c>
      <c r="K237" s="92">
        <f t="shared" si="60"/>
        <v>2.7457818666676722E-3</v>
      </c>
      <c r="L237" s="92">
        <f t="shared" si="60"/>
        <v>2.6470502664043861E-3</v>
      </c>
      <c r="M237" s="92">
        <f t="shared" si="60"/>
        <v>2.2425216827992086E-3</v>
      </c>
    </row>
    <row r="239" spans="2:13" ht="17" thickBot="1" x14ac:dyDescent="0.55000000000000004">
      <c r="B239" s="27" t="s">
        <v>306</v>
      </c>
      <c r="C239" s="27" t="s">
        <v>96</v>
      </c>
      <c r="D239" s="27" t="s">
        <v>97</v>
      </c>
      <c r="E239" s="50" t="s">
        <v>144</v>
      </c>
      <c r="F239" s="12">
        <v>2024</v>
      </c>
      <c r="G239" s="12">
        <v>2025</v>
      </c>
      <c r="H239" s="12">
        <v>2026</v>
      </c>
      <c r="I239" s="12">
        <v>2027</v>
      </c>
      <c r="J239" s="12">
        <v>2028</v>
      </c>
      <c r="K239" s="12">
        <v>2029</v>
      </c>
      <c r="L239" s="12">
        <v>2030</v>
      </c>
      <c r="M239" s="12">
        <v>2031</v>
      </c>
    </row>
    <row r="240" spans="2:13" x14ac:dyDescent="0.5">
      <c r="B240" s="8" t="s">
        <v>146</v>
      </c>
      <c r="C240" s="29" t="s">
        <v>350</v>
      </c>
      <c r="D240" s="28" t="s">
        <v>103</v>
      </c>
      <c r="E240" s="51" t="s">
        <v>147</v>
      </c>
      <c r="F240" s="64"/>
      <c r="G240" s="92">
        <f>IFERROR(INDEX(G$61:G$107, MATCH($F149, $B$61:$B$107, 0)), 0) * $G149</f>
        <v>6.3696462378769183E-3</v>
      </c>
      <c r="H240" s="92">
        <f t="shared" ref="H240:M240" si="61">IFERROR(INDEX(H$61:H$107, MATCH($F149, $B$61:$B$107, 0)), 0) * $G149</f>
        <v>1.2770356954061359E-2</v>
      </c>
      <c r="I240" s="92">
        <f t="shared" si="61"/>
        <v>3.9933157113119641E-3</v>
      </c>
      <c r="J240" s="92">
        <f t="shared" si="61"/>
        <v>1.0088261866934258E-2</v>
      </c>
      <c r="K240" s="92">
        <f t="shared" si="61"/>
        <v>1.0983127466670689E-2</v>
      </c>
      <c r="L240" s="92">
        <f t="shared" si="61"/>
        <v>1.0588201065617545E-2</v>
      </c>
      <c r="M240" s="92">
        <f t="shared" si="61"/>
        <v>8.9700867311968344E-3</v>
      </c>
    </row>
    <row r="241" spans="2:13" x14ac:dyDescent="0.5">
      <c r="B241" s="8" t="s">
        <v>148</v>
      </c>
      <c r="C241" s="29" t="s">
        <v>350</v>
      </c>
      <c r="D241" s="28" t="s">
        <v>103</v>
      </c>
      <c r="E241" s="51" t="s">
        <v>147</v>
      </c>
      <c r="F241" s="64"/>
      <c r="G241" s="92">
        <f t="shared" ref="G241:M241" si="62">IFERROR(INDEX(G$61:G$107, MATCH($F150, $B$61:$B$107, 0)), 0) * $G150</f>
        <v>6.3696462378769183E-3</v>
      </c>
      <c r="H241" s="92">
        <f t="shared" si="62"/>
        <v>1.2770356954061359E-2</v>
      </c>
      <c r="I241" s="92">
        <f t="shared" si="62"/>
        <v>3.9933157113119641E-3</v>
      </c>
      <c r="J241" s="92">
        <f t="shared" si="62"/>
        <v>1.0088261866934258E-2</v>
      </c>
      <c r="K241" s="92">
        <f t="shared" si="62"/>
        <v>1.0983127466670689E-2</v>
      </c>
      <c r="L241" s="92">
        <f t="shared" si="62"/>
        <v>1.0588201065617545E-2</v>
      </c>
      <c r="M241" s="92">
        <f t="shared" si="62"/>
        <v>8.9700867311968344E-3</v>
      </c>
    </row>
    <row r="242" spans="2:13" x14ac:dyDescent="0.5">
      <c r="B242" s="8" t="s">
        <v>149</v>
      </c>
      <c r="C242" s="29" t="s">
        <v>350</v>
      </c>
      <c r="D242" s="28" t="s">
        <v>103</v>
      </c>
      <c r="E242" s="51" t="s">
        <v>147</v>
      </c>
      <c r="F242" s="64"/>
      <c r="G242" s="92">
        <f t="shared" ref="G242:M242" si="63">IFERROR(INDEX(G$61:G$107, MATCH($F151, $B$61:$B$107, 0)), 0) * $G151</f>
        <v>6.3696462378769183E-3</v>
      </c>
      <c r="H242" s="92">
        <f t="shared" si="63"/>
        <v>1.2770356954061359E-2</v>
      </c>
      <c r="I242" s="92">
        <f t="shared" si="63"/>
        <v>3.9933157113119641E-3</v>
      </c>
      <c r="J242" s="92">
        <f t="shared" si="63"/>
        <v>1.0088261866934258E-2</v>
      </c>
      <c r="K242" s="92">
        <f t="shared" si="63"/>
        <v>1.0983127466670689E-2</v>
      </c>
      <c r="L242" s="92">
        <f t="shared" si="63"/>
        <v>1.0588201065617545E-2</v>
      </c>
      <c r="M242" s="92">
        <f t="shared" si="63"/>
        <v>8.9700867311968344E-3</v>
      </c>
    </row>
    <row r="243" spans="2:13" x14ac:dyDescent="0.5">
      <c r="B243" s="8" t="s">
        <v>150</v>
      </c>
      <c r="C243" s="29" t="s">
        <v>350</v>
      </c>
      <c r="D243" s="28" t="s">
        <v>103</v>
      </c>
      <c r="E243" s="51" t="s">
        <v>147</v>
      </c>
      <c r="F243" s="64"/>
      <c r="G243" s="92">
        <f t="shared" ref="G243:M243" si="64">IFERROR(INDEX(G$61:G$107, MATCH($F152, $B$61:$B$107, 0)), 0) * $G152</f>
        <v>6.3696462378769183E-3</v>
      </c>
      <c r="H243" s="92">
        <f t="shared" si="64"/>
        <v>1.2770356954061359E-2</v>
      </c>
      <c r="I243" s="92">
        <f t="shared" si="64"/>
        <v>3.9933157113119641E-3</v>
      </c>
      <c r="J243" s="92">
        <f t="shared" si="64"/>
        <v>1.0088261866934258E-2</v>
      </c>
      <c r="K243" s="92">
        <f t="shared" si="64"/>
        <v>1.0983127466670689E-2</v>
      </c>
      <c r="L243" s="92">
        <f t="shared" si="64"/>
        <v>1.0588201065617545E-2</v>
      </c>
      <c r="M243" s="92">
        <f t="shared" si="64"/>
        <v>8.9700867311968344E-3</v>
      </c>
    </row>
    <row r="244" spans="2:13" x14ac:dyDescent="0.5">
      <c r="B244" s="8" t="s">
        <v>151</v>
      </c>
      <c r="C244" s="29" t="s">
        <v>350</v>
      </c>
      <c r="D244" s="28" t="s">
        <v>103</v>
      </c>
      <c r="E244" s="51" t="s">
        <v>147</v>
      </c>
      <c r="F244" s="64"/>
      <c r="G244" s="92">
        <f t="shared" ref="G244:M244" si="65">IFERROR(INDEX(G$61:G$107, MATCH($F153, $B$61:$B$107, 0)), 0) * $G153</f>
        <v>6.3696462378769183E-3</v>
      </c>
      <c r="H244" s="92">
        <f t="shared" si="65"/>
        <v>1.2770356954061359E-2</v>
      </c>
      <c r="I244" s="92">
        <f t="shared" si="65"/>
        <v>3.9933157113119641E-3</v>
      </c>
      <c r="J244" s="92">
        <f t="shared" si="65"/>
        <v>1.0088261866934258E-2</v>
      </c>
      <c r="K244" s="92">
        <f t="shared" si="65"/>
        <v>1.0983127466670689E-2</v>
      </c>
      <c r="L244" s="92">
        <f t="shared" si="65"/>
        <v>1.0588201065617545E-2</v>
      </c>
      <c r="M244" s="92">
        <f t="shared" si="65"/>
        <v>8.9700867311968344E-3</v>
      </c>
    </row>
    <row r="245" spans="2:13" x14ac:dyDescent="0.5">
      <c r="B245" s="8" t="s">
        <v>152</v>
      </c>
      <c r="C245" s="29" t="s">
        <v>350</v>
      </c>
      <c r="D245" s="28" t="s">
        <v>103</v>
      </c>
      <c r="E245" s="51" t="s">
        <v>147</v>
      </c>
      <c r="F245" s="64"/>
      <c r="G245" s="92">
        <f t="shared" ref="G245:M245" si="66">IFERROR(INDEX(G$61:G$107, MATCH($F154, $B$61:$B$107, 0)), 0) * $G154</f>
        <v>6.3696462378769183E-3</v>
      </c>
      <c r="H245" s="92">
        <f t="shared" si="66"/>
        <v>1.2770356954061359E-2</v>
      </c>
      <c r="I245" s="92">
        <f t="shared" si="66"/>
        <v>3.9933157113119641E-3</v>
      </c>
      <c r="J245" s="92">
        <f t="shared" si="66"/>
        <v>1.0088261866934258E-2</v>
      </c>
      <c r="K245" s="92">
        <f t="shared" si="66"/>
        <v>1.0983127466670689E-2</v>
      </c>
      <c r="L245" s="92">
        <f t="shared" si="66"/>
        <v>1.0588201065617545E-2</v>
      </c>
      <c r="M245" s="92">
        <f t="shared" si="66"/>
        <v>8.9700867311968344E-3</v>
      </c>
    </row>
    <row r="246" spans="2:13" x14ac:dyDescent="0.5">
      <c r="B246" s="8" t="s">
        <v>153</v>
      </c>
      <c r="C246" s="29" t="s">
        <v>350</v>
      </c>
      <c r="D246" s="28" t="s">
        <v>103</v>
      </c>
      <c r="E246" s="51" t="s">
        <v>147</v>
      </c>
      <c r="F246" s="64"/>
      <c r="G246" s="92">
        <f t="shared" ref="G246:M246" si="67">IFERROR(INDEX(G$61:G$107, MATCH($F155, $B$61:$B$107, 0)), 0) * $G155</f>
        <v>6.3696462378769183E-3</v>
      </c>
      <c r="H246" s="92">
        <f t="shared" si="67"/>
        <v>1.2770356954061359E-2</v>
      </c>
      <c r="I246" s="92">
        <f t="shared" si="67"/>
        <v>3.9933157113119641E-3</v>
      </c>
      <c r="J246" s="92">
        <f t="shared" si="67"/>
        <v>1.0088261866934258E-2</v>
      </c>
      <c r="K246" s="92">
        <f t="shared" si="67"/>
        <v>1.0983127466670689E-2</v>
      </c>
      <c r="L246" s="92">
        <f t="shared" si="67"/>
        <v>1.0588201065617545E-2</v>
      </c>
      <c r="M246" s="92">
        <f t="shared" si="67"/>
        <v>8.9700867311968344E-3</v>
      </c>
    </row>
    <row r="247" spans="2:13" x14ac:dyDescent="0.5">
      <c r="B247" s="8" t="s">
        <v>154</v>
      </c>
      <c r="C247" s="29" t="s">
        <v>350</v>
      </c>
      <c r="D247" s="28" t="s">
        <v>103</v>
      </c>
      <c r="E247" s="51" t="s">
        <v>147</v>
      </c>
      <c r="F247" s="64"/>
      <c r="G247" s="92">
        <f t="shared" ref="G247:M247" si="68">IFERROR(INDEX(G$61:G$107, MATCH($F156, $B$61:$B$107, 0)), 0) * $G156</f>
        <v>6.3696462378769183E-3</v>
      </c>
      <c r="H247" s="92">
        <f t="shared" si="68"/>
        <v>1.2770356954061359E-2</v>
      </c>
      <c r="I247" s="92">
        <f t="shared" si="68"/>
        <v>3.9933157113119641E-3</v>
      </c>
      <c r="J247" s="92">
        <f t="shared" si="68"/>
        <v>1.0088261866934258E-2</v>
      </c>
      <c r="K247" s="92">
        <f t="shared" si="68"/>
        <v>1.0983127466670689E-2</v>
      </c>
      <c r="L247" s="92">
        <f t="shared" si="68"/>
        <v>1.0588201065617545E-2</v>
      </c>
      <c r="M247" s="92">
        <f t="shared" si="68"/>
        <v>8.9700867311968344E-3</v>
      </c>
    </row>
    <row r="248" spans="2:13" x14ac:dyDescent="0.5">
      <c r="B248" s="8" t="s">
        <v>155</v>
      </c>
      <c r="C248" s="29" t="s">
        <v>350</v>
      </c>
      <c r="D248" s="28" t="s">
        <v>103</v>
      </c>
      <c r="E248" s="51" t="s">
        <v>147</v>
      </c>
      <c r="F248" s="64"/>
      <c r="G248" s="92">
        <f t="shared" ref="G248:M248" si="69">IFERROR(INDEX(G$61:G$107, MATCH($F157, $B$61:$B$107, 0)), 0) * $G157</f>
        <v>6.3696462378769183E-3</v>
      </c>
      <c r="H248" s="92">
        <f t="shared" si="69"/>
        <v>1.2770356954061359E-2</v>
      </c>
      <c r="I248" s="92">
        <f t="shared" si="69"/>
        <v>3.9933157113119641E-3</v>
      </c>
      <c r="J248" s="92">
        <f t="shared" si="69"/>
        <v>1.0088261866934258E-2</v>
      </c>
      <c r="K248" s="92">
        <f t="shared" si="69"/>
        <v>1.0983127466670689E-2</v>
      </c>
      <c r="L248" s="92">
        <f t="shared" si="69"/>
        <v>1.0588201065617545E-2</v>
      </c>
      <c r="M248" s="92">
        <f t="shared" si="69"/>
        <v>8.9700867311968344E-3</v>
      </c>
    </row>
    <row r="249" spans="2:13" x14ac:dyDescent="0.5">
      <c r="B249" s="8" t="s">
        <v>156</v>
      </c>
      <c r="C249" s="29" t="s">
        <v>350</v>
      </c>
      <c r="D249" s="28" t="s">
        <v>103</v>
      </c>
      <c r="E249" s="51" t="s">
        <v>147</v>
      </c>
      <c r="F249" s="64"/>
      <c r="G249" s="92">
        <f t="shared" ref="G249:M249" si="70">IFERROR(INDEX(G$61:G$107, MATCH($F158, $B$61:$B$107, 0)), 0) * $G158</f>
        <v>6.3696462378769183E-3</v>
      </c>
      <c r="H249" s="92">
        <f t="shared" si="70"/>
        <v>1.2770356954061359E-2</v>
      </c>
      <c r="I249" s="92">
        <f t="shared" si="70"/>
        <v>3.9933157113119641E-3</v>
      </c>
      <c r="J249" s="92">
        <f t="shared" si="70"/>
        <v>1.0088261866934258E-2</v>
      </c>
      <c r="K249" s="92">
        <f t="shared" si="70"/>
        <v>1.0983127466670689E-2</v>
      </c>
      <c r="L249" s="92">
        <f t="shared" si="70"/>
        <v>1.0588201065617545E-2</v>
      </c>
      <c r="M249" s="92">
        <f t="shared" si="70"/>
        <v>8.9700867311968344E-3</v>
      </c>
    </row>
    <row r="250" spans="2:13" x14ac:dyDescent="0.5">
      <c r="B250" s="8" t="s">
        <v>157</v>
      </c>
      <c r="C250" s="29" t="s">
        <v>350</v>
      </c>
      <c r="D250" s="28" t="s">
        <v>103</v>
      </c>
      <c r="E250" s="51" t="s">
        <v>147</v>
      </c>
      <c r="F250" s="64"/>
      <c r="G250" s="92">
        <f t="shared" ref="G250:M250" si="71">IFERROR(INDEX(G$61:G$107, MATCH($F159, $B$61:$B$107, 0)), 0) * $G159</f>
        <v>6.3696462378769183E-3</v>
      </c>
      <c r="H250" s="92">
        <f t="shared" si="71"/>
        <v>1.2770356954061359E-2</v>
      </c>
      <c r="I250" s="92">
        <f t="shared" si="71"/>
        <v>3.9933157113119641E-3</v>
      </c>
      <c r="J250" s="92">
        <f t="shared" si="71"/>
        <v>1.0088261866934258E-2</v>
      </c>
      <c r="K250" s="92">
        <f t="shared" si="71"/>
        <v>1.0983127466670689E-2</v>
      </c>
      <c r="L250" s="92">
        <f t="shared" si="71"/>
        <v>1.0588201065617545E-2</v>
      </c>
      <c r="M250" s="92">
        <f t="shared" si="71"/>
        <v>8.9700867311968344E-3</v>
      </c>
    </row>
    <row r="251" spans="2:13" x14ac:dyDescent="0.5">
      <c r="B251" s="8" t="s">
        <v>158</v>
      </c>
      <c r="C251" s="29" t="s">
        <v>350</v>
      </c>
      <c r="D251" s="28" t="s">
        <v>103</v>
      </c>
      <c r="E251" s="51" t="s">
        <v>147</v>
      </c>
      <c r="F251" s="64"/>
      <c r="G251" s="92">
        <f t="shared" ref="G251:M251" si="72">IFERROR(INDEX(G$61:G$107, MATCH($F160, $B$61:$B$107, 0)), 0) * $G160</f>
        <v>-9.4267318385910681E-2</v>
      </c>
      <c r="H251" s="92">
        <f t="shared" si="72"/>
        <v>-8.8506678741344894E-2</v>
      </c>
      <c r="I251" s="92">
        <f t="shared" si="72"/>
        <v>-9.6406015859819102E-2</v>
      </c>
      <c r="J251" s="92">
        <f t="shared" si="72"/>
        <v>-9.0920564319759131E-2</v>
      </c>
      <c r="K251" s="92">
        <f t="shared" si="72"/>
        <v>-9.0115185279996277E-2</v>
      </c>
      <c r="L251" s="92">
        <f t="shared" si="72"/>
        <v>-9.0470619040944111E-2</v>
      </c>
      <c r="M251" s="92">
        <f t="shared" si="72"/>
        <v>-9.1926921941922909E-2</v>
      </c>
    </row>
    <row r="252" spans="2:13" x14ac:dyDescent="0.5">
      <c r="B252" s="8" t="s">
        <v>159</v>
      </c>
      <c r="C252" s="29" t="s">
        <v>350</v>
      </c>
      <c r="D252" s="28" t="s">
        <v>103</v>
      </c>
      <c r="E252" s="51" t="s">
        <v>147</v>
      </c>
      <c r="F252" s="64"/>
      <c r="G252" s="92">
        <f t="shared" ref="G252:M252" si="73">IFERROR(INDEX(G$61:G$107, MATCH($F161, $B$61:$B$107, 0)), 0) * $G161</f>
        <v>6.3696462378769183E-3</v>
      </c>
      <c r="H252" s="92">
        <f t="shared" si="73"/>
        <v>1.2770356954061359E-2</v>
      </c>
      <c r="I252" s="92">
        <f t="shared" si="73"/>
        <v>3.9933157113119641E-3</v>
      </c>
      <c r="J252" s="92">
        <f t="shared" si="73"/>
        <v>1.0088261866934258E-2</v>
      </c>
      <c r="K252" s="92">
        <f t="shared" si="73"/>
        <v>1.0983127466670689E-2</v>
      </c>
      <c r="L252" s="92">
        <f t="shared" si="73"/>
        <v>1.0588201065617545E-2</v>
      </c>
      <c r="M252" s="92">
        <f t="shared" si="73"/>
        <v>8.9700867311968344E-3</v>
      </c>
    </row>
    <row r="253" spans="2:13" x14ac:dyDescent="0.5">
      <c r="B253" s="53" t="s">
        <v>160</v>
      </c>
      <c r="C253" s="29" t="s">
        <v>350</v>
      </c>
      <c r="D253" s="28" t="s">
        <v>103</v>
      </c>
      <c r="E253" s="51" t="s">
        <v>147</v>
      </c>
      <c r="F253" s="64"/>
      <c r="G253" s="92">
        <f t="shared" ref="G253:M253" si="74">IFERROR(INDEX(G$61:G$107, MATCH($F162, $B$61:$B$107, 0)), 0) * $G162</f>
        <v>6.3696462378769183E-3</v>
      </c>
      <c r="H253" s="92">
        <f t="shared" si="74"/>
        <v>1.2770356954061359E-2</v>
      </c>
      <c r="I253" s="92">
        <f t="shared" si="74"/>
        <v>3.9933157113119641E-3</v>
      </c>
      <c r="J253" s="92">
        <f t="shared" si="74"/>
        <v>1.0088261866934258E-2</v>
      </c>
      <c r="K253" s="92">
        <f t="shared" si="74"/>
        <v>1.0983127466670689E-2</v>
      </c>
      <c r="L253" s="92">
        <f t="shared" si="74"/>
        <v>1.0588201065617545E-2</v>
      </c>
      <c r="M253" s="92">
        <f t="shared" si="74"/>
        <v>8.9700867311968344E-3</v>
      </c>
    </row>
    <row r="254" spans="2:13" x14ac:dyDescent="0.5">
      <c r="B254" s="53" t="s">
        <v>161</v>
      </c>
      <c r="C254" s="29" t="s">
        <v>350</v>
      </c>
      <c r="D254" s="28" t="s">
        <v>103</v>
      </c>
      <c r="E254" s="51" t="s">
        <v>147</v>
      </c>
      <c r="F254" s="64"/>
      <c r="G254" s="92">
        <f t="shared" ref="G254:M254" si="75">IFERROR(INDEX(G$61:G$107, MATCH($F163, $B$61:$B$107, 0)), 0) * $G163</f>
        <v>0</v>
      </c>
      <c r="H254" s="92">
        <f t="shared" si="75"/>
        <v>0</v>
      </c>
      <c r="I254" s="92">
        <f t="shared" si="75"/>
        <v>0</v>
      </c>
      <c r="J254" s="92">
        <f t="shared" si="75"/>
        <v>0</v>
      </c>
      <c r="K254" s="92">
        <f t="shared" si="75"/>
        <v>0</v>
      </c>
      <c r="L254" s="92">
        <f t="shared" si="75"/>
        <v>0</v>
      </c>
      <c r="M254" s="92">
        <f t="shared" si="75"/>
        <v>0</v>
      </c>
    </row>
    <row r="255" spans="2:13" x14ac:dyDescent="0.5">
      <c r="B255" s="53" t="s">
        <v>161</v>
      </c>
      <c r="C255" s="29" t="s">
        <v>350</v>
      </c>
      <c r="D255" s="28" t="s">
        <v>103</v>
      </c>
      <c r="E255" s="51" t="s">
        <v>147</v>
      </c>
      <c r="F255" s="64"/>
      <c r="G255" s="92">
        <f t="shared" ref="G255:M255" si="76">IFERROR(INDEX(G$61:G$107, MATCH($F164, $B$61:$B$107, 0)), 0) * $G164</f>
        <v>0</v>
      </c>
      <c r="H255" s="92">
        <f t="shared" si="76"/>
        <v>0</v>
      </c>
      <c r="I255" s="92">
        <f t="shared" si="76"/>
        <v>0</v>
      </c>
      <c r="J255" s="92">
        <f t="shared" si="76"/>
        <v>0</v>
      </c>
      <c r="K255" s="92">
        <f t="shared" si="76"/>
        <v>0</v>
      </c>
      <c r="L255" s="92">
        <f t="shared" si="76"/>
        <v>0</v>
      </c>
      <c r="M255" s="92">
        <f t="shared" si="76"/>
        <v>0</v>
      </c>
    </row>
    <row r="256" spans="2:13" x14ac:dyDescent="0.5">
      <c r="B256" s="8" t="s">
        <v>163</v>
      </c>
      <c r="C256" s="29" t="s">
        <v>350</v>
      </c>
      <c r="D256" s="28" t="s">
        <v>103</v>
      </c>
      <c r="E256" s="51" t="s">
        <v>162</v>
      </c>
      <c r="F256" s="64"/>
      <c r="G256" s="92">
        <f t="shared" ref="G256:M256" si="77">IFERROR(INDEX(G$61:G$107, MATCH($F165, $B$61:$B$107, 0)), 0) * $G165</f>
        <v>2.4949156243679597E-2</v>
      </c>
      <c r="H256" s="92">
        <f t="shared" si="77"/>
        <v>-3.3260763823004412E-3</v>
      </c>
      <c r="I256" s="92">
        <f t="shared" si="77"/>
        <v>-2.7604773272964667E-4</v>
      </c>
      <c r="J256" s="92">
        <f t="shared" si="77"/>
        <v>1.1772419469436499E-2</v>
      </c>
      <c r="K256" s="92">
        <f t="shared" si="77"/>
        <v>1.2580169865920468E-2</v>
      </c>
      <c r="L256" s="92">
        <f t="shared" si="77"/>
        <v>1.1835131479740992E-2</v>
      </c>
      <c r="M256" s="92">
        <f t="shared" si="77"/>
        <v>1.057870738094842E-2</v>
      </c>
    </row>
    <row r="257" spans="2:13" x14ac:dyDescent="0.5">
      <c r="B257" s="8" t="s">
        <v>164</v>
      </c>
      <c r="C257" s="29" t="s">
        <v>350</v>
      </c>
      <c r="D257" s="28" t="s">
        <v>103</v>
      </c>
      <c r="E257" s="51" t="s">
        <v>162</v>
      </c>
      <c r="F257" s="64"/>
      <c r="G257" s="92">
        <f t="shared" ref="G257:M257" si="78">IFERROR(INDEX(G$61:G$107, MATCH($F166, $B$61:$B$107, 0)), 0) * $G166</f>
        <v>2.4949156243679597E-2</v>
      </c>
      <c r="H257" s="92">
        <f t="shared" si="78"/>
        <v>-3.3260763823004412E-3</v>
      </c>
      <c r="I257" s="92">
        <f t="shared" si="78"/>
        <v>-2.7604773272964667E-4</v>
      </c>
      <c r="J257" s="92">
        <f t="shared" si="78"/>
        <v>1.1772419469436499E-2</v>
      </c>
      <c r="K257" s="92">
        <f t="shared" si="78"/>
        <v>1.2580169865920468E-2</v>
      </c>
      <c r="L257" s="92">
        <f t="shared" si="78"/>
        <v>1.1835131479740992E-2</v>
      </c>
      <c r="M257" s="92">
        <f t="shared" si="78"/>
        <v>1.057870738094842E-2</v>
      </c>
    </row>
    <row r="258" spans="2:13" x14ac:dyDescent="0.5">
      <c r="B258" s="53" t="s">
        <v>165</v>
      </c>
      <c r="C258" s="29" t="s">
        <v>350</v>
      </c>
      <c r="D258" s="28" t="s">
        <v>103</v>
      </c>
      <c r="E258" s="51" t="s">
        <v>162</v>
      </c>
      <c r="F258" s="64"/>
      <c r="G258" s="92">
        <f t="shared" ref="G258:M258" si="79">IFERROR(INDEX(G$61:G$107, MATCH($F167, $B$61:$B$107, 0)), 0) * $G167</f>
        <v>2.4949156243679597E-2</v>
      </c>
      <c r="H258" s="92">
        <f t="shared" si="79"/>
        <v>-3.3260763823004412E-3</v>
      </c>
      <c r="I258" s="92">
        <f t="shared" si="79"/>
        <v>-2.7604773272964667E-4</v>
      </c>
      <c r="J258" s="92">
        <f t="shared" si="79"/>
        <v>1.1772419469436499E-2</v>
      </c>
      <c r="K258" s="92">
        <f t="shared" si="79"/>
        <v>1.2580169865920468E-2</v>
      </c>
      <c r="L258" s="92">
        <f t="shared" si="79"/>
        <v>1.1835131479740992E-2</v>
      </c>
      <c r="M258" s="92">
        <f t="shared" si="79"/>
        <v>1.057870738094842E-2</v>
      </c>
    </row>
    <row r="259" spans="2:13" x14ac:dyDescent="0.5">
      <c r="B259" s="53" t="s">
        <v>161</v>
      </c>
      <c r="C259" s="29" t="s">
        <v>350</v>
      </c>
      <c r="D259" s="28" t="s">
        <v>103</v>
      </c>
      <c r="E259" s="51" t="s">
        <v>162</v>
      </c>
      <c r="F259" s="64"/>
      <c r="G259" s="92">
        <f t="shared" ref="G259:M259" si="80">IFERROR(INDEX(G$61:G$107, MATCH($F168, $B$61:$B$107, 0)), 0) * $G168</f>
        <v>0</v>
      </c>
      <c r="H259" s="92">
        <f t="shared" si="80"/>
        <v>0</v>
      </c>
      <c r="I259" s="92">
        <f t="shared" si="80"/>
        <v>0</v>
      </c>
      <c r="J259" s="92">
        <f t="shared" si="80"/>
        <v>0</v>
      </c>
      <c r="K259" s="92">
        <f t="shared" si="80"/>
        <v>0</v>
      </c>
      <c r="L259" s="92">
        <f t="shared" si="80"/>
        <v>0</v>
      </c>
      <c r="M259" s="92">
        <f t="shared" si="80"/>
        <v>0</v>
      </c>
    </row>
    <row r="260" spans="2:13" x14ac:dyDescent="0.5">
      <c r="B260" s="8" t="s">
        <v>166</v>
      </c>
      <c r="C260" s="29" t="s">
        <v>350</v>
      </c>
      <c r="D260" s="28" t="s">
        <v>103</v>
      </c>
      <c r="E260" s="51" t="s">
        <v>166</v>
      </c>
      <c r="F260" s="64"/>
      <c r="G260" s="220"/>
      <c r="H260" s="220"/>
      <c r="I260" s="220"/>
      <c r="J260" s="220"/>
      <c r="K260" s="220"/>
      <c r="L260" s="220"/>
      <c r="M260" s="220"/>
    </row>
    <row r="261" spans="2:13" x14ac:dyDescent="0.5">
      <c r="B261" s="8" t="s">
        <v>167</v>
      </c>
      <c r="C261" s="29" t="s">
        <v>350</v>
      </c>
      <c r="D261" s="28" t="s">
        <v>103</v>
      </c>
      <c r="E261" s="51" t="s">
        <v>168</v>
      </c>
      <c r="F261" s="64"/>
      <c r="G261" s="92">
        <f t="shared" ref="G261:M261" si="81">IFERROR(INDEX(G$61:G$107, MATCH($F170, $B$61:$B$107, 0)), 0) * $G170</f>
        <v>3.8217877427261506E-3</v>
      </c>
      <c r="H261" s="92">
        <f t="shared" si="81"/>
        <v>7.6622141724368154E-3</v>
      </c>
      <c r="I261" s="92">
        <f t="shared" si="81"/>
        <v>2.3959894267871784E-3</v>
      </c>
      <c r="J261" s="92">
        <f t="shared" si="81"/>
        <v>6.0529571201605546E-3</v>
      </c>
      <c r="K261" s="92">
        <f t="shared" si="81"/>
        <v>6.5898764800024134E-3</v>
      </c>
      <c r="L261" s="92">
        <f t="shared" si="81"/>
        <v>6.3529206393705268E-3</v>
      </c>
      <c r="M261" s="92">
        <f t="shared" si="81"/>
        <v>5.3820520387181008E-3</v>
      </c>
    </row>
    <row r="262" spans="2:13" x14ac:dyDescent="0.5">
      <c r="B262" s="8" t="s">
        <v>169</v>
      </c>
      <c r="C262" s="29" t="s">
        <v>350</v>
      </c>
      <c r="D262" s="28" t="s">
        <v>103</v>
      </c>
      <c r="E262" s="51" t="s">
        <v>168</v>
      </c>
      <c r="F262" s="64"/>
      <c r="G262" s="92">
        <f t="shared" ref="G262:M262" si="82">IFERROR(INDEX(G$61:G$107, MATCH($F171, $B$61:$B$107, 0)), 0) * $G171</f>
        <v>3.8217877427261506E-3</v>
      </c>
      <c r="H262" s="92">
        <f t="shared" si="82"/>
        <v>7.6622141724368154E-3</v>
      </c>
      <c r="I262" s="92">
        <f t="shared" si="82"/>
        <v>2.3959894267871784E-3</v>
      </c>
      <c r="J262" s="92">
        <f t="shared" si="82"/>
        <v>6.0529571201605546E-3</v>
      </c>
      <c r="K262" s="92">
        <f t="shared" si="82"/>
        <v>6.5898764800024134E-3</v>
      </c>
      <c r="L262" s="92">
        <f t="shared" si="82"/>
        <v>6.3529206393705268E-3</v>
      </c>
      <c r="M262" s="92">
        <f t="shared" si="82"/>
        <v>5.3820520387181008E-3</v>
      </c>
    </row>
    <row r="263" spans="2:13" x14ac:dyDescent="0.5">
      <c r="B263" s="8" t="s">
        <v>170</v>
      </c>
      <c r="C263" s="29" t="s">
        <v>350</v>
      </c>
      <c r="D263" s="28" t="s">
        <v>103</v>
      </c>
      <c r="E263" s="51" t="s">
        <v>168</v>
      </c>
      <c r="F263" s="64"/>
      <c r="G263" s="92">
        <f t="shared" ref="G263:M263" si="83">IFERROR(INDEX(G$61:G$107, MATCH($F172, $B$61:$B$107, 0)), 0) * $G172</f>
        <v>3.8217877427261506E-3</v>
      </c>
      <c r="H263" s="92">
        <f t="shared" si="83"/>
        <v>7.6622141724368154E-3</v>
      </c>
      <c r="I263" s="92">
        <f t="shared" si="83"/>
        <v>2.3959894267871784E-3</v>
      </c>
      <c r="J263" s="92">
        <f t="shared" si="83"/>
        <v>6.0529571201605546E-3</v>
      </c>
      <c r="K263" s="92">
        <f t="shared" si="83"/>
        <v>6.5898764800024134E-3</v>
      </c>
      <c r="L263" s="92">
        <f t="shared" si="83"/>
        <v>6.3529206393705268E-3</v>
      </c>
      <c r="M263" s="92">
        <f t="shared" si="83"/>
        <v>5.3820520387181008E-3</v>
      </c>
    </row>
    <row r="264" spans="2:13" x14ac:dyDescent="0.5">
      <c r="B264" s="8" t="s">
        <v>171</v>
      </c>
      <c r="C264" s="29" t="s">
        <v>350</v>
      </c>
      <c r="D264" s="28" t="s">
        <v>103</v>
      </c>
      <c r="E264" s="51" t="s">
        <v>172</v>
      </c>
      <c r="F264" s="64"/>
      <c r="G264" s="92">
        <f t="shared" ref="G264:M264" si="84">IFERROR(INDEX(G$61:G$107, MATCH($F173, $B$61:$B$107, 0)), 0) * $G173</f>
        <v>0</v>
      </c>
      <c r="H264" s="92">
        <f t="shared" si="84"/>
        <v>0</v>
      </c>
      <c r="I264" s="92">
        <f t="shared" si="84"/>
        <v>0</v>
      </c>
      <c r="J264" s="92">
        <f t="shared" si="84"/>
        <v>0</v>
      </c>
      <c r="K264" s="92">
        <f t="shared" si="84"/>
        <v>0</v>
      </c>
      <c r="L264" s="92">
        <f t="shared" si="84"/>
        <v>0</v>
      </c>
      <c r="M264" s="92">
        <f t="shared" si="84"/>
        <v>0</v>
      </c>
    </row>
    <row r="265" spans="2:13" x14ac:dyDescent="0.5">
      <c r="B265" s="8" t="s">
        <v>173</v>
      </c>
      <c r="C265" s="29" t="s">
        <v>350</v>
      </c>
      <c r="D265" s="28" t="s">
        <v>103</v>
      </c>
      <c r="E265" s="51" t="s">
        <v>172</v>
      </c>
      <c r="F265" s="64"/>
      <c r="G265" s="92">
        <f t="shared" ref="G265:M265" si="85">IFERROR(INDEX(G$61:G$107, MATCH($F174, $B$61:$B$107, 0)), 0) * $G174</f>
        <v>-5.90695148762891E-3</v>
      </c>
      <c r="H265" s="92">
        <f t="shared" si="85"/>
        <v>-3.8659741660440651E-3</v>
      </c>
      <c r="I265" s="92">
        <f t="shared" si="85"/>
        <v>-1.6012611882896276E-2</v>
      </c>
      <c r="J265" s="92">
        <f t="shared" si="85"/>
        <v>1.1772419469436546E-2</v>
      </c>
      <c r="K265" s="92">
        <f t="shared" si="85"/>
        <v>1.2767572613366394E-2</v>
      </c>
      <c r="L265" s="92">
        <f t="shared" si="85"/>
        <v>1.183513147974103E-2</v>
      </c>
      <c r="M265" s="92">
        <f t="shared" si="85"/>
        <v>1.0578707380948177E-2</v>
      </c>
    </row>
    <row r="266" spans="2:13" x14ac:dyDescent="0.5">
      <c r="B266" s="8" t="s">
        <v>174</v>
      </c>
      <c r="C266" s="29" t="s">
        <v>350</v>
      </c>
      <c r="D266" s="28" t="s">
        <v>103</v>
      </c>
      <c r="E266" s="51" t="s">
        <v>172</v>
      </c>
      <c r="F266" s="64"/>
      <c r="G266" s="92">
        <f t="shared" ref="G266:M266" si="86">IFERROR(INDEX(G$61:G$107, MATCH($F175, $B$61:$B$107, 0)), 0) * $G175</f>
        <v>0</v>
      </c>
      <c r="H266" s="92">
        <f t="shared" si="86"/>
        <v>0</v>
      </c>
      <c r="I266" s="92">
        <f t="shared" si="86"/>
        <v>0</v>
      </c>
      <c r="J266" s="92">
        <f t="shared" si="86"/>
        <v>0</v>
      </c>
      <c r="K266" s="92">
        <f t="shared" si="86"/>
        <v>0</v>
      </c>
      <c r="L266" s="92">
        <f t="shared" si="86"/>
        <v>0</v>
      </c>
      <c r="M266" s="92">
        <f t="shared" si="86"/>
        <v>0</v>
      </c>
    </row>
    <row r="267" spans="2:13" x14ac:dyDescent="0.5">
      <c r="B267" s="53" t="s">
        <v>161</v>
      </c>
      <c r="C267" s="29" t="s">
        <v>350</v>
      </c>
      <c r="D267" s="28" t="s">
        <v>103</v>
      </c>
      <c r="E267" s="51" t="s">
        <v>172</v>
      </c>
      <c r="F267" s="64"/>
      <c r="G267" s="92">
        <f t="shared" ref="G267:M267" si="87">IFERROR(INDEX(G$61:G$107, MATCH($F176, $B$61:$B$107, 0)), 0) * $G176</f>
        <v>0</v>
      </c>
      <c r="H267" s="92">
        <f t="shared" si="87"/>
        <v>0</v>
      </c>
      <c r="I267" s="92">
        <f t="shared" si="87"/>
        <v>0</v>
      </c>
      <c r="J267" s="92">
        <f t="shared" si="87"/>
        <v>0</v>
      </c>
      <c r="K267" s="92">
        <f t="shared" si="87"/>
        <v>0</v>
      </c>
      <c r="L267" s="92">
        <f t="shared" si="87"/>
        <v>0</v>
      </c>
      <c r="M267" s="92">
        <f t="shared" si="87"/>
        <v>0</v>
      </c>
    </row>
    <row r="268" spans="2:13" x14ac:dyDescent="0.5">
      <c r="B268" s="53" t="s">
        <v>161</v>
      </c>
      <c r="C268" s="29" t="s">
        <v>350</v>
      </c>
      <c r="D268" s="28" t="s">
        <v>103</v>
      </c>
      <c r="E268" s="51" t="s">
        <v>172</v>
      </c>
      <c r="F268" s="64"/>
      <c r="G268" s="92">
        <f t="shared" ref="G268:M268" si="88">IFERROR(INDEX(G$61:G$107, MATCH($F177, $B$61:$B$107, 0)), 0) * $G177</f>
        <v>0</v>
      </c>
      <c r="H268" s="92">
        <f t="shared" si="88"/>
        <v>0</v>
      </c>
      <c r="I268" s="92">
        <f t="shared" si="88"/>
        <v>0</v>
      </c>
      <c r="J268" s="92">
        <f t="shared" si="88"/>
        <v>0</v>
      </c>
      <c r="K268" s="92">
        <f t="shared" si="88"/>
        <v>0</v>
      </c>
      <c r="L268" s="92">
        <f t="shared" si="88"/>
        <v>0</v>
      </c>
      <c r="M268" s="92">
        <f t="shared" si="88"/>
        <v>0</v>
      </c>
    </row>
    <row r="269" spans="2:13" x14ac:dyDescent="0.5">
      <c r="B269" s="53" t="s">
        <v>161</v>
      </c>
      <c r="C269" s="29" t="s">
        <v>350</v>
      </c>
      <c r="D269" s="28" t="s">
        <v>103</v>
      </c>
      <c r="E269" s="51" t="s">
        <v>172</v>
      </c>
      <c r="F269" s="64"/>
      <c r="G269" s="92">
        <f t="shared" ref="G269:M269" si="89">IFERROR(INDEX(G$61:G$107, MATCH($F178, $B$61:$B$107, 0)), 0) * $G178</f>
        <v>0</v>
      </c>
      <c r="H269" s="92">
        <f t="shared" si="89"/>
        <v>0</v>
      </c>
      <c r="I269" s="92">
        <f t="shared" si="89"/>
        <v>0</v>
      </c>
      <c r="J269" s="92">
        <f t="shared" si="89"/>
        <v>0</v>
      </c>
      <c r="K269" s="92">
        <f t="shared" si="89"/>
        <v>0</v>
      </c>
      <c r="L269" s="92">
        <f t="shared" si="89"/>
        <v>0</v>
      </c>
      <c r="M269" s="92">
        <f t="shared" si="89"/>
        <v>0</v>
      </c>
    </row>
    <row r="270" spans="2:13" x14ac:dyDescent="0.5">
      <c r="B270" s="8" t="s">
        <v>175</v>
      </c>
      <c r="C270" s="29" t="s">
        <v>350</v>
      </c>
      <c r="D270" s="28" t="s">
        <v>103</v>
      </c>
      <c r="E270" s="51" t="s">
        <v>176</v>
      </c>
      <c r="F270" s="64"/>
      <c r="G270" s="92">
        <f t="shared" ref="G270:M270" si="90">IFERROR(INDEX(G$61:G$107, MATCH($F179, $B$61:$B$107, 0)), 0) * $G179</f>
        <v>3.184823118938388E-3</v>
      </c>
      <c r="H270" s="92">
        <f t="shared" si="90"/>
        <v>6.3851784770306876E-3</v>
      </c>
      <c r="I270" s="92">
        <f t="shared" si="90"/>
        <v>1.9966578556559816E-3</v>
      </c>
      <c r="J270" s="92">
        <f t="shared" si="90"/>
        <v>5.0441309334671421E-3</v>
      </c>
      <c r="K270" s="92">
        <f t="shared" si="90"/>
        <v>5.4915637333353929E-3</v>
      </c>
      <c r="L270" s="92">
        <f t="shared" si="90"/>
        <v>5.2941005328087272E-3</v>
      </c>
      <c r="M270" s="92">
        <f t="shared" si="90"/>
        <v>4.4850433655984128E-3</v>
      </c>
    </row>
    <row r="271" spans="2:13" x14ac:dyDescent="0.5">
      <c r="B271" s="8" t="s">
        <v>177</v>
      </c>
      <c r="C271" s="29" t="s">
        <v>350</v>
      </c>
      <c r="D271" s="28" t="s">
        <v>103</v>
      </c>
      <c r="E271" s="51" t="s">
        <v>176</v>
      </c>
      <c r="F271" s="64"/>
      <c r="G271" s="92">
        <f t="shared" ref="G271:M271" si="91">IFERROR(INDEX(G$61:G$107, MATCH($F180, $B$61:$B$107, 0)), 0) * $G180</f>
        <v>3.184823118938388E-3</v>
      </c>
      <c r="H271" s="92">
        <f t="shared" si="91"/>
        <v>6.3851784770306876E-3</v>
      </c>
      <c r="I271" s="92">
        <f t="shared" si="91"/>
        <v>1.9966578556559816E-3</v>
      </c>
      <c r="J271" s="92">
        <f t="shared" si="91"/>
        <v>5.0441309334671421E-3</v>
      </c>
      <c r="K271" s="92">
        <f t="shared" si="91"/>
        <v>5.4915637333353929E-3</v>
      </c>
      <c r="L271" s="92">
        <f t="shared" si="91"/>
        <v>5.2941005328087272E-3</v>
      </c>
      <c r="M271" s="92">
        <f t="shared" si="91"/>
        <v>4.4850433655984128E-3</v>
      </c>
    </row>
    <row r="272" spans="2:13" x14ac:dyDescent="0.5">
      <c r="B272" s="8" t="s">
        <v>178</v>
      </c>
      <c r="C272" s="29" t="s">
        <v>350</v>
      </c>
      <c r="D272" s="28" t="s">
        <v>103</v>
      </c>
      <c r="E272" s="51" t="s">
        <v>176</v>
      </c>
      <c r="F272" s="64"/>
      <c r="G272" s="92">
        <f t="shared" ref="G272:M272" si="92">IFERROR(INDEX(G$61:G$107, MATCH($F181, $B$61:$B$107, 0)), 0) * $G181</f>
        <v>3.184823118938388E-3</v>
      </c>
      <c r="H272" s="92">
        <f t="shared" si="92"/>
        <v>6.3851784770306876E-3</v>
      </c>
      <c r="I272" s="92">
        <f t="shared" si="92"/>
        <v>1.9966578556559816E-3</v>
      </c>
      <c r="J272" s="92">
        <f t="shared" si="92"/>
        <v>5.0441309334671421E-3</v>
      </c>
      <c r="K272" s="92">
        <f t="shared" si="92"/>
        <v>5.4915637333353929E-3</v>
      </c>
      <c r="L272" s="92">
        <f t="shared" si="92"/>
        <v>5.2941005328087272E-3</v>
      </c>
      <c r="M272" s="92">
        <f t="shared" si="92"/>
        <v>4.4850433655984128E-3</v>
      </c>
    </row>
    <row r="273" spans="2:13" x14ac:dyDescent="0.5">
      <c r="B273" s="8" t="s">
        <v>179</v>
      </c>
      <c r="C273" s="29" t="s">
        <v>350</v>
      </c>
      <c r="D273" s="28" t="s">
        <v>103</v>
      </c>
      <c r="E273" s="51" t="s">
        <v>176</v>
      </c>
      <c r="F273" s="64"/>
      <c r="G273" s="92">
        <f t="shared" ref="G273:M273" si="93">IFERROR(INDEX(G$61:G$107, MATCH($F182, $B$61:$B$107, 0)), 0) * $G182</f>
        <v>3.184823118938388E-3</v>
      </c>
      <c r="H273" s="92">
        <f t="shared" si="93"/>
        <v>6.3851784770306876E-3</v>
      </c>
      <c r="I273" s="92">
        <f t="shared" si="93"/>
        <v>1.9966578556559816E-3</v>
      </c>
      <c r="J273" s="92">
        <f t="shared" si="93"/>
        <v>5.0441309334671421E-3</v>
      </c>
      <c r="K273" s="92">
        <f t="shared" si="93"/>
        <v>5.4915637333353929E-3</v>
      </c>
      <c r="L273" s="92">
        <f t="shared" si="93"/>
        <v>5.2941005328087272E-3</v>
      </c>
      <c r="M273" s="92">
        <f t="shared" si="93"/>
        <v>4.4850433655984128E-3</v>
      </c>
    </row>
    <row r="274" spans="2:13" x14ac:dyDescent="0.5">
      <c r="B274" s="53" t="s">
        <v>180</v>
      </c>
      <c r="C274" s="29" t="s">
        <v>350</v>
      </c>
      <c r="D274" s="28" t="s">
        <v>103</v>
      </c>
      <c r="E274" s="51" t="s">
        <v>176</v>
      </c>
      <c r="F274" s="64"/>
      <c r="G274" s="92">
        <f t="shared" ref="G274:M274" si="94">IFERROR(INDEX(G$61:G$107, MATCH($F183, $B$61:$B$107, 0)), 0) * $G183</f>
        <v>3.184823118938388E-3</v>
      </c>
      <c r="H274" s="92">
        <f t="shared" si="94"/>
        <v>6.3851784770306876E-3</v>
      </c>
      <c r="I274" s="92">
        <f t="shared" si="94"/>
        <v>1.9966578556559816E-3</v>
      </c>
      <c r="J274" s="92">
        <f t="shared" si="94"/>
        <v>5.0441309334671421E-3</v>
      </c>
      <c r="K274" s="92">
        <f t="shared" si="94"/>
        <v>5.4915637333353929E-3</v>
      </c>
      <c r="L274" s="92">
        <f t="shared" si="94"/>
        <v>5.2941005328087272E-3</v>
      </c>
      <c r="M274" s="92">
        <f t="shared" si="94"/>
        <v>4.4850433655984128E-3</v>
      </c>
    </row>
    <row r="275" spans="2:13" x14ac:dyDescent="0.5">
      <c r="B275" s="53" t="s">
        <v>181</v>
      </c>
      <c r="C275" s="29" t="s">
        <v>350</v>
      </c>
      <c r="D275" s="28" t="s">
        <v>103</v>
      </c>
      <c r="E275" s="51" t="s">
        <v>176</v>
      </c>
      <c r="F275" s="64"/>
      <c r="G275" s="92">
        <f t="shared" ref="G275:M275" si="95">IFERROR(INDEX(G$61:G$107, MATCH($F184, $B$61:$B$107, 0)), 0) * $G184</f>
        <v>3.184823118938388E-3</v>
      </c>
      <c r="H275" s="92">
        <f t="shared" si="95"/>
        <v>6.3851784770306876E-3</v>
      </c>
      <c r="I275" s="92">
        <f t="shared" si="95"/>
        <v>1.9966578556559816E-3</v>
      </c>
      <c r="J275" s="92">
        <f t="shared" si="95"/>
        <v>5.0441309334671421E-3</v>
      </c>
      <c r="K275" s="92">
        <f t="shared" si="95"/>
        <v>5.4915637333353929E-3</v>
      </c>
      <c r="L275" s="92">
        <f t="shared" si="95"/>
        <v>5.2941005328087272E-3</v>
      </c>
      <c r="M275" s="92">
        <f t="shared" si="95"/>
        <v>4.4850433655984128E-3</v>
      </c>
    </row>
    <row r="276" spans="2:13" x14ac:dyDescent="0.5">
      <c r="B276" s="53" t="s">
        <v>161</v>
      </c>
      <c r="C276" s="29" t="s">
        <v>350</v>
      </c>
      <c r="D276" s="28" t="s">
        <v>103</v>
      </c>
      <c r="E276" s="51" t="s">
        <v>176</v>
      </c>
      <c r="F276" s="64"/>
      <c r="G276" s="92">
        <f t="shared" ref="G276:M276" si="96">IFERROR(INDEX(G$61:G$107, MATCH($F185, $B$61:$B$107, 0)), 0) * $G185</f>
        <v>0</v>
      </c>
      <c r="H276" s="92">
        <f t="shared" si="96"/>
        <v>0</v>
      </c>
      <c r="I276" s="92">
        <f t="shared" si="96"/>
        <v>0</v>
      </c>
      <c r="J276" s="92">
        <f t="shared" si="96"/>
        <v>0</v>
      </c>
      <c r="K276" s="92">
        <f t="shared" si="96"/>
        <v>0</v>
      </c>
      <c r="L276" s="92">
        <f t="shared" si="96"/>
        <v>0</v>
      </c>
      <c r="M276" s="92">
        <f t="shared" si="96"/>
        <v>0</v>
      </c>
    </row>
    <row r="277" spans="2:13" x14ac:dyDescent="0.5">
      <c r="B277" s="53" t="s">
        <v>161</v>
      </c>
      <c r="C277" s="29" t="s">
        <v>350</v>
      </c>
      <c r="D277" s="28" t="s">
        <v>103</v>
      </c>
      <c r="E277" s="51" t="s">
        <v>176</v>
      </c>
      <c r="F277" s="64"/>
      <c r="G277" s="92">
        <f t="shared" ref="G277:M277" si="97">IFERROR(INDEX(G$61:G$107, MATCH($F186, $B$61:$B$107, 0)), 0) * $G186</f>
        <v>0</v>
      </c>
      <c r="H277" s="92">
        <f t="shared" si="97"/>
        <v>0</v>
      </c>
      <c r="I277" s="92">
        <f t="shared" si="97"/>
        <v>0</v>
      </c>
      <c r="J277" s="92">
        <f t="shared" si="97"/>
        <v>0</v>
      </c>
      <c r="K277" s="92">
        <f t="shared" si="97"/>
        <v>0</v>
      </c>
      <c r="L277" s="92">
        <f t="shared" si="97"/>
        <v>0</v>
      </c>
      <c r="M277" s="92">
        <f t="shared" si="97"/>
        <v>0</v>
      </c>
    </row>
    <row r="278" spans="2:13" x14ac:dyDescent="0.5">
      <c r="B278" s="53" t="s">
        <v>161</v>
      </c>
      <c r="C278" s="29" t="s">
        <v>350</v>
      </c>
      <c r="D278" s="28" t="s">
        <v>103</v>
      </c>
      <c r="E278" s="51" t="s">
        <v>176</v>
      </c>
      <c r="F278" s="64"/>
      <c r="G278" s="92">
        <f t="shared" ref="G278:M278" si="98">IFERROR(INDEX(G$61:G$107, MATCH($F187, $B$61:$B$107, 0)), 0) * $G187</f>
        <v>0</v>
      </c>
      <c r="H278" s="92">
        <f t="shared" si="98"/>
        <v>0</v>
      </c>
      <c r="I278" s="92">
        <f t="shared" si="98"/>
        <v>0</v>
      </c>
      <c r="J278" s="92">
        <f t="shared" si="98"/>
        <v>0</v>
      </c>
      <c r="K278" s="92">
        <f t="shared" si="98"/>
        <v>0</v>
      </c>
      <c r="L278" s="92">
        <f t="shared" si="98"/>
        <v>0</v>
      </c>
      <c r="M278" s="92">
        <f t="shared" si="98"/>
        <v>0</v>
      </c>
    </row>
    <row r="279" spans="2:13" x14ac:dyDescent="0.5">
      <c r="B279" s="8" t="s">
        <v>182</v>
      </c>
      <c r="C279" s="29" t="s">
        <v>350</v>
      </c>
      <c r="D279" s="28" t="s">
        <v>103</v>
      </c>
      <c r="E279" s="51" t="s">
        <v>182</v>
      </c>
      <c r="F279" s="64"/>
      <c r="G279" s="92">
        <f t="shared" ref="G279:M279" si="99">IFERROR(INDEX(G$61:G$107, MATCH($F188, $B$61:$B$107, 0)), 0) * $G188</f>
        <v>0</v>
      </c>
      <c r="H279" s="92">
        <f t="shared" si="99"/>
        <v>0</v>
      </c>
      <c r="I279" s="92">
        <f t="shared" si="99"/>
        <v>0</v>
      </c>
      <c r="J279" s="92">
        <f t="shared" si="99"/>
        <v>0</v>
      </c>
      <c r="K279" s="92">
        <f t="shared" si="99"/>
        <v>0</v>
      </c>
      <c r="L279" s="92">
        <f t="shared" si="99"/>
        <v>0</v>
      </c>
      <c r="M279" s="92">
        <f t="shared" si="99"/>
        <v>0</v>
      </c>
    </row>
    <row r="280" spans="2:13" x14ac:dyDescent="0.5">
      <c r="B280" s="8" t="s">
        <v>183</v>
      </c>
      <c r="C280" s="29" t="s">
        <v>350</v>
      </c>
      <c r="D280" s="28" t="s">
        <v>103</v>
      </c>
      <c r="E280" s="51" t="s">
        <v>184</v>
      </c>
      <c r="F280" s="64"/>
      <c r="G280" s="92">
        <f t="shared" ref="G280:M280" si="100">IFERROR(INDEX(G$61:G$107, MATCH($F189, $B$61:$B$107, 0)), 0) * $G189</f>
        <v>0</v>
      </c>
      <c r="H280" s="92">
        <f t="shared" si="100"/>
        <v>0</v>
      </c>
      <c r="I280" s="92">
        <f t="shared" si="100"/>
        <v>0</v>
      </c>
      <c r="J280" s="92">
        <f t="shared" si="100"/>
        <v>0</v>
      </c>
      <c r="K280" s="92">
        <f t="shared" si="100"/>
        <v>0</v>
      </c>
      <c r="L280" s="92">
        <f t="shared" si="100"/>
        <v>0</v>
      </c>
      <c r="M280" s="92">
        <f t="shared" si="100"/>
        <v>0</v>
      </c>
    </row>
    <row r="281" spans="2:13" x14ac:dyDescent="0.5">
      <c r="B281" s="8" t="s">
        <v>185</v>
      </c>
      <c r="C281" s="29" t="s">
        <v>350</v>
      </c>
      <c r="D281" s="28" t="s">
        <v>103</v>
      </c>
      <c r="E281" s="51" t="s">
        <v>184</v>
      </c>
      <c r="F281" s="64"/>
      <c r="G281" s="92">
        <f t="shared" ref="G281:M281" si="101">IFERROR(INDEX(G$61:G$107, MATCH($F190, $B$61:$B$107, 0)), 0) * $G190</f>
        <v>0</v>
      </c>
      <c r="H281" s="92">
        <f t="shared" si="101"/>
        <v>0</v>
      </c>
      <c r="I281" s="92">
        <f t="shared" si="101"/>
        <v>0</v>
      </c>
      <c r="J281" s="92">
        <f t="shared" si="101"/>
        <v>0</v>
      </c>
      <c r="K281" s="92">
        <f t="shared" si="101"/>
        <v>0</v>
      </c>
      <c r="L281" s="92">
        <f t="shared" si="101"/>
        <v>0</v>
      </c>
      <c r="M281" s="92">
        <f t="shared" si="101"/>
        <v>0</v>
      </c>
    </row>
    <row r="282" spans="2:13" x14ac:dyDescent="0.5">
      <c r="B282" s="8" t="s">
        <v>186</v>
      </c>
      <c r="C282" s="29" t="s">
        <v>350</v>
      </c>
      <c r="D282" s="28" t="s">
        <v>103</v>
      </c>
      <c r="E282" s="51" t="s">
        <v>184</v>
      </c>
      <c r="F282" s="64"/>
      <c r="G282" s="92">
        <f t="shared" ref="G282:M282" si="102">IFERROR(INDEX(G$61:G$107, MATCH($F191, $B$61:$B$107, 0)), 0) * $G191</f>
        <v>0</v>
      </c>
      <c r="H282" s="92">
        <f t="shared" si="102"/>
        <v>0</v>
      </c>
      <c r="I282" s="92">
        <f t="shared" si="102"/>
        <v>0</v>
      </c>
      <c r="J282" s="92">
        <f t="shared" si="102"/>
        <v>0</v>
      </c>
      <c r="K282" s="92">
        <f t="shared" si="102"/>
        <v>0</v>
      </c>
      <c r="L282" s="92">
        <f t="shared" si="102"/>
        <v>0</v>
      </c>
      <c r="M282" s="92">
        <f t="shared" si="102"/>
        <v>0</v>
      </c>
    </row>
    <row r="283" spans="2:13" x14ac:dyDescent="0.5">
      <c r="B283" s="8" t="s">
        <v>161</v>
      </c>
      <c r="C283" s="29" t="s">
        <v>350</v>
      </c>
      <c r="D283" s="28" t="s">
        <v>103</v>
      </c>
      <c r="E283" s="51" t="s">
        <v>184</v>
      </c>
      <c r="F283" s="64"/>
      <c r="G283" s="92">
        <f t="shared" ref="G283:M283" si="103">IFERROR(INDEX(G$61:G$107, MATCH($F192, $B$61:$B$107, 0)), 0) * $G192</f>
        <v>0</v>
      </c>
      <c r="H283" s="92">
        <f t="shared" si="103"/>
        <v>0</v>
      </c>
      <c r="I283" s="92">
        <f t="shared" si="103"/>
        <v>0</v>
      </c>
      <c r="J283" s="92">
        <f t="shared" si="103"/>
        <v>0</v>
      </c>
      <c r="K283" s="92">
        <f t="shared" si="103"/>
        <v>0</v>
      </c>
      <c r="L283" s="92">
        <f t="shared" si="103"/>
        <v>0</v>
      </c>
      <c r="M283" s="92">
        <f t="shared" si="103"/>
        <v>0</v>
      </c>
    </row>
    <row r="284" spans="2:13" x14ac:dyDescent="0.5">
      <c r="B284" s="53" t="s">
        <v>161</v>
      </c>
      <c r="C284" s="29" t="s">
        <v>350</v>
      </c>
      <c r="D284" s="28" t="s">
        <v>103</v>
      </c>
      <c r="E284" s="51" t="s">
        <v>184</v>
      </c>
      <c r="F284" s="64"/>
      <c r="G284" s="92">
        <f t="shared" ref="G284:M284" si="104">IFERROR(INDEX(G$61:G$107, MATCH($F193, $B$61:$B$107, 0)), 0) * $G193</f>
        <v>0</v>
      </c>
      <c r="H284" s="92">
        <f t="shared" si="104"/>
        <v>0</v>
      </c>
      <c r="I284" s="92">
        <f t="shared" si="104"/>
        <v>0</v>
      </c>
      <c r="J284" s="92">
        <f t="shared" si="104"/>
        <v>0</v>
      </c>
      <c r="K284" s="92">
        <f t="shared" si="104"/>
        <v>0</v>
      </c>
      <c r="L284" s="92">
        <f t="shared" si="104"/>
        <v>0</v>
      </c>
      <c r="M284" s="92">
        <f t="shared" si="104"/>
        <v>0</v>
      </c>
    </row>
    <row r="285" spans="2:13" x14ac:dyDescent="0.5">
      <c r="B285" s="53" t="s">
        <v>161</v>
      </c>
      <c r="C285" s="29" t="s">
        <v>350</v>
      </c>
      <c r="D285" s="28" t="s">
        <v>103</v>
      </c>
      <c r="E285" s="51" t="s">
        <v>184</v>
      </c>
      <c r="F285" s="64"/>
      <c r="G285" s="92">
        <f t="shared" ref="G285:M285" si="105">IFERROR(INDEX(G$61:G$107, MATCH($F194, $B$61:$B$107, 0)), 0) * $G194</f>
        <v>0</v>
      </c>
      <c r="H285" s="92">
        <f t="shared" si="105"/>
        <v>0</v>
      </c>
      <c r="I285" s="92">
        <f t="shared" si="105"/>
        <v>0</v>
      </c>
      <c r="J285" s="92">
        <f t="shared" si="105"/>
        <v>0</v>
      </c>
      <c r="K285" s="92">
        <f t="shared" si="105"/>
        <v>0</v>
      </c>
      <c r="L285" s="92">
        <f t="shared" si="105"/>
        <v>0</v>
      </c>
      <c r="M285" s="92">
        <f t="shared" si="105"/>
        <v>0</v>
      </c>
    </row>
    <row r="286" spans="2:13" x14ac:dyDescent="0.5">
      <c r="B286" s="53" t="s">
        <v>187</v>
      </c>
      <c r="C286" s="29" t="s">
        <v>350</v>
      </c>
      <c r="D286" s="28" t="s">
        <v>103</v>
      </c>
      <c r="E286" s="51" t="s">
        <v>187</v>
      </c>
      <c r="F286" s="64"/>
      <c r="G286" s="220"/>
      <c r="H286" s="220"/>
      <c r="I286" s="220"/>
      <c r="J286" s="220"/>
      <c r="K286" s="220"/>
      <c r="L286" s="220"/>
      <c r="M286" s="220"/>
    </row>
    <row r="287" spans="2:13" x14ac:dyDescent="0.5">
      <c r="B287" s="8" t="s">
        <v>161</v>
      </c>
      <c r="C287" s="29" t="s">
        <v>350</v>
      </c>
      <c r="D287" s="28" t="s">
        <v>103</v>
      </c>
      <c r="E287" s="51" t="s">
        <v>187</v>
      </c>
      <c r="F287" s="64"/>
      <c r="G287" s="92">
        <f t="shared" ref="G287:M287" si="106">IFERROR(INDEX(G$61:G$107, MATCH($F196, $B$61:$B$107, 0)), 0) * $G196</f>
        <v>0</v>
      </c>
      <c r="H287" s="92">
        <f t="shared" si="106"/>
        <v>0</v>
      </c>
      <c r="I287" s="92">
        <f t="shared" si="106"/>
        <v>0</v>
      </c>
      <c r="J287" s="92">
        <f t="shared" si="106"/>
        <v>0</v>
      </c>
      <c r="K287" s="92">
        <f t="shared" si="106"/>
        <v>0</v>
      </c>
      <c r="L287" s="92">
        <f t="shared" si="106"/>
        <v>0</v>
      </c>
      <c r="M287" s="92">
        <f t="shared" si="106"/>
        <v>0</v>
      </c>
    </row>
    <row r="288" spans="2:13" x14ac:dyDescent="0.5">
      <c r="B288" s="53" t="s">
        <v>161</v>
      </c>
      <c r="C288" s="29" t="s">
        <v>350</v>
      </c>
      <c r="D288" s="28" t="s">
        <v>103</v>
      </c>
      <c r="E288" s="51" t="s">
        <v>187</v>
      </c>
      <c r="F288" s="64"/>
      <c r="G288" s="92">
        <f t="shared" ref="G288:M288" si="107">IFERROR(INDEX(G$61:G$107, MATCH($F197, $B$61:$B$107, 0)), 0) * $G197</f>
        <v>0</v>
      </c>
      <c r="H288" s="92">
        <f t="shared" si="107"/>
        <v>0</v>
      </c>
      <c r="I288" s="92">
        <f t="shared" si="107"/>
        <v>0</v>
      </c>
      <c r="J288" s="92">
        <f t="shared" si="107"/>
        <v>0</v>
      </c>
      <c r="K288" s="92">
        <f t="shared" si="107"/>
        <v>0</v>
      </c>
      <c r="L288" s="92">
        <f t="shared" si="107"/>
        <v>0</v>
      </c>
      <c r="M288" s="92">
        <f t="shared" si="107"/>
        <v>0</v>
      </c>
    </row>
    <row r="289" spans="2:13" x14ac:dyDescent="0.5">
      <c r="B289" s="53" t="s">
        <v>161</v>
      </c>
      <c r="C289" s="29" t="s">
        <v>350</v>
      </c>
      <c r="D289" s="28" t="s">
        <v>103</v>
      </c>
      <c r="E289" s="51" t="s">
        <v>187</v>
      </c>
      <c r="F289" s="64"/>
      <c r="G289" s="92">
        <f t="shared" ref="G289:M289" si="108">IFERROR(INDEX(G$61:G$107, MATCH($F198, $B$61:$B$107, 0)), 0) * $G198</f>
        <v>0</v>
      </c>
      <c r="H289" s="92">
        <f t="shared" si="108"/>
        <v>0</v>
      </c>
      <c r="I289" s="92">
        <f t="shared" si="108"/>
        <v>0</v>
      </c>
      <c r="J289" s="92">
        <f t="shared" si="108"/>
        <v>0</v>
      </c>
      <c r="K289" s="92">
        <f t="shared" si="108"/>
        <v>0</v>
      </c>
      <c r="L289" s="92">
        <f t="shared" si="108"/>
        <v>0</v>
      </c>
      <c r="M289" s="92">
        <f t="shared" si="108"/>
        <v>0</v>
      </c>
    </row>
  </sheetData>
  <phoneticPr fontId="27" type="noConversion"/>
  <pageMargins left="0.7" right="0.7" top="0.75" bottom="0.75" header="0.3" footer="0.3"/>
  <headerFooter>
    <oddHeader>&amp;C&amp;"Calibri"&amp;8&amp;K000000 OFFICIAL - CAA Use Only: This information is for CAA use only &amp;1#_x000D_</oddHeader>
    <oddFooter>&amp;C_x000D_&amp;1#&amp;"Calibri"&amp;8&amp;K000000 OFFICIAL - CAA Use Only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B1A06-DD8E-46E7-96ED-029CA528BF49}">
  <sheetPr>
    <tabColor theme="6"/>
  </sheetPr>
  <dimension ref="A1:L120"/>
  <sheetViews>
    <sheetView topLeftCell="B10" zoomScale="71" zoomScaleNormal="70" workbookViewId="0">
      <selection activeCell="I118" sqref="I118"/>
    </sheetView>
  </sheetViews>
  <sheetFormatPr defaultColWidth="8.90625" defaultRowHeight="16.5" x14ac:dyDescent="0.5"/>
  <cols>
    <col min="1" max="1" width="28" customWidth="1"/>
    <col min="2" max="2" width="40.36328125" customWidth="1"/>
    <col min="3" max="4" width="17.08984375" customWidth="1"/>
    <col min="5" max="13" width="15.90625" customWidth="1"/>
  </cols>
  <sheetData>
    <row r="1" spans="1:12" ht="23" thickBot="1" x14ac:dyDescent="0.7">
      <c r="A1" s="13" t="s">
        <v>42</v>
      </c>
    </row>
    <row r="2" spans="1:12" ht="17" thickTop="1" x14ac:dyDescent="0.5"/>
    <row r="3" spans="1:12" ht="19" thickBot="1" x14ac:dyDescent="0.55000000000000004">
      <c r="A3" s="14" t="s">
        <v>359</v>
      </c>
    </row>
    <row r="4" spans="1:12" ht="19" thickTop="1" x14ac:dyDescent="0.5">
      <c r="A4" s="23"/>
    </row>
    <row r="5" spans="1:12" ht="17" thickBot="1" x14ac:dyDescent="0.55000000000000004">
      <c r="B5" s="27" t="s">
        <v>24</v>
      </c>
      <c r="C5" s="27" t="s">
        <v>214</v>
      </c>
      <c r="D5" s="27">
        <v>2024</v>
      </c>
      <c r="E5" s="27">
        <v>2025</v>
      </c>
      <c r="F5" s="27">
        <f t="shared" ref="F5:H5" si="0">E5+1</f>
        <v>2026</v>
      </c>
      <c r="G5" s="27">
        <f>F5+1</f>
        <v>2027</v>
      </c>
      <c r="H5" s="27">
        <f t="shared" si="0"/>
        <v>2028</v>
      </c>
      <c r="I5" s="27">
        <f>H5+1</f>
        <v>2029</v>
      </c>
      <c r="J5" s="27">
        <f>I5+1</f>
        <v>2030</v>
      </c>
      <c r="K5" s="27">
        <f>J5+1</f>
        <v>2031</v>
      </c>
      <c r="L5" s="11" t="s">
        <v>91</v>
      </c>
    </row>
    <row r="6" spans="1:12" x14ac:dyDescent="0.5">
      <c r="B6" s="8" t="s">
        <v>215</v>
      </c>
      <c r="C6" s="29" t="s">
        <v>350</v>
      </c>
      <c r="D6" s="29"/>
      <c r="E6" s="102">
        <v>3.4527688414550228E-2</v>
      </c>
      <c r="F6" s="102">
        <v>2.4801225431334784E-2</v>
      </c>
      <c r="G6" s="102">
        <v>2.0152390816676968E-2</v>
      </c>
      <c r="H6" s="102">
        <v>2.035043738253961E-2</v>
      </c>
      <c r="I6" s="102">
        <v>2.0381421351001627E-2</v>
      </c>
      <c r="J6" s="102">
        <v>2.0030962216835535E-2</v>
      </c>
      <c r="K6" s="102">
        <f t="shared" ref="K6:K7" si="1">J6</f>
        <v>2.0030962216835535E-2</v>
      </c>
      <c r="L6" s="29" t="s">
        <v>216</v>
      </c>
    </row>
    <row r="7" spans="1:12" x14ac:dyDescent="0.5">
      <c r="B7" s="8" t="s">
        <v>233</v>
      </c>
      <c r="C7" s="29" t="s">
        <v>350</v>
      </c>
      <c r="D7" s="29"/>
      <c r="E7" s="102">
        <v>5.1680291454067051E-2</v>
      </c>
      <c r="F7" s="102">
        <v>3.3275238576496502E-2</v>
      </c>
      <c r="G7" s="102">
        <v>2.2513003483885408E-2</v>
      </c>
      <c r="H7" s="102">
        <v>2.0963305996869463E-2</v>
      </c>
      <c r="I7" s="102">
        <v>2.2054320067955491E-2</v>
      </c>
      <c r="J7" s="102">
        <v>2.3228536306866276E-2</v>
      </c>
      <c r="K7" s="102">
        <f t="shared" si="1"/>
        <v>2.3228536306866276E-2</v>
      </c>
      <c r="L7" s="29" t="s">
        <v>216</v>
      </c>
    </row>
    <row r="8" spans="1:12" x14ac:dyDescent="0.5">
      <c r="B8" s="8" t="s">
        <v>236</v>
      </c>
      <c r="C8" s="29" t="s">
        <v>350</v>
      </c>
      <c r="D8" s="29"/>
      <c r="E8" s="102">
        <v>4.3267137962244462E-2</v>
      </c>
      <c r="F8" s="102">
        <v>3.711413121659124E-2</v>
      </c>
      <c r="G8" s="102">
        <v>3.1282634078222848E-2</v>
      </c>
      <c r="H8" s="102">
        <v>2.8700091896755264E-2</v>
      </c>
      <c r="I8" s="102">
        <v>2.9049823481570813E-2</v>
      </c>
      <c r="J8" s="102">
        <v>2.310897598928463E-2</v>
      </c>
      <c r="K8" s="102">
        <f>J8</f>
        <v>2.310897598928463E-2</v>
      </c>
      <c r="L8" s="29" t="s">
        <v>216</v>
      </c>
    </row>
    <row r="9" spans="1:12" x14ac:dyDescent="0.5">
      <c r="B9" s="8" t="s">
        <v>239</v>
      </c>
      <c r="C9" s="29" t="s">
        <v>350</v>
      </c>
      <c r="D9" s="29"/>
      <c r="E9" s="134">
        <f>E6+0.01</f>
        <v>4.452768841455023E-2</v>
      </c>
      <c r="F9" s="134">
        <f t="shared" ref="F9:K9" si="2">F6+0.01</f>
        <v>3.4801225431334785E-2</v>
      </c>
      <c r="G9" s="134">
        <f t="shared" si="2"/>
        <v>3.015239081667697E-2</v>
      </c>
      <c r="H9" s="134">
        <f t="shared" si="2"/>
        <v>3.0350437382539612E-2</v>
      </c>
      <c r="I9" s="134">
        <f t="shared" si="2"/>
        <v>3.0381421351001629E-2</v>
      </c>
      <c r="J9" s="134">
        <f t="shared" si="2"/>
        <v>3.0030962216835537E-2</v>
      </c>
      <c r="K9" s="134">
        <f t="shared" si="2"/>
        <v>3.0030962216835537E-2</v>
      </c>
      <c r="L9" s="29" t="s">
        <v>216</v>
      </c>
    </row>
    <row r="10" spans="1:12" x14ac:dyDescent="0.5">
      <c r="B10" s="8" t="s">
        <v>242</v>
      </c>
      <c r="C10" s="29" t="s">
        <v>350</v>
      </c>
      <c r="D10" s="29"/>
      <c r="E10" s="134">
        <f t="shared" ref="E10:K10" si="3">E6+0.015</f>
        <v>4.9527688414550228E-2</v>
      </c>
      <c r="F10" s="134">
        <f t="shared" si="3"/>
        <v>3.9801225431334783E-2</v>
      </c>
      <c r="G10" s="134">
        <f t="shared" si="3"/>
        <v>3.5152390816676968E-2</v>
      </c>
      <c r="H10" s="134">
        <f t="shared" si="3"/>
        <v>3.535043738253961E-2</v>
      </c>
      <c r="I10" s="134">
        <f t="shared" si="3"/>
        <v>3.5381421351001627E-2</v>
      </c>
      <c r="J10" s="134">
        <f t="shared" si="3"/>
        <v>3.5030962216835534E-2</v>
      </c>
      <c r="K10" s="134">
        <f t="shared" si="3"/>
        <v>3.5030962216835534E-2</v>
      </c>
      <c r="L10" s="29" t="s">
        <v>216</v>
      </c>
    </row>
    <row r="11" spans="1:12" x14ac:dyDescent="0.5">
      <c r="B11" s="8" t="s">
        <v>244</v>
      </c>
      <c r="C11" s="29" t="s">
        <v>350</v>
      </c>
      <c r="D11" s="29"/>
      <c r="E11" s="134">
        <f>0.16*E7+0.84*E6</f>
        <v>3.7272104900872918E-2</v>
      </c>
      <c r="F11" s="134">
        <f t="shared" ref="F11:K11" si="4">0.16*F7+0.84*F6</f>
        <v>2.6157067534560659E-2</v>
      </c>
      <c r="G11" s="134">
        <f t="shared" si="4"/>
        <v>2.0530088843430317E-2</v>
      </c>
      <c r="H11" s="134">
        <f t="shared" si="4"/>
        <v>2.0448496360832385E-2</v>
      </c>
      <c r="I11" s="134">
        <f t="shared" si="4"/>
        <v>2.0649085145714244E-2</v>
      </c>
      <c r="J11" s="134">
        <f t="shared" si="4"/>
        <v>2.0542574071240455E-2</v>
      </c>
      <c r="K11" s="134">
        <f t="shared" si="4"/>
        <v>2.0542574071240455E-2</v>
      </c>
      <c r="L11" s="29" t="s">
        <v>216</v>
      </c>
    </row>
    <row r="12" spans="1:12" x14ac:dyDescent="0.5">
      <c r="B12" s="8" t="s">
        <v>247</v>
      </c>
      <c r="C12" s="29" t="s">
        <v>350</v>
      </c>
      <c r="D12" s="29"/>
      <c r="E12" s="134">
        <f>0.28*E7+0.72*E6</f>
        <v>3.9330417265614939E-2</v>
      </c>
      <c r="F12" s="134">
        <f t="shared" ref="F12:K12" si="5">0.28*F7+0.72*F6</f>
        <v>2.7173949111980067E-2</v>
      </c>
      <c r="G12" s="134">
        <f t="shared" si="5"/>
        <v>2.081336236349533E-2</v>
      </c>
      <c r="H12" s="134">
        <f t="shared" si="5"/>
        <v>2.0522040594551968E-2</v>
      </c>
      <c r="I12" s="134">
        <f t="shared" si="5"/>
        <v>2.084983299174871E-2</v>
      </c>
      <c r="J12" s="134">
        <f t="shared" si="5"/>
        <v>2.0926282962044143E-2</v>
      </c>
      <c r="K12" s="134">
        <f t="shared" si="5"/>
        <v>2.0926282962044143E-2</v>
      </c>
      <c r="L12" s="29" t="s">
        <v>216</v>
      </c>
    </row>
    <row r="13" spans="1:12" x14ac:dyDescent="0.5">
      <c r="B13" s="8" t="s">
        <v>250</v>
      </c>
      <c r="C13" s="29" t="s">
        <v>350</v>
      </c>
      <c r="D13" s="29"/>
      <c r="E13" s="134">
        <f t="shared" ref="E13:K13" si="6">0.58*E7+0.42*E6</f>
        <v>4.4476198177469985E-2</v>
      </c>
      <c r="F13" s="134">
        <f t="shared" si="6"/>
        <v>2.9716153055528577E-2</v>
      </c>
      <c r="G13" s="134">
        <f t="shared" si="6"/>
        <v>2.1521546163657861E-2</v>
      </c>
      <c r="H13" s="134">
        <f t="shared" si="6"/>
        <v>2.0705901178850926E-2</v>
      </c>
      <c r="I13" s="134">
        <f t="shared" si="6"/>
        <v>2.1351702606834867E-2</v>
      </c>
      <c r="J13" s="134">
        <f t="shared" si="6"/>
        <v>2.1885555189053364E-2</v>
      </c>
      <c r="K13" s="134">
        <f t="shared" si="6"/>
        <v>2.1885555189053364E-2</v>
      </c>
      <c r="L13" s="29" t="s">
        <v>216</v>
      </c>
    </row>
    <row r="14" spans="1:12" x14ac:dyDescent="0.5">
      <c r="B14" s="8" t="s">
        <v>253</v>
      </c>
      <c r="C14" s="29" t="s">
        <v>350</v>
      </c>
      <c r="D14" s="29"/>
      <c r="E14" s="134">
        <f>0.53*E6+0.47*E8</f>
        <v>3.863522970196652E-2</v>
      </c>
      <c r="F14" s="134">
        <f t="shared" ref="F14:K14" si="7">0.53*F6+0.47*F8</f>
        <v>3.0588291150405317E-2</v>
      </c>
      <c r="G14" s="134">
        <f t="shared" si="7"/>
        <v>2.5383605149603534E-2</v>
      </c>
      <c r="H14" s="134">
        <f t="shared" si="7"/>
        <v>2.4274775004220969E-2</v>
      </c>
      <c r="I14" s="134">
        <f t="shared" si="7"/>
        <v>2.4455570352369144E-2</v>
      </c>
      <c r="J14" s="134">
        <f t="shared" si="7"/>
        <v>2.1477628689886612E-2</v>
      </c>
      <c r="K14" s="134">
        <f t="shared" si="7"/>
        <v>2.1477628689886612E-2</v>
      </c>
      <c r="L14" s="29" t="s">
        <v>216</v>
      </c>
    </row>
    <row r="15" spans="1:12" x14ac:dyDescent="0.5">
      <c r="A15" s="15"/>
      <c r="B15" s="8" t="s">
        <v>256</v>
      </c>
      <c r="C15" s="29" t="s">
        <v>350</v>
      </c>
      <c r="D15" s="29"/>
      <c r="E15" s="102">
        <v>0</v>
      </c>
      <c r="F15" s="102">
        <v>0</v>
      </c>
      <c r="G15" s="102">
        <v>0</v>
      </c>
      <c r="H15" s="102">
        <v>0</v>
      </c>
      <c r="I15" s="102">
        <v>0</v>
      </c>
      <c r="J15" s="102">
        <v>0</v>
      </c>
      <c r="K15" s="102">
        <v>0</v>
      </c>
      <c r="L15" s="29"/>
    </row>
    <row r="16" spans="1:12" ht="18.5" x14ac:dyDescent="0.5">
      <c r="A16" s="23"/>
    </row>
    <row r="17" spans="1:12" ht="19" thickBot="1" x14ac:dyDescent="0.55000000000000004">
      <c r="A17" s="14" t="s">
        <v>360</v>
      </c>
    </row>
    <row r="18" spans="1:12" ht="19" thickTop="1" x14ac:dyDescent="0.5">
      <c r="A18" s="23"/>
    </row>
    <row r="19" spans="1:12" ht="17" thickBot="1" x14ac:dyDescent="0.55000000000000004">
      <c r="B19" s="27" t="s">
        <v>24</v>
      </c>
      <c r="C19" s="27" t="s">
        <v>214</v>
      </c>
      <c r="D19" s="27">
        <v>2024</v>
      </c>
      <c r="E19" s="27">
        <v>2025</v>
      </c>
      <c r="F19" s="27">
        <f t="shared" ref="F19" si="8">E19+1</f>
        <v>2026</v>
      </c>
      <c r="G19" s="27">
        <f>F19+1</f>
        <v>2027</v>
      </c>
      <c r="H19" s="27">
        <f t="shared" ref="H19" si="9">G19+1</f>
        <v>2028</v>
      </c>
      <c r="I19" s="27">
        <f>H19+1</f>
        <v>2029</v>
      </c>
      <c r="J19" s="27">
        <f>I19+1</f>
        <v>2030</v>
      </c>
      <c r="K19" s="27">
        <f>J19+1</f>
        <v>2031</v>
      </c>
      <c r="L19" s="11" t="s">
        <v>91</v>
      </c>
    </row>
    <row r="20" spans="1:12" x14ac:dyDescent="0.5">
      <c r="B20" s="8" t="s">
        <v>215</v>
      </c>
      <c r="C20" s="29" t="s">
        <v>350</v>
      </c>
      <c r="D20" s="29"/>
      <c r="E20" s="134">
        <f>(1+E6)/(1+E$6)-1</f>
        <v>0</v>
      </c>
      <c r="F20" s="134">
        <f t="shared" ref="F20:K20" si="10">(1+F6)/(1+F$6)-1</f>
        <v>0</v>
      </c>
      <c r="G20" s="134">
        <f t="shared" si="10"/>
        <v>0</v>
      </c>
      <c r="H20" s="134">
        <f t="shared" si="10"/>
        <v>0</v>
      </c>
      <c r="I20" s="134">
        <f t="shared" si="10"/>
        <v>0</v>
      </c>
      <c r="J20" s="134">
        <f t="shared" si="10"/>
        <v>0</v>
      </c>
      <c r="K20" s="134">
        <f t="shared" si="10"/>
        <v>0</v>
      </c>
      <c r="L20" s="29" t="s">
        <v>216</v>
      </c>
    </row>
    <row r="21" spans="1:12" x14ac:dyDescent="0.5">
      <c r="B21" s="8" t="s">
        <v>233</v>
      </c>
      <c r="C21" s="29" t="s">
        <v>350</v>
      </c>
      <c r="D21" s="29"/>
      <c r="E21" s="134">
        <f t="shared" ref="E21:K21" si="11">(1+E7)/(1+E$6)-1</f>
        <v>1.6580129494459195E-2</v>
      </c>
      <c r="F21" s="134">
        <f t="shared" si="11"/>
        <v>8.2689334622867428E-3</v>
      </c>
      <c r="G21" s="134">
        <f t="shared" si="11"/>
        <v>2.3139804292560129E-3</v>
      </c>
      <c r="H21" s="134">
        <f t="shared" si="11"/>
        <v>6.0064522136338283E-4</v>
      </c>
      <c r="I21" s="134">
        <f t="shared" si="11"/>
        <v>1.639483708689049E-3</v>
      </c>
      <c r="J21" s="134">
        <f t="shared" si="11"/>
        <v>3.1347814022051335E-3</v>
      </c>
      <c r="K21" s="134">
        <f t="shared" si="11"/>
        <v>3.1347814022051335E-3</v>
      </c>
      <c r="L21" s="29" t="s">
        <v>216</v>
      </c>
    </row>
    <row r="22" spans="1:12" x14ac:dyDescent="0.5">
      <c r="B22" s="8" t="s">
        <v>236</v>
      </c>
      <c r="C22" s="29" t="s">
        <v>350</v>
      </c>
      <c r="D22" s="29"/>
      <c r="E22" s="134">
        <f t="shared" ref="E22:K22" si="12">(1+E8)/(1+E$6)-1</f>
        <v>8.4477676581935501E-3</v>
      </c>
      <c r="F22" s="134">
        <f t="shared" si="12"/>
        <v>1.2014921020487623E-2</v>
      </c>
      <c r="G22" s="134">
        <f t="shared" si="12"/>
        <v>1.0910373157715814E-2</v>
      </c>
      <c r="H22" s="134">
        <f t="shared" si="12"/>
        <v>8.1831243544470134E-3</v>
      </c>
      <c r="I22" s="134">
        <f t="shared" si="12"/>
        <v>8.4952567237965848E-3</v>
      </c>
      <c r="J22" s="134">
        <f t="shared" si="12"/>
        <v>3.0175689625731028E-3</v>
      </c>
      <c r="K22" s="134">
        <f t="shared" si="12"/>
        <v>3.0175689625731028E-3</v>
      </c>
      <c r="L22" s="29" t="s">
        <v>216</v>
      </c>
    </row>
    <row r="23" spans="1:12" x14ac:dyDescent="0.5">
      <c r="B23" s="8" t="s">
        <v>239</v>
      </c>
      <c r="C23" s="29" t="s">
        <v>350</v>
      </c>
      <c r="D23" s="29"/>
      <c r="E23" s="134">
        <f t="shared" ref="E23:K23" si="13">(1+E9)/(1+E$6)-1</f>
        <v>9.6662468409378643E-3</v>
      </c>
      <c r="F23" s="134">
        <f t="shared" si="13"/>
        <v>9.7579898929092135E-3</v>
      </c>
      <c r="G23" s="134">
        <f t="shared" si="13"/>
        <v>9.8024570544745782E-3</v>
      </c>
      <c r="H23" s="134">
        <f t="shared" si="13"/>
        <v>9.8005544307429027E-3</v>
      </c>
      <c r="I23" s="134">
        <f t="shared" si="13"/>
        <v>9.8002568360759934E-3</v>
      </c>
      <c r="J23" s="134">
        <f t="shared" si="13"/>
        <v>9.8036239784986545E-3</v>
      </c>
      <c r="K23" s="134">
        <f t="shared" si="13"/>
        <v>9.8036239784986545E-3</v>
      </c>
      <c r="L23" s="29" t="s">
        <v>216</v>
      </c>
    </row>
    <row r="24" spans="1:12" x14ac:dyDescent="0.5">
      <c r="B24" s="8" t="s">
        <v>242</v>
      </c>
      <c r="C24" s="29" t="s">
        <v>350</v>
      </c>
      <c r="D24" s="29"/>
      <c r="E24" s="134">
        <f>(1+E10)/(1+E$6)-1</f>
        <v>1.4499370261406908E-2</v>
      </c>
      <c r="F24" s="134">
        <f t="shared" ref="F24:K24" si="14">(1+F10)/(1+F$6)-1</f>
        <v>1.4636984839363709E-2</v>
      </c>
      <c r="G24" s="134">
        <f t="shared" si="14"/>
        <v>1.4703685581711756E-2</v>
      </c>
      <c r="H24" s="134">
        <f t="shared" si="14"/>
        <v>1.4700831646114354E-2</v>
      </c>
      <c r="I24" s="134">
        <f t="shared" si="14"/>
        <v>1.4700385254113657E-2</v>
      </c>
      <c r="J24" s="134">
        <f t="shared" si="14"/>
        <v>1.4705435967747871E-2</v>
      </c>
      <c r="K24" s="134">
        <f t="shared" si="14"/>
        <v>1.4705435967747871E-2</v>
      </c>
      <c r="L24" s="29" t="s">
        <v>216</v>
      </c>
    </row>
    <row r="25" spans="1:12" x14ac:dyDescent="0.5">
      <c r="B25" s="8" t="s">
        <v>244</v>
      </c>
      <c r="C25" s="29" t="s">
        <v>350</v>
      </c>
      <c r="D25" s="29"/>
      <c r="E25" s="134">
        <f t="shared" ref="E25:K25" si="15">(1+E11)/(1+E$6)-1</f>
        <v>2.6528207191134356E-3</v>
      </c>
      <c r="F25" s="134">
        <f t="shared" si="15"/>
        <v>1.3230293539658877E-3</v>
      </c>
      <c r="G25" s="134">
        <f t="shared" si="15"/>
        <v>3.7023686868087324E-4</v>
      </c>
      <c r="H25" s="134">
        <f t="shared" si="15"/>
        <v>9.6103235418310007E-5</v>
      </c>
      <c r="I25" s="134">
        <f t="shared" si="15"/>
        <v>2.623173933902212E-4</v>
      </c>
      <c r="J25" s="134">
        <f t="shared" si="15"/>
        <v>5.0156502435272365E-4</v>
      </c>
      <c r="K25" s="134">
        <f t="shared" si="15"/>
        <v>5.0156502435272365E-4</v>
      </c>
      <c r="L25" s="29" t="s">
        <v>216</v>
      </c>
    </row>
    <row r="26" spans="1:12" x14ac:dyDescent="0.5">
      <c r="B26" s="8" t="s">
        <v>247</v>
      </c>
      <c r="C26" s="29" t="s">
        <v>350</v>
      </c>
      <c r="D26" s="29"/>
      <c r="E26" s="134">
        <f t="shared" ref="E26:K26" si="16">(1+E12)/(1+E$6)-1</f>
        <v>4.6424362584487344E-3</v>
      </c>
      <c r="F26" s="134">
        <f t="shared" si="16"/>
        <v>2.315301369440359E-3</v>
      </c>
      <c r="G26" s="134">
        <f t="shared" si="16"/>
        <v>6.479145201916392E-4</v>
      </c>
      <c r="H26" s="134">
        <f t="shared" si="16"/>
        <v>1.6818066198154291E-4</v>
      </c>
      <c r="I26" s="134">
        <f t="shared" si="16"/>
        <v>4.5905543843294261E-4</v>
      </c>
      <c r="J26" s="134">
        <f t="shared" si="16"/>
        <v>8.7773879261754395E-4</v>
      </c>
      <c r="K26" s="134">
        <f t="shared" si="16"/>
        <v>8.7773879261754395E-4</v>
      </c>
      <c r="L26" s="29" t="s">
        <v>216</v>
      </c>
    </row>
    <row r="27" spans="1:12" x14ac:dyDescent="0.5">
      <c r="B27" s="8" t="s">
        <v>250</v>
      </c>
      <c r="C27" s="29" t="s">
        <v>350</v>
      </c>
      <c r="D27" s="29"/>
      <c r="E27" s="134">
        <f t="shared" ref="E27:K27" si="17">(1+E13)/(1+E$6)-1</f>
        <v>9.6164751067864263E-3</v>
      </c>
      <c r="F27" s="134">
        <f t="shared" si="17"/>
        <v>4.7959814081264263E-3</v>
      </c>
      <c r="G27" s="134">
        <f t="shared" si="17"/>
        <v>1.3421086489684431E-3</v>
      </c>
      <c r="H27" s="134">
        <f t="shared" si="17"/>
        <v>3.483742283907354E-4</v>
      </c>
      <c r="I27" s="134">
        <f t="shared" si="17"/>
        <v>9.5090055103952409E-4</v>
      </c>
      <c r="J27" s="134">
        <f t="shared" si="17"/>
        <v>1.8181732132789286E-3</v>
      </c>
      <c r="K27" s="134">
        <f t="shared" si="17"/>
        <v>1.8181732132789286E-3</v>
      </c>
      <c r="L27" s="29" t="s">
        <v>216</v>
      </c>
    </row>
    <row r="28" spans="1:12" x14ac:dyDescent="0.5">
      <c r="B28" s="8" t="s">
        <v>253</v>
      </c>
      <c r="C28" s="29" t="s">
        <v>350</v>
      </c>
      <c r="D28" s="29"/>
      <c r="E28" s="134">
        <f t="shared" ref="E28:K28" si="18">(1+E14)/(1+E$6)-1</f>
        <v>3.9704507993509885E-3</v>
      </c>
      <c r="F28" s="134">
        <f t="shared" si="18"/>
        <v>5.6470128796293206E-3</v>
      </c>
      <c r="G28" s="134">
        <f t="shared" si="18"/>
        <v>5.1278753841264013E-3</v>
      </c>
      <c r="H28" s="134">
        <f t="shared" si="18"/>
        <v>3.8460684465899675E-3</v>
      </c>
      <c r="I28" s="134">
        <f t="shared" si="18"/>
        <v>3.9927706601845525E-3</v>
      </c>
      <c r="J28" s="134">
        <f t="shared" si="18"/>
        <v>1.4182574124093072E-3</v>
      </c>
      <c r="K28" s="134">
        <f t="shared" si="18"/>
        <v>1.4182574124093072E-3</v>
      </c>
      <c r="L28" s="29" t="s">
        <v>216</v>
      </c>
    </row>
    <row r="29" spans="1:12" x14ac:dyDescent="0.5">
      <c r="A29" s="15"/>
      <c r="B29" s="8" t="s">
        <v>256</v>
      </c>
      <c r="C29" s="29" t="s">
        <v>350</v>
      </c>
      <c r="D29" s="29"/>
      <c r="E29" s="134">
        <f t="shared" ref="E29:K29" si="19">(1+E15)/(1+E$6)-1</f>
        <v>-3.3375315906203684E-2</v>
      </c>
      <c r="F29" s="134">
        <f t="shared" si="19"/>
        <v>-2.4201010709072879E-2</v>
      </c>
      <c r="G29" s="134">
        <f t="shared" si="19"/>
        <v>-1.9754294552546292E-2</v>
      </c>
      <c r="H29" s="134">
        <f t="shared" si="19"/>
        <v>-1.9944556925700629E-2</v>
      </c>
      <c r="I29" s="134">
        <f t="shared" si="19"/>
        <v>-1.9974316392409652E-2</v>
      </c>
      <c r="J29" s="134">
        <f t="shared" si="19"/>
        <v>-1.9637602150136879E-2</v>
      </c>
      <c r="K29" s="134">
        <f t="shared" si="19"/>
        <v>-1.9637602150136879E-2</v>
      </c>
      <c r="L29" s="29"/>
    </row>
    <row r="30" spans="1:12" x14ac:dyDescent="0.5">
      <c r="A30" s="142"/>
      <c r="C30" s="36"/>
      <c r="E30" s="143"/>
      <c r="F30" s="143"/>
      <c r="G30" s="143"/>
      <c r="H30" s="143"/>
      <c r="I30" s="143"/>
      <c r="J30" s="143"/>
      <c r="K30" s="143"/>
      <c r="L30" s="36"/>
    </row>
    <row r="31" spans="1:12" ht="19" thickBot="1" x14ac:dyDescent="0.55000000000000004">
      <c r="A31" s="14" t="s">
        <v>361</v>
      </c>
      <c r="D31" s="36"/>
    </row>
    <row r="32" spans="1:12" ht="17" thickTop="1" x14ac:dyDescent="0.5"/>
    <row r="33" spans="2:11" ht="17" thickBot="1" x14ac:dyDescent="0.55000000000000004">
      <c r="B33" s="27" t="s">
        <v>302</v>
      </c>
      <c r="C33" s="27" t="s">
        <v>96</v>
      </c>
      <c r="D33" s="27"/>
      <c r="E33" s="50" t="s">
        <v>98</v>
      </c>
      <c r="F33" s="66" t="s">
        <v>362</v>
      </c>
      <c r="G33" s="66" t="s">
        <v>63</v>
      </c>
      <c r="I33" s="96"/>
    </row>
    <row r="34" spans="2:11" x14ac:dyDescent="0.5">
      <c r="B34" s="8" t="s">
        <v>101</v>
      </c>
      <c r="C34" s="29" t="s">
        <v>350</v>
      </c>
      <c r="D34" s="29" t="s">
        <v>103</v>
      </c>
      <c r="E34" s="51" t="s">
        <v>104</v>
      </c>
      <c r="F34" s="65" t="str">
        <f>Assumptions!H70</f>
        <v>OBR Average Earnings</v>
      </c>
      <c r="G34" s="65" t="b">
        <f>Assumptions!I70</f>
        <v>1</v>
      </c>
      <c r="I34" s="96"/>
    </row>
    <row r="35" spans="2:11" x14ac:dyDescent="0.5">
      <c r="B35" s="8" t="s">
        <v>105</v>
      </c>
      <c r="C35" s="29" t="s">
        <v>350</v>
      </c>
      <c r="D35" s="29" t="s">
        <v>103</v>
      </c>
      <c r="E35" s="51" t="s">
        <v>104</v>
      </c>
      <c r="F35" s="65" t="str">
        <f>Assumptions!H71</f>
        <v>OBR Average Earnings</v>
      </c>
      <c r="G35" s="65" t="b">
        <f>Assumptions!I71</f>
        <v>1</v>
      </c>
      <c r="I35" s="96"/>
    </row>
    <row r="36" spans="2:11" x14ac:dyDescent="0.5">
      <c r="B36" s="8" t="s">
        <v>106</v>
      </c>
      <c r="C36" s="29" t="s">
        <v>350</v>
      </c>
      <c r="D36" s="29" t="s">
        <v>103</v>
      </c>
      <c r="E36" s="51" t="s">
        <v>104</v>
      </c>
      <c r="F36" s="65" t="str">
        <f>Assumptions!H72</f>
        <v>OBR Average Earnings</v>
      </c>
      <c r="G36" s="65" t="b">
        <f>Assumptions!I72</f>
        <v>1</v>
      </c>
      <c r="I36" s="96"/>
    </row>
    <row r="37" spans="2:11" x14ac:dyDescent="0.5">
      <c r="B37" s="8" t="s">
        <v>107</v>
      </c>
      <c r="C37" s="29" t="s">
        <v>350</v>
      </c>
      <c r="D37" s="29" t="s">
        <v>103</v>
      </c>
      <c r="E37" s="51" t="s">
        <v>104</v>
      </c>
      <c r="F37" s="65" t="str">
        <f>Assumptions!H73</f>
        <v>OBR Average Earnings</v>
      </c>
      <c r="G37" s="65" t="b">
        <f>Assumptions!I73</f>
        <v>1</v>
      </c>
      <c r="I37" s="96"/>
      <c r="K37" s="124"/>
    </row>
    <row r="38" spans="2:11" x14ac:dyDescent="0.5">
      <c r="B38" s="8" t="s">
        <v>108</v>
      </c>
      <c r="C38" s="29" t="s">
        <v>350</v>
      </c>
      <c r="D38" s="29" t="s">
        <v>103</v>
      </c>
      <c r="E38" s="51" t="s">
        <v>104</v>
      </c>
      <c r="F38" s="65" t="str">
        <f>Assumptions!H74</f>
        <v>OBR Average Earnings</v>
      </c>
      <c r="G38" s="65" t="b">
        <f>Assumptions!I74</f>
        <v>1</v>
      </c>
      <c r="K38" s="124"/>
    </row>
    <row r="39" spans="2:11" x14ac:dyDescent="0.5">
      <c r="B39" s="8" t="s">
        <v>109</v>
      </c>
      <c r="C39" s="29" t="s">
        <v>350</v>
      </c>
      <c r="D39" s="29" t="s">
        <v>103</v>
      </c>
      <c r="E39" s="51" t="s">
        <v>104</v>
      </c>
      <c r="F39" s="65" t="str">
        <f>Assumptions!H75</f>
        <v>OBR Average Earnings</v>
      </c>
      <c r="G39" s="65" t="b">
        <f>Assumptions!I75</f>
        <v>1</v>
      </c>
      <c r="K39" s="124"/>
    </row>
    <row r="40" spans="2:11" x14ac:dyDescent="0.5">
      <c r="B40" s="8" t="s">
        <v>110</v>
      </c>
      <c r="C40" s="29" t="s">
        <v>350</v>
      </c>
      <c r="D40" s="29" t="s">
        <v>103</v>
      </c>
      <c r="E40" s="51" t="s">
        <v>104</v>
      </c>
      <c r="F40" s="65" t="str">
        <f>Assumptions!H76</f>
        <v>OBR Average Earnings</v>
      </c>
      <c r="G40" s="65" t="b">
        <f>Assumptions!I76</f>
        <v>0</v>
      </c>
      <c r="K40" s="124"/>
    </row>
    <row r="41" spans="2:11" x14ac:dyDescent="0.5">
      <c r="B41" s="8" t="s">
        <v>111</v>
      </c>
      <c r="C41" s="29" t="s">
        <v>350</v>
      </c>
      <c r="D41" s="29" t="s">
        <v>103</v>
      </c>
      <c r="E41" s="51" t="s">
        <v>112</v>
      </c>
      <c r="F41" s="65" t="str">
        <f>Assumptions!H77</f>
        <v>16% Labour 84% CPI</v>
      </c>
      <c r="G41" s="65" t="b">
        <f>Assumptions!I77</f>
        <v>1</v>
      </c>
      <c r="K41" s="124"/>
    </row>
    <row r="42" spans="2:11" x14ac:dyDescent="0.5">
      <c r="B42" s="8" t="s">
        <v>113</v>
      </c>
      <c r="C42" s="29" t="s">
        <v>350</v>
      </c>
      <c r="D42" s="29" t="s">
        <v>103</v>
      </c>
      <c r="E42" s="51" t="s">
        <v>112</v>
      </c>
      <c r="F42" s="65" t="str">
        <f>Assumptions!H78</f>
        <v>16% Labour 84% CPI</v>
      </c>
      <c r="G42" s="65" t="b">
        <f>Assumptions!I78</f>
        <v>1</v>
      </c>
    </row>
    <row r="43" spans="2:11" x14ac:dyDescent="0.5">
      <c r="B43" s="8" t="s">
        <v>114</v>
      </c>
      <c r="C43" s="29" t="s">
        <v>350</v>
      </c>
      <c r="D43" s="29" t="s">
        <v>103</v>
      </c>
      <c r="E43" s="51" t="s">
        <v>112</v>
      </c>
      <c r="F43" s="65" t="str">
        <f>Assumptions!H79</f>
        <v>16% Labour 84% CPI</v>
      </c>
      <c r="G43" s="65" t="b">
        <f>Assumptions!I79</f>
        <v>1</v>
      </c>
    </row>
    <row r="44" spans="2:11" x14ac:dyDescent="0.5">
      <c r="B44" s="8" t="s">
        <v>115</v>
      </c>
      <c r="C44" s="29" t="s">
        <v>350</v>
      </c>
      <c r="D44" s="29" t="s">
        <v>103</v>
      </c>
      <c r="E44" s="51" t="s">
        <v>112</v>
      </c>
      <c r="F44" s="65" t="str">
        <f>Assumptions!H80</f>
        <v>CPI</v>
      </c>
      <c r="G44" s="65" t="b">
        <f>Assumptions!I80</f>
        <v>1</v>
      </c>
    </row>
    <row r="45" spans="2:11" x14ac:dyDescent="0.5">
      <c r="B45" s="8" t="s">
        <v>116</v>
      </c>
      <c r="C45" s="29" t="s">
        <v>350</v>
      </c>
      <c r="D45" s="29" t="s">
        <v>103</v>
      </c>
      <c r="E45" s="51" t="s">
        <v>117</v>
      </c>
      <c r="F45" s="28"/>
      <c r="G45" s="28"/>
    </row>
    <row r="46" spans="2:11" x14ac:dyDescent="0.5">
      <c r="B46" s="8" t="s">
        <v>118</v>
      </c>
      <c r="C46" s="29" t="s">
        <v>350</v>
      </c>
      <c r="D46" s="29" t="s">
        <v>103</v>
      </c>
      <c r="E46" s="51" t="s">
        <v>119</v>
      </c>
      <c r="F46" s="65" t="str">
        <f>Assumptions!H82</f>
        <v>CPI</v>
      </c>
      <c r="G46" s="65" t="b">
        <f>Assumptions!I82</f>
        <v>0</v>
      </c>
    </row>
    <row r="47" spans="2:11" x14ac:dyDescent="0.5">
      <c r="B47" s="8" t="s">
        <v>120</v>
      </c>
      <c r="C47" s="29" t="s">
        <v>350</v>
      </c>
      <c r="D47" s="29" t="s">
        <v>103</v>
      </c>
      <c r="E47" s="51" t="s">
        <v>119</v>
      </c>
      <c r="F47" s="65" t="str">
        <f>Assumptions!H83</f>
        <v>CPI</v>
      </c>
      <c r="G47" s="65" t="b">
        <f>Assumptions!I83</f>
        <v>0</v>
      </c>
    </row>
    <row r="48" spans="2:11" x14ac:dyDescent="0.5">
      <c r="B48" s="8" t="s">
        <v>121</v>
      </c>
      <c r="C48" s="29" t="s">
        <v>350</v>
      </c>
      <c r="D48" s="29" t="s">
        <v>103</v>
      </c>
      <c r="E48" s="51" t="s">
        <v>119</v>
      </c>
      <c r="F48" s="65" t="str">
        <f>Assumptions!H84</f>
        <v>CPI</v>
      </c>
      <c r="G48" s="65" t="b">
        <f>Assumptions!I84</f>
        <v>0</v>
      </c>
    </row>
    <row r="49" spans="2:7" x14ac:dyDescent="0.5">
      <c r="B49" s="8" t="s">
        <v>122</v>
      </c>
      <c r="C49" s="29" t="s">
        <v>350</v>
      </c>
      <c r="D49" s="29" t="s">
        <v>103</v>
      </c>
      <c r="E49" s="51" t="s">
        <v>119</v>
      </c>
      <c r="F49" s="65" t="str">
        <f>Assumptions!H85</f>
        <v>CPI</v>
      </c>
      <c r="G49" s="65" t="b">
        <f>Assumptions!I85</f>
        <v>0</v>
      </c>
    </row>
    <row r="50" spans="2:7" x14ac:dyDescent="0.5">
      <c r="B50" s="8" t="s">
        <v>123</v>
      </c>
      <c r="C50" s="29" t="s">
        <v>350</v>
      </c>
      <c r="D50" s="29" t="s">
        <v>103</v>
      </c>
      <c r="E50" s="51" t="s">
        <v>119</v>
      </c>
      <c r="F50" s="65" t="str">
        <f>Assumptions!H86</f>
        <v>CPI</v>
      </c>
      <c r="G50" s="65" t="b">
        <f>Assumptions!I86</f>
        <v>0</v>
      </c>
    </row>
    <row r="51" spans="2:7" x14ac:dyDescent="0.5">
      <c r="B51" s="8" t="s">
        <v>124</v>
      </c>
      <c r="C51" s="29" t="s">
        <v>350</v>
      </c>
      <c r="D51" s="29" t="s">
        <v>103</v>
      </c>
      <c r="E51" s="51" t="s">
        <v>124</v>
      </c>
      <c r="F51" s="65" t="str">
        <f>Assumptions!H87</f>
        <v>RPI</v>
      </c>
      <c r="G51" s="65" t="b">
        <f>Assumptions!I87</f>
        <v>0</v>
      </c>
    </row>
    <row r="52" spans="2:7" x14ac:dyDescent="0.5">
      <c r="B52" s="8" t="s">
        <v>125</v>
      </c>
      <c r="C52" s="29" t="s">
        <v>350</v>
      </c>
      <c r="D52" s="29" t="s">
        <v>103</v>
      </c>
      <c r="E52" s="51" t="s">
        <v>125</v>
      </c>
      <c r="F52" s="65" t="str">
        <f>Assumptions!H88</f>
        <v>CPI</v>
      </c>
      <c r="G52" s="65" t="b">
        <f>Assumptions!I88</f>
        <v>1</v>
      </c>
    </row>
    <row r="53" spans="2:7" x14ac:dyDescent="0.5">
      <c r="B53" s="8" t="s">
        <v>126</v>
      </c>
      <c r="C53" s="29" t="s">
        <v>350</v>
      </c>
      <c r="D53" s="29" t="s">
        <v>103</v>
      </c>
      <c r="E53" s="51" t="s">
        <v>127</v>
      </c>
      <c r="F53" s="65" t="str">
        <f>Assumptions!H89</f>
        <v>CPI</v>
      </c>
      <c r="G53" s="65" t="b">
        <f>Assumptions!I89</f>
        <v>1</v>
      </c>
    </row>
    <row r="54" spans="2:7" x14ac:dyDescent="0.5">
      <c r="B54" s="8" t="s">
        <v>128</v>
      </c>
      <c r="C54" s="29" t="s">
        <v>350</v>
      </c>
      <c r="D54" s="29" t="s">
        <v>103</v>
      </c>
      <c r="E54" s="51" t="s">
        <v>127</v>
      </c>
      <c r="F54" s="65" t="str">
        <f>Assumptions!H90</f>
        <v>CPI</v>
      </c>
      <c r="G54" s="65" t="b">
        <f>Assumptions!I90</f>
        <v>1</v>
      </c>
    </row>
    <row r="55" spans="2:7" x14ac:dyDescent="0.5">
      <c r="B55" s="8" t="s">
        <v>129</v>
      </c>
      <c r="C55" s="29" t="s">
        <v>350</v>
      </c>
      <c r="D55" s="29" t="s">
        <v>103</v>
      </c>
      <c r="E55" s="51" t="s">
        <v>127</v>
      </c>
      <c r="F55" s="65" t="str">
        <f>Assumptions!H91</f>
        <v>28% Labour 72% CPI</v>
      </c>
      <c r="G55" s="65" t="b">
        <f>Assumptions!I91</f>
        <v>1</v>
      </c>
    </row>
    <row r="56" spans="2:7" x14ac:dyDescent="0.5">
      <c r="B56" s="8" t="s">
        <v>130</v>
      </c>
      <c r="C56" s="29" t="s">
        <v>350</v>
      </c>
      <c r="D56" s="29" t="s">
        <v>103</v>
      </c>
      <c r="E56" s="51" t="s">
        <v>127</v>
      </c>
      <c r="F56" s="65" t="str">
        <f>Assumptions!H92</f>
        <v>28% Labour 72% CPI</v>
      </c>
      <c r="G56" s="65" t="b">
        <f>Assumptions!I92</f>
        <v>1</v>
      </c>
    </row>
    <row r="57" spans="2:7" x14ac:dyDescent="0.5">
      <c r="B57" s="8" t="s">
        <v>131</v>
      </c>
      <c r="C57" s="29" t="s">
        <v>350</v>
      </c>
      <c r="D57" s="29" t="s">
        <v>103</v>
      </c>
      <c r="E57" s="51" t="s">
        <v>127</v>
      </c>
      <c r="F57" s="65" t="str">
        <f>Assumptions!H93</f>
        <v>28% Labour 72% CPI</v>
      </c>
      <c r="G57" s="65" t="b">
        <f>Assumptions!I93</f>
        <v>1</v>
      </c>
    </row>
    <row r="58" spans="2:7" x14ac:dyDescent="0.5">
      <c r="B58" s="8" t="s">
        <v>132</v>
      </c>
      <c r="C58" s="29" t="s">
        <v>350</v>
      </c>
      <c r="D58" s="29" t="s">
        <v>103</v>
      </c>
      <c r="E58" s="51" t="s">
        <v>127</v>
      </c>
      <c r="F58" s="65" t="str">
        <f>Assumptions!H94</f>
        <v>CPI</v>
      </c>
      <c r="G58" s="65" t="b">
        <f>Assumptions!I94</f>
        <v>1</v>
      </c>
    </row>
    <row r="59" spans="2:7" x14ac:dyDescent="0.5">
      <c r="B59" s="8" t="s">
        <v>133</v>
      </c>
      <c r="C59" s="29" t="s">
        <v>350</v>
      </c>
      <c r="D59" s="29" t="s">
        <v>103</v>
      </c>
      <c r="E59" s="51" t="s">
        <v>127</v>
      </c>
      <c r="F59" s="65" t="str">
        <f>Assumptions!H95</f>
        <v>28% Labour 72% CPI</v>
      </c>
      <c r="G59" s="65" t="b">
        <f>Assumptions!I95</f>
        <v>1</v>
      </c>
    </row>
    <row r="60" spans="2:7" x14ac:dyDescent="0.5">
      <c r="B60" s="8" t="s">
        <v>134</v>
      </c>
      <c r="C60" s="29" t="s">
        <v>350</v>
      </c>
      <c r="D60" s="29" t="s">
        <v>103</v>
      </c>
      <c r="E60" s="51" t="s">
        <v>127</v>
      </c>
      <c r="F60" s="65" t="str">
        <f>Assumptions!H96</f>
        <v>28% Labour 72% CPI</v>
      </c>
      <c r="G60" s="65" t="b">
        <f>Assumptions!I96</f>
        <v>1</v>
      </c>
    </row>
    <row r="61" spans="2:7" x14ac:dyDescent="0.5">
      <c r="B61" s="8" t="s">
        <v>135</v>
      </c>
      <c r="C61" s="29" t="s">
        <v>350</v>
      </c>
      <c r="D61" s="29" t="s">
        <v>103</v>
      </c>
      <c r="E61" s="51" t="s">
        <v>127</v>
      </c>
      <c r="F61" s="65" t="str">
        <f>Assumptions!H97</f>
        <v>28% Labour 72% CPI</v>
      </c>
      <c r="G61" s="65" t="b">
        <f>Assumptions!I97</f>
        <v>1</v>
      </c>
    </row>
    <row r="62" spans="2:7" x14ac:dyDescent="0.5">
      <c r="B62" s="8" t="s">
        <v>136</v>
      </c>
      <c r="C62" s="29" t="s">
        <v>350</v>
      </c>
      <c r="D62" s="29" t="s">
        <v>103</v>
      </c>
      <c r="E62" s="51" t="s">
        <v>127</v>
      </c>
      <c r="F62" s="65" t="str">
        <f>Assumptions!H98</f>
        <v>28% Labour 72% CPI</v>
      </c>
      <c r="G62" s="65" t="b">
        <f>Assumptions!I98</f>
        <v>1</v>
      </c>
    </row>
    <row r="63" spans="2:7" x14ac:dyDescent="0.5">
      <c r="B63" s="8" t="s">
        <v>137</v>
      </c>
      <c r="C63" s="29" t="s">
        <v>350</v>
      </c>
      <c r="D63" s="29" t="s">
        <v>103</v>
      </c>
      <c r="E63" s="51" t="s">
        <v>127</v>
      </c>
      <c r="F63" s="65" t="str">
        <f>Assumptions!H99</f>
        <v>28% Labour 72% CPI</v>
      </c>
      <c r="G63" s="65" t="b">
        <f>Assumptions!I99</f>
        <v>1</v>
      </c>
    </row>
    <row r="64" spans="2:7" x14ac:dyDescent="0.5">
      <c r="B64" s="8" t="s">
        <v>138</v>
      </c>
      <c r="C64" s="29" t="s">
        <v>350</v>
      </c>
      <c r="D64" s="29" t="s">
        <v>103</v>
      </c>
      <c r="E64" s="51" t="s">
        <v>127</v>
      </c>
      <c r="F64" s="65" t="str">
        <f>Assumptions!H100</f>
        <v>28% Labour 72% CPI</v>
      </c>
      <c r="G64" s="65" t="b">
        <f>Assumptions!I100</f>
        <v>1</v>
      </c>
    </row>
    <row r="65" spans="2:7" x14ac:dyDescent="0.5">
      <c r="B65" s="8" t="s">
        <v>139</v>
      </c>
      <c r="C65" s="29" t="s">
        <v>350</v>
      </c>
      <c r="D65" s="29" t="s">
        <v>103</v>
      </c>
      <c r="E65" s="51" t="s">
        <v>127</v>
      </c>
      <c r="F65" s="65" t="str">
        <f>Assumptions!H101</f>
        <v>58% Labour 42% CPI</v>
      </c>
      <c r="G65" s="65" t="b">
        <f>Assumptions!I101</f>
        <v>1</v>
      </c>
    </row>
    <row r="66" spans="2:7" x14ac:dyDescent="0.5">
      <c r="B66" s="8" t="s">
        <v>140</v>
      </c>
      <c r="C66" s="29" t="s">
        <v>350</v>
      </c>
      <c r="D66" s="29" t="s">
        <v>103</v>
      </c>
      <c r="E66" s="51" t="s">
        <v>127</v>
      </c>
      <c r="F66" s="65" t="str">
        <f>Assumptions!H102</f>
        <v>28% Labour 72% CPI</v>
      </c>
      <c r="G66" s="65" t="b">
        <f>Assumptions!I102</f>
        <v>1</v>
      </c>
    </row>
    <row r="67" spans="2:7" x14ac:dyDescent="0.5">
      <c r="B67" s="8" t="s">
        <v>141</v>
      </c>
      <c r="C67" s="29" t="s">
        <v>350</v>
      </c>
      <c r="D67" s="29" t="s">
        <v>103</v>
      </c>
      <c r="E67" s="51" t="s">
        <v>127</v>
      </c>
      <c r="F67" s="65" t="str">
        <f>Assumptions!H103</f>
        <v>CPI</v>
      </c>
      <c r="G67" s="65" t="b">
        <f>Assumptions!I103</f>
        <v>1</v>
      </c>
    </row>
    <row r="68" spans="2:7" x14ac:dyDescent="0.5">
      <c r="B68" s="8" t="s">
        <v>142</v>
      </c>
      <c r="C68" s="29" t="s">
        <v>350</v>
      </c>
      <c r="D68" s="29" t="s">
        <v>103</v>
      </c>
      <c r="E68" s="51" t="s">
        <v>127</v>
      </c>
      <c r="F68" s="65" t="str">
        <f>Assumptions!H104</f>
        <v>CPI</v>
      </c>
      <c r="G68" s="65" t="b">
        <f>Assumptions!I104</f>
        <v>1</v>
      </c>
    </row>
    <row r="69" spans="2:7" x14ac:dyDescent="0.5">
      <c r="E69" s="49"/>
    </row>
    <row r="70" spans="2:7" ht="17" thickBot="1" x14ac:dyDescent="0.55000000000000004">
      <c r="B70" s="27" t="s">
        <v>306</v>
      </c>
      <c r="C70" s="27" t="s">
        <v>96</v>
      </c>
      <c r="D70" s="27"/>
      <c r="E70" s="50" t="s">
        <v>144</v>
      </c>
      <c r="F70" s="66" t="s">
        <v>362</v>
      </c>
      <c r="G70" s="68" t="s">
        <v>145</v>
      </c>
    </row>
    <row r="71" spans="2:7" x14ac:dyDescent="0.5">
      <c r="B71" s="8" t="s">
        <v>146</v>
      </c>
      <c r="C71" s="29" t="s">
        <v>350</v>
      </c>
      <c r="D71" s="29" t="s">
        <v>103</v>
      </c>
      <c r="E71" s="51" t="s">
        <v>147</v>
      </c>
      <c r="F71" s="65" t="str">
        <f>Assumptions!H109</f>
        <v>CPI</v>
      </c>
      <c r="G71" s="22">
        <f>Assumptions!I109</f>
        <v>0</v>
      </c>
    </row>
    <row r="72" spans="2:7" x14ac:dyDescent="0.5">
      <c r="B72" s="8" t="s">
        <v>148</v>
      </c>
      <c r="C72" s="29" t="s">
        <v>350</v>
      </c>
      <c r="D72" s="29" t="s">
        <v>103</v>
      </c>
      <c r="E72" s="51" t="s">
        <v>147</v>
      </c>
      <c r="F72" s="65" t="str">
        <f>Assumptions!H110</f>
        <v>CPI</v>
      </c>
      <c r="G72" s="22">
        <f>Assumptions!I110</f>
        <v>0</v>
      </c>
    </row>
    <row r="73" spans="2:7" x14ac:dyDescent="0.5">
      <c r="B73" s="8" t="s">
        <v>149</v>
      </c>
      <c r="C73" s="29" t="s">
        <v>350</v>
      </c>
      <c r="D73" s="29" t="s">
        <v>103</v>
      </c>
      <c r="E73" s="51" t="s">
        <v>147</v>
      </c>
      <c r="F73" s="65" t="str">
        <f>Assumptions!H111</f>
        <v>CPI</v>
      </c>
      <c r="G73" s="22">
        <f>Assumptions!I111</f>
        <v>0</v>
      </c>
    </row>
    <row r="74" spans="2:7" x14ac:dyDescent="0.5">
      <c r="B74" s="8" t="s">
        <v>150</v>
      </c>
      <c r="C74" s="29" t="s">
        <v>350</v>
      </c>
      <c r="D74" s="29" t="s">
        <v>103</v>
      </c>
      <c r="E74" s="51" t="s">
        <v>147</v>
      </c>
      <c r="F74" s="65" t="str">
        <f>Assumptions!H112</f>
        <v>CPI</v>
      </c>
      <c r="G74" s="22">
        <f>Assumptions!I112</f>
        <v>0</v>
      </c>
    </row>
    <row r="75" spans="2:7" x14ac:dyDescent="0.5">
      <c r="B75" s="8" t="s">
        <v>151</v>
      </c>
      <c r="C75" s="29" t="s">
        <v>350</v>
      </c>
      <c r="D75" s="29" t="s">
        <v>103</v>
      </c>
      <c r="E75" s="51" t="s">
        <v>147</v>
      </c>
      <c r="F75" s="65" t="str">
        <f>Assumptions!H113</f>
        <v>CPI</v>
      </c>
      <c r="G75" s="22">
        <f>Assumptions!I113</f>
        <v>0</v>
      </c>
    </row>
    <row r="76" spans="2:7" x14ac:dyDescent="0.5">
      <c r="B76" s="8" t="s">
        <v>152</v>
      </c>
      <c r="C76" s="29" t="s">
        <v>350</v>
      </c>
      <c r="D76" s="29" t="s">
        <v>103</v>
      </c>
      <c r="E76" s="51" t="s">
        <v>147</v>
      </c>
      <c r="F76" s="65" t="str">
        <f>Assumptions!H114</f>
        <v>CPI</v>
      </c>
      <c r="G76" s="22">
        <f>Assumptions!I114</f>
        <v>0</v>
      </c>
    </row>
    <row r="77" spans="2:7" x14ac:dyDescent="0.5">
      <c r="B77" s="8" t="s">
        <v>153</v>
      </c>
      <c r="C77" s="29" t="s">
        <v>350</v>
      </c>
      <c r="D77" s="29" t="s">
        <v>103</v>
      </c>
      <c r="E77" s="51" t="s">
        <v>147</v>
      </c>
      <c r="F77" s="65" t="str">
        <f>Assumptions!H115</f>
        <v>CPI</v>
      </c>
      <c r="G77" s="22">
        <f>Assumptions!I115</f>
        <v>0</v>
      </c>
    </row>
    <row r="78" spans="2:7" x14ac:dyDescent="0.5">
      <c r="B78" s="8" t="s">
        <v>154</v>
      </c>
      <c r="C78" s="29" t="s">
        <v>350</v>
      </c>
      <c r="D78" s="29" t="s">
        <v>103</v>
      </c>
      <c r="E78" s="51" t="s">
        <v>147</v>
      </c>
      <c r="F78" s="65" t="str">
        <f>Assumptions!H116</f>
        <v>CPI</v>
      </c>
      <c r="G78" s="22">
        <f>Assumptions!I116</f>
        <v>0</v>
      </c>
    </row>
    <row r="79" spans="2:7" x14ac:dyDescent="0.5">
      <c r="B79" s="8" t="s">
        <v>155</v>
      </c>
      <c r="C79" s="29" t="s">
        <v>350</v>
      </c>
      <c r="D79" s="29" t="s">
        <v>103</v>
      </c>
      <c r="E79" s="51" t="s">
        <v>147</v>
      </c>
      <c r="F79" s="65" t="str">
        <f>Assumptions!H117</f>
        <v>CPI</v>
      </c>
      <c r="G79" s="22">
        <f>Assumptions!I117</f>
        <v>0</v>
      </c>
    </row>
    <row r="80" spans="2:7" x14ac:dyDescent="0.5">
      <c r="B80" s="8" t="s">
        <v>156</v>
      </c>
      <c r="C80" s="29" t="s">
        <v>350</v>
      </c>
      <c r="D80" s="29" t="s">
        <v>103</v>
      </c>
      <c r="E80" s="51" t="s">
        <v>147</v>
      </c>
      <c r="F80" s="65" t="str">
        <f>Assumptions!H118</f>
        <v>CPI</v>
      </c>
      <c r="G80" s="22">
        <f>Assumptions!I118</f>
        <v>0</v>
      </c>
    </row>
    <row r="81" spans="2:7" x14ac:dyDescent="0.5">
      <c r="B81" s="8" t="s">
        <v>157</v>
      </c>
      <c r="C81" s="29" t="s">
        <v>350</v>
      </c>
      <c r="D81" s="29" t="s">
        <v>103</v>
      </c>
      <c r="E81" s="51" t="s">
        <v>147</v>
      </c>
      <c r="F81" s="65" t="str">
        <f>Assumptions!H119</f>
        <v>CPI</v>
      </c>
      <c r="G81" s="22">
        <f>Assumptions!I119</f>
        <v>0</v>
      </c>
    </row>
    <row r="82" spans="2:7" x14ac:dyDescent="0.5">
      <c r="B82" s="8" t="s">
        <v>158</v>
      </c>
      <c r="C82" s="29" t="s">
        <v>350</v>
      </c>
      <c r="D82" s="29" t="s">
        <v>103</v>
      </c>
      <c r="E82" s="51" t="s">
        <v>147</v>
      </c>
      <c r="F82" s="65" t="str">
        <f>Assumptions!H120</f>
        <v>CPI</v>
      </c>
      <c r="G82" s="22">
        <f>Assumptions!I120</f>
        <v>0</v>
      </c>
    </row>
    <row r="83" spans="2:7" x14ac:dyDescent="0.5">
      <c r="B83" s="8" t="s">
        <v>159</v>
      </c>
      <c r="C83" s="29" t="s">
        <v>350</v>
      </c>
      <c r="D83" s="29" t="s">
        <v>103</v>
      </c>
      <c r="E83" s="51" t="s">
        <v>147</v>
      </c>
      <c r="F83" s="65" t="str">
        <f>Assumptions!H121</f>
        <v>CPI</v>
      </c>
      <c r="G83" s="22">
        <f>Assumptions!I121</f>
        <v>0</v>
      </c>
    </row>
    <row r="84" spans="2:7" x14ac:dyDescent="0.5">
      <c r="B84" s="53" t="s">
        <v>160</v>
      </c>
      <c r="C84" s="29" t="s">
        <v>350</v>
      </c>
      <c r="D84" s="29" t="s">
        <v>103</v>
      </c>
      <c r="E84" s="51" t="s">
        <v>147</v>
      </c>
      <c r="F84" s="65" t="str">
        <f>Assumptions!H122</f>
        <v>CPI</v>
      </c>
      <c r="G84" s="22">
        <f>Assumptions!I122</f>
        <v>0</v>
      </c>
    </row>
    <row r="85" spans="2:7" x14ac:dyDescent="0.5">
      <c r="B85" s="53" t="s">
        <v>161</v>
      </c>
      <c r="C85" s="29" t="s">
        <v>350</v>
      </c>
      <c r="D85" s="29" t="s">
        <v>103</v>
      </c>
      <c r="E85" s="51" t="s">
        <v>147</v>
      </c>
      <c r="F85" s="65" t="str">
        <f>Assumptions!H123</f>
        <v>No inflation</v>
      </c>
      <c r="G85" s="22">
        <f>Assumptions!I123</f>
        <v>0</v>
      </c>
    </row>
    <row r="86" spans="2:7" x14ac:dyDescent="0.5">
      <c r="B86" s="53" t="s">
        <v>161</v>
      </c>
      <c r="C86" s="29" t="s">
        <v>350</v>
      </c>
      <c r="D86" s="29" t="s">
        <v>103</v>
      </c>
      <c r="E86" s="51" t="s">
        <v>147</v>
      </c>
      <c r="F86" s="65" t="str">
        <f>Assumptions!H124</f>
        <v>No inflation</v>
      </c>
      <c r="G86" s="22">
        <f>Assumptions!I124</f>
        <v>0</v>
      </c>
    </row>
    <row r="87" spans="2:7" x14ac:dyDescent="0.5">
      <c r="B87" s="8" t="s">
        <v>163</v>
      </c>
      <c r="C87" s="29" t="s">
        <v>350</v>
      </c>
      <c r="D87" s="29" t="s">
        <v>103</v>
      </c>
      <c r="E87" s="51" t="s">
        <v>162</v>
      </c>
      <c r="F87" s="65" t="str">
        <f>Assumptions!H125</f>
        <v>CPI</v>
      </c>
      <c r="G87" s="22">
        <f>Assumptions!I125</f>
        <v>0.01</v>
      </c>
    </row>
    <row r="88" spans="2:7" x14ac:dyDescent="0.5">
      <c r="B88" s="8" t="s">
        <v>164</v>
      </c>
      <c r="C88" s="29" t="s">
        <v>350</v>
      </c>
      <c r="D88" s="29" t="s">
        <v>103</v>
      </c>
      <c r="E88" s="51" t="s">
        <v>162</v>
      </c>
      <c r="F88" s="65" t="str">
        <f>Assumptions!H126</f>
        <v>CPI</v>
      </c>
      <c r="G88" s="22">
        <f>Assumptions!I126</f>
        <v>0.01</v>
      </c>
    </row>
    <row r="89" spans="2:7" x14ac:dyDescent="0.5">
      <c r="B89" s="53" t="s">
        <v>165</v>
      </c>
      <c r="C89" s="29" t="s">
        <v>350</v>
      </c>
      <c r="D89" s="29" t="s">
        <v>103</v>
      </c>
      <c r="E89" s="51" t="s">
        <v>162</v>
      </c>
      <c r="F89" s="65" t="str">
        <f>Assumptions!H127</f>
        <v>CPI</v>
      </c>
      <c r="G89" s="22">
        <f>Assumptions!I127</f>
        <v>0.01</v>
      </c>
    </row>
    <row r="90" spans="2:7" x14ac:dyDescent="0.5">
      <c r="B90" s="53" t="s">
        <v>161</v>
      </c>
      <c r="C90" s="29" t="s">
        <v>350</v>
      </c>
      <c r="D90" s="29" t="s">
        <v>103</v>
      </c>
      <c r="E90" s="51" t="s">
        <v>162</v>
      </c>
      <c r="F90" s="65" t="str">
        <f>Assumptions!H128</f>
        <v>No inflation</v>
      </c>
      <c r="G90" s="22">
        <f>Assumptions!I128</f>
        <v>0</v>
      </c>
    </row>
    <row r="91" spans="2:7" x14ac:dyDescent="0.5">
      <c r="B91" s="8" t="s">
        <v>166</v>
      </c>
      <c r="C91" s="29" t="s">
        <v>350</v>
      </c>
      <c r="D91" s="29" t="s">
        <v>103</v>
      </c>
      <c r="E91" s="51" t="s">
        <v>166</v>
      </c>
      <c r="F91" s="28"/>
      <c r="G91" s="28"/>
    </row>
    <row r="92" spans="2:7" x14ac:dyDescent="0.5">
      <c r="B92" s="8" t="s">
        <v>167</v>
      </c>
      <c r="C92" s="29" t="s">
        <v>350</v>
      </c>
      <c r="D92" s="29" t="s">
        <v>103</v>
      </c>
      <c r="E92" s="51" t="s">
        <v>168</v>
      </c>
      <c r="F92" s="65" t="str">
        <f>Assumptions!H130</f>
        <v>CPI</v>
      </c>
      <c r="G92" s="22">
        <f>Assumptions!I130</f>
        <v>0.01</v>
      </c>
    </row>
    <row r="93" spans="2:7" x14ac:dyDescent="0.5">
      <c r="B93" s="8" t="s">
        <v>169</v>
      </c>
      <c r="C93" s="29" t="s">
        <v>350</v>
      </c>
      <c r="D93" s="29" t="s">
        <v>103</v>
      </c>
      <c r="E93" s="51" t="s">
        <v>168</v>
      </c>
      <c r="F93" s="65" t="str">
        <f>Assumptions!H131</f>
        <v>CPI</v>
      </c>
      <c r="G93" s="22">
        <f>Assumptions!I131</f>
        <v>0.01</v>
      </c>
    </row>
    <row r="94" spans="2:7" x14ac:dyDescent="0.5">
      <c r="B94" s="8" t="s">
        <v>170</v>
      </c>
      <c r="C94" s="29" t="s">
        <v>350</v>
      </c>
      <c r="D94" s="29" t="s">
        <v>103</v>
      </c>
      <c r="E94" s="51" t="s">
        <v>168</v>
      </c>
      <c r="F94" s="65" t="str">
        <f>Assumptions!H132</f>
        <v>CPI</v>
      </c>
      <c r="G94" s="22">
        <f>Assumptions!I132</f>
        <v>0.01</v>
      </c>
    </row>
    <row r="95" spans="2:7" x14ac:dyDescent="0.5">
      <c r="B95" s="8" t="s">
        <v>171</v>
      </c>
      <c r="C95" s="29" t="s">
        <v>350</v>
      </c>
      <c r="D95" s="29" t="s">
        <v>103</v>
      </c>
      <c r="E95" s="51" t="s">
        <v>172</v>
      </c>
      <c r="F95" s="65" t="str">
        <f>Assumptions!H133</f>
        <v>RPI</v>
      </c>
      <c r="G95" s="22">
        <f>Assumptions!I133</f>
        <v>0</v>
      </c>
    </row>
    <row r="96" spans="2:7" x14ac:dyDescent="0.5">
      <c r="B96" s="8" t="s">
        <v>173</v>
      </c>
      <c r="C96" s="29" t="s">
        <v>350</v>
      </c>
      <c r="D96" s="29" t="s">
        <v>103</v>
      </c>
      <c r="E96" s="51" t="s">
        <v>172</v>
      </c>
      <c r="F96" s="65" t="str">
        <f>Assumptions!H134</f>
        <v>CPI</v>
      </c>
      <c r="G96" s="22">
        <f>Assumptions!I134</f>
        <v>0</v>
      </c>
    </row>
    <row r="97" spans="2:7" x14ac:dyDescent="0.5">
      <c r="B97" s="8" t="s">
        <v>174</v>
      </c>
      <c r="C97" s="29" t="s">
        <v>350</v>
      </c>
      <c r="D97" s="29" t="s">
        <v>103</v>
      </c>
      <c r="E97" s="51" t="s">
        <v>172</v>
      </c>
      <c r="F97" s="65" t="str">
        <f>Assumptions!H135</f>
        <v>RPI</v>
      </c>
      <c r="G97" s="22">
        <f>Assumptions!I135</f>
        <v>0</v>
      </c>
    </row>
    <row r="98" spans="2:7" x14ac:dyDescent="0.5">
      <c r="B98" s="53" t="s">
        <v>161</v>
      </c>
      <c r="C98" s="29" t="s">
        <v>350</v>
      </c>
      <c r="D98" s="29" t="s">
        <v>103</v>
      </c>
      <c r="E98" s="51" t="s">
        <v>172</v>
      </c>
      <c r="F98" s="65" t="str">
        <f>Assumptions!H136</f>
        <v>No inflation</v>
      </c>
      <c r="G98" s="22">
        <f>Assumptions!I136</f>
        <v>0</v>
      </c>
    </row>
    <row r="99" spans="2:7" x14ac:dyDescent="0.5">
      <c r="B99" s="53" t="s">
        <v>161</v>
      </c>
      <c r="C99" s="29" t="s">
        <v>350</v>
      </c>
      <c r="D99" s="29" t="s">
        <v>103</v>
      </c>
      <c r="E99" s="51" t="s">
        <v>172</v>
      </c>
      <c r="F99" s="65" t="str">
        <f>Assumptions!H137</f>
        <v>No inflation</v>
      </c>
      <c r="G99" s="22">
        <f>Assumptions!I137</f>
        <v>0</v>
      </c>
    </row>
    <row r="100" spans="2:7" x14ac:dyDescent="0.5">
      <c r="B100" s="53" t="s">
        <v>161</v>
      </c>
      <c r="C100" s="29" t="s">
        <v>350</v>
      </c>
      <c r="D100" s="29" t="s">
        <v>103</v>
      </c>
      <c r="E100" s="51" t="s">
        <v>172</v>
      </c>
      <c r="F100" s="65" t="str">
        <f>Assumptions!H138</f>
        <v>No inflation</v>
      </c>
      <c r="G100" s="22">
        <f>Assumptions!I138</f>
        <v>0</v>
      </c>
    </row>
    <row r="101" spans="2:7" x14ac:dyDescent="0.5">
      <c r="B101" s="8" t="s">
        <v>175</v>
      </c>
      <c r="C101" s="29" t="s">
        <v>350</v>
      </c>
      <c r="D101" s="29" t="s">
        <v>103</v>
      </c>
      <c r="E101" s="51" t="s">
        <v>176</v>
      </c>
      <c r="F101" s="65" t="str">
        <f>Assumptions!H139</f>
        <v>CPI</v>
      </c>
      <c r="G101" s="22">
        <f>Assumptions!I139</f>
        <v>0</v>
      </c>
    </row>
    <row r="102" spans="2:7" x14ac:dyDescent="0.5">
      <c r="B102" s="8" t="s">
        <v>177</v>
      </c>
      <c r="C102" s="29" t="s">
        <v>350</v>
      </c>
      <c r="D102" s="29" t="s">
        <v>103</v>
      </c>
      <c r="E102" s="51" t="s">
        <v>176</v>
      </c>
      <c r="F102" s="65" t="str">
        <f>Assumptions!H140</f>
        <v>CPI</v>
      </c>
      <c r="G102" s="22">
        <f>Assumptions!I140</f>
        <v>0</v>
      </c>
    </row>
    <row r="103" spans="2:7" x14ac:dyDescent="0.5">
      <c r="B103" s="8" t="s">
        <v>178</v>
      </c>
      <c r="C103" s="29" t="s">
        <v>350</v>
      </c>
      <c r="D103" s="29" t="s">
        <v>103</v>
      </c>
      <c r="E103" s="51" t="s">
        <v>176</v>
      </c>
      <c r="F103" s="65" t="str">
        <f>Assumptions!H141</f>
        <v>CPI</v>
      </c>
      <c r="G103" s="22">
        <f>Assumptions!I141</f>
        <v>0</v>
      </c>
    </row>
    <row r="104" spans="2:7" x14ac:dyDescent="0.5">
      <c r="B104" s="8" t="s">
        <v>179</v>
      </c>
      <c r="C104" s="29" t="s">
        <v>350</v>
      </c>
      <c r="D104" s="29" t="s">
        <v>103</v>
      </c>
      <c r="E104" s="51" t="s">
        <v>176</v>
      </c>
      <c r="F104" s="65" t="str">
        <f>Assumptions!H142</f>
        <v>CPI</v>
      </c>
      <c r="G104" s="22">
        <f>Assumptions!I142</f>
        <v>0</v>
      </c>
    </row>
    <row r="105" spans="2:7" x14ac:dyDescent="0.5">
      <c r="B105" s="53" t="s">
        <v>180</v>
      </c>
      <c r="C105" s="29" t="s">
        <v>350</v>
      </c>
      <c r="D105" s="29" t="s">
        <v>103</v>
      </c>
      <c r="E105" s="51" t="s">
        <v>176</v>
      </c>
      <c r="F105" s="65" t="str">
        <f>Assumptions!H143</f>
        <v>CPI</v>
      </c>
      <c r="G105" s="22">
        <f>Assumptions!I143</f>
        <v>0</v>
      </c>
    </row>
    <row r="106" spans="2:7" x14ac:dyDescent="0.5">
      <c r="B106" s="53" t="s">
        <v>181</v>
      </c>
      <c r="C106" s="29" t="s">
        <v>350</v>
      </c>
      <c r="D106" s="29" t="s">
        <v>103</v>
      </c>
      <c r="E106" s="51" t="s">
        <v>176</v>
      </c>
      <c r="F106" s="65" t="str">
        <f>Assumptions!H144</f>
        <v>CPI</v>
      </c>
      <c r="G106" s="22">
        <f>Assumptions!I144</f>
        <v>0</v>
      </c>
    </row>
    <row r="107" spans="2:7" x14ac:dyDescent="0.5">
      <c r="B107" s="53" t="s">
        <v>161</v>
      </c>
      <c r="C107" s="29" t="s">
        <v>350</v>
      </c>
      <c r="D107" s="29" t="s">
        <v>103</v>
      </c>
      <c r="E107" s="51" t="s">
        <v>176</v>
      </c>
      <c r="F107" s="65" t="str">
        <f>Assumptions!H145</f>
        <v>No inflation</v>
      </c>
      <c r="G107" s="22">
        <f>Assumptions!I145</f>
        <v>0</v>
      </c>
    </row>
    <row r="108" spans="2:7" x14ac:dyDescent="0.5">
      <c r="B108" s="53" t="s">
        <v>161</v>
      </c>
      <c r="C108" s="29" t="s">
        <v>350</v>
      </c>
      <c r="D108" s="29" t="s">
        <v>103</v>
      </c>
      <c r="E108" s="51" t="s">
        <v>176</v>
      </c>
      <c r="F108" s="65" t="str">
        <f>Assumptions!H146</f>
        <v>No inflation</v>
      </c>
      <c r="G108" s="22">
        <f>Assumptions!I146</f>
        <v>0</v>
      </c>
    </row>
    <row r="109" spans="2:7" x14ac:dyDescent="0.5">
      <c r="B109" s="53" t="s">
        <v>161</v>
      </c>
      <c r="C109" s="29" t="s">
        <v>350</v>
      </c>
      <c r="D109" s="29" t="s">
        <v>103</v>
      </c>
      <c r="E109" s="51" t="s">
        <v>176</v>
      </c>
      <c r="F109" s="65" t="str">
        <f>Assumptions!H147</f>
        <v>No inflation</v>
      </c>
      <c r="G109" s="22">
        <f>Assumptions!I147</f>
        <v>0</v>
      </c>
    </row>
    <row r="110" spans="2:7" x14ac:dyDescent="0.5">
      <c r="B110" s="8" t="s">
        <v>182</v>
      </c>
      <c r="C110" s="29" t="s">
        <v>350</v>
      </c>
      <c r="D110" s="29" t="s">
        <v>103</v>
      </c>
      <c r="E110" s="51" t="s">
        <v>182</v>
      </c>
      <c r="F110" s="65" t="str">
        <f>Assumptions!H148</f>
        <v>No inflation</v>
      </c>
      <c r="G110" s="22">
        <f>Assumptions!I148</f>
        <v>0</v>
      </c>
    </row>
    <row r="111" spans="2:7" x14ac:dyDescent="0.5">
      <c r="B111" s="8" t="s">
        <v>183</v>
      </c>
      <c r="C111" s="29" t="s">
        <v>350</v>
      </c>
      <c r="D111" s="29" t="s">
        <v>103</v>
      </c>
      <c r="E111" s="51" t="s">
        <v>184</v>
      </c>
      <c r="F111" s="65" t="str">
        <f>Assumptions!H149</f>
        <v>RPI</v>
      </c>
      <c r="G111" s="22">
        <f>Assumptions!I149</f>
        <v>0</v>
      </c>
    </row>
    <row r="112" spans="2:7" x14ac:dyDescent="0.5">
      <c r="B112" s="8" t="s">
        <v>185</v>
      </c>
      <c r="C112" s="29" t="s">
        <v>350</v>
      </c>
      <c r="D112" s="29" t="s">
        <v>103</v>
      </c>
      <c r="E112" s="51" t="s">
        <v>184</v>
      </c>
      <c r="F112" s="65" t="str">
        <f>Assumptions!H150</f>
        <v>RPI</v>
      </c>
      <c r="G112" s="22">
        <f>Assumptions!I150</f>
        <v>0</v>
      </c>
    </row>
    <row r="113" spans="2:7" x14ac:dyDescent="0.5">
      <c r="B113" s="8" t="s">
        <v>186</v>
      </c>
      <c r="C113" s="29" t="s">
        <v>350</v>
      </c>
      <c r="D113" s="29" t="s">
        <v>103</v>
      </c>
      <c r="E113" s="51" t="s">
        <v>184</v>
      </c>
      <c r="F113" s="65" t="str">
        <f>Assumptions!H151</f>
        <v>RPI</v>
      </c>
      <c r="G113" s="22">
        <f>Assumptions!I151</f>
        <v>0</v>
      </c>
    </row>
    <row r="114" spans="2:7" x14ac:dyDescent="0.5">
      <c r="B114" s="8" t="s">
        <v>161</v>
      </c>
      <c r="C114" s="29" t="s">
        <v>350</v>
      </c>
      <c r="D114" s="29" t="s">
        <v>103</v>
      </c>
      <c r="E114" s="51" t="s">
        <v>184</v>
      </c>
      <c r="F114" s="65" t="str">
        <f>Assumptions!H152</f>
        <v>No inflation</v>
      </c>
      <c r="G114" s="22">
        <f>Assumptions!I152</f>
        <v>0</v>
      </c>
    </row>
    <row r="115" spans="2:7" x14ac:dyDescent="0.5">
      <c r="B115" s="53" t="s">
        <v>161</v>
      </c>
      <c r="C115" s="29" t="s">
        <v>350</v>
      </c>
      <c r="D115" s="29" t="s">
        <v>103</v>
      </c>
      <c r="E115" s="51" t="s">
        <v>184</v>
      </c>
      <c r="F115" s="65" t="str">
        <f>Assumptions!H153</f>
        <v>No inflation</v>
      </c>
      <c r="G115" s="22">
        <f>Assumptions!I153</f>
        <v>0</v>
      </c>
    </row>
    <row r="116" spans="2:7" x14ac:dyDescent="0.5">
      <c r="B116" s="53" t="s">
        <v>161</v>
      </c>
      <c r="C116" s="29" t="s">
        <v>350</v>
      </c>
      <c r="D116" s="29" t="s">
        <v>103</v>
      </c>
      <c r="E116" s="51" t="s">
        <v>184</v>
      </c>
      <c r="F116" s="65" t="str">
        <f>Assumptions!H154</f>
        <v>No inflation</v>
      </c>
      <c r="G116" s="22">
        <f>Assumptions!I154</f>
        <v>0</v>
      </c>
    </row>
    <row r="117" spans="2:7" x14ac:dyDescent="0.5">
      <c r="B117" s="53" t="s">
        <v>187</v>
      </c>
      <c r="C117" s="29" t="s">
        <v>350</v>
      </c>
      <c r="D117" s="29" t="s">
        <v>103</v>
      </c>
      <c r="E117" s="51" t="s">
        <v>187</v>
      </c>
      <c r="F117" s="28"/>
      <c r="G117" s="28"/>
    </row>
    <row r="118" spans="2:7" x14ac:dyDescent="0.5">
      <c r="B118" s="8" t="s">
        <v>161</v>
      </c>
      <c r="C118" s="29" t="s">
        <v>350</v>
      </c>
      <c r="D118" s="29" t="s">
        <v>103</v>
      </c>
      <c r="E118" s="51" t="s">
        <v>187</v>
      </c>
      <c r="F118" s="65" t="str">
        <f>Assumptions!H156</f>
        <v>No inflation</v>
      </c>
      <c r="G118" s="22">
        <f>Assumptions!I156</f>
        <v>0</v>
      </c>
    </row>
    <row r="119" spans="2:7" x14ac:dyDescent="0.5">
      <c r="B119" s="53" t="s">
        <v>161</v>
      </c>
      <c r="C119" s="29" t="s">
        <v>350</v>
      </c>
      <c r="D119" s="29" t="s">
        <v>103</v>
      </c>
      <c r="E119" s="51" t="s">
        <v>187</v>
      </c>
      <c r="F119" s="65" t="str">
        <f>Assumptions!H157</f>
        <v>No inflation</v>
      </c>
      <c r="G119" s="22">
        <f>Assumptions!I157</f>
        <v>0</v>
      </c>
    </row>
    <row r="120" spans="2:7" x14ac:dyDescent="0.5">
      <c r="B120" s="53" t="s">
        <v>161</v>
      </c>
      <c r="C120" s="29" t="s">
        <v>350</v>
      </c>
      <c r="D120" s="29" t="s">
        <v>103</v>
      </c>
      <c r="E120" s="51" t="s">
        <v>187</v>
      </c>
      <c r="F120" s="65" t="str">
        <f>Assumptions!H158</f>
        <v>No inflation</v>
      </c>
      <c r="G120" s="22">
        <f>Assumptions!I158</f>
        <v>0</v>
      </c>
    </row>
  </sheetData>
  <phoneticPr fontId="27" type="noConversion"/>
  <pageMargins left="0.7" right="0.7" top="0.75" bottom="0.75" header="0.3" footer="0.3"/>
  <headerFooter>
    <oddHeader>&amp;C&amp;"Calibri"&amp;8&amp;K000000 OFFICIAL - CAA Use Only: This information is for CAA use only &amp;1#_x000D_</oddHeader>
    <oddFooter>&amp;C_x000D_&amp;1#&amp;"Calibri"&amp;8&amp;K000000 OFFICIAL - CAA Use Only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31ED1-B67A-48A4-9F07-F7702041AED1}">
  <sheetPr>
    <tabColor theme="6"/>
  </sheetPr>
  <dimension ref="A1:M38"/>
  <sheetViews>
    <sheetView topLeftCell="A5" zoomScale="90" zoomScaleNormal="90" workbookViewId="0">
      <selection activeCell="H13" sqref="H13"/>
    </sheetView>
  </sheetViews>
  <sheetFormatPr defaultColWidth="8.90625" defaultRowHeight="16.5" x14ac:dyDescent="0.5"/>
  <cols>
    <col min="1" max="1" width="20.6328125" customWidth="1"/>
    <col min="2" max="2" width="37.453125" customWidth="1"/>
    <col min="3" max="5" width="20.6328125" customWidth="1"/>
    <col min="6" max="6" width="10.453125" customWidth="1"/>
    <col min="7" max="9" width="10.453125" bestFit="1" customWidth="1"/>
    <col min="10" max="12" width="10.08984375" bestFit="1" customWidth="1"/>
  </cols>
  <sheetData>
    <row r="1" spans="1:13" ht="23" thickBot="1" x14ac:dyDescent="0.7">
      <c r="A1" s="13" t="s">
        <v>44</v>
      </c>
    </row>
    <row r="2" spans="1:13" ht="17" thickTop="1" x14ac:dyDescent="0.5"/>
    <row r="3" spans="1:13" ht="19" thickBot="1" x14ac:dyDescent="0.55000000000000004">
      <c r="A3" s="14" t="s">
        <v>363</v>
      </c>
    </row>
    <row r="4" spans="1:13" ht="17" thickTop="1" x14ac:dyDescent="0.5">
      <c r="B4" s="46"/>
      <c r="C4" s="46"/>
      <c r="D4" s="46"/>
      <c r="E4" s="46"/>
    </row>
    <row r="5" spans="1:13" ht="17" thickBot="1" x14ac:dyDescent="0.55000000000000004">
      <c r="B5" s="45" t="s">
        <v>72</v>
      </c>
      <c r="C5" s="27" t="s">
        <v>96</v>
      </c>
      <c r="D5" s="27"/>
      <c r="E5" s="27" t="s">
        <v>227</v>
      </c>
      <c r="F5" s="12">
        <v>2025</v>
      </c>
      <c r="G5" s="12">
        <v>2026</v>
      </c>
      <c r="H5" s="12">
        <v>2027</v>
      </c>
      <c r="I5" s="12">
        <v>2028</v>
      </c>
      <c r="J5" s="12">
        <v>2029</v>
      </c>
      <c r="K5" s="12">
        <v>2030</v>
      </c>
      <c r="L5" s="12">
        <v>2031</v>
      </c>
    </row>
    <row r="6" spans="1:13" x14ac:dyDescent="0.5">
      <c r="B6" s="8" t="s">
        <v>229</v>
      </c>
      <c r="C6" s="28" t="s">
        <v>364</v>
      </c>
      <c r="D6" s="28"/>
      <c r="E6" s="51" t="s">
        <v>230</v>
      </c>
      <c r="F6" s="18"/>
      <c r="G6" s="18"/>
      <c r="H6" s="18"/>
      <c r="I6" s="18"/>
      <c r="J6" s="18"/>
      <c r="K6" s="18"/>
      <c r="L6" s="18"/>
    </row>
    <row r="8" spans="1:13" ht="19" thickBot="1" x14ac:dyDescent="0.55000000000000004">
      <c r="A8" s="14" t="s">
        <v>365</v>
      </c>
    </row>
    <row r="9" spans="1:13" ht="19" thickTop="1" x14ac:dyDescent="0.5">
      <c r="A9" s="23"/>
    </row>
    <row r="10" spans="1:13" ht="17" thickBot="1" x14ac:dyDescent="0.55000000000000004">
      <c r="B10" s="27" t="s">
        <v>95</v>
      </c>
      <c r="C10" s="27" t="s">
        <v>96</v>
      </c>
      <c r="D10" s="27" t="s">
        <v>97</v>
      </c>
      <c r="E10" s="50"/>
      <c r="F10" s="12">
        <v>2025</v>
      </c>
      <c r="G10" s="12">
        <v>2026</v>
      </c>
      <c r="H10" s="12">
        <v>2027</v>
      </c>
      <c r="I10" s="12">
        <v>2028</v>
      </c>
      <c r="J10" s="12">
        <v>2029</v>
      </c>
      <c r="K10" s="12">
        <v>2030</v>
      </c>
      <c r="L10" s="12">
        <v>2031</v>
      </c>
      <c r="M10" s="162" t="s">
        <v>366</v>
      </c>
    </row>
    <row r="11" spans="1:13" x14ac:dyDescent="0.5">
      <c r="B11" s="8" t="s">
        <v>367</v>
      </c>
      <c r="C11" s="29" t="s">
        <v>102</v>
      </c>
      <c r="D11" s="29" t="s">
        <v>103</v>
      </c>
      <c r="E11" s="51"/>
      <c r="F11" s="67"/>
      <c r="G11" s="67"/>
      <c r="H11" s="75">
        <f>H38</f>
        <v>8.3334297152124108</v>
      </c>
      <c r="I11" s="75">
        <f t="shared" ref="I11:J11" si="0">I38</f>
        <v>8.3334297152124108</v>
      </c>
      <c r="J11" s="75">
        <f t="shared" si="0"/>
        <v>8.3334297152124108</v>
      </c>
      <c r="K11" s="67"/>
      <c r="L11" s="67"/>
      <c r="M11" s="119">
        <f>SUM(H11:L11)</f>
        <v>25.000289145637232</v>
      </c>
    </row>
    <row r="12" spans="1:13" x14ac:dyDescent="0.5">
      <c r="B12" s="8" t="s">
        <v>132</v>
      </c>
      <c r="C12" s="29" t="s">
        <v>102</v>
      </c>
      <c r="D12" s="29" t="s">
        <v>103</v>
      </c>
      <c r="E12" s="51"/>
      <c r="F12" s="41"/>
      <c r="G12" s="41"/>
      <c r="H12" s="144">
        <f>(('Volume Drivers'!I35-'Volume Drivers'!$F35)/'Volume Drivers'!$F35)*Baseline!$G11</f>
        <v>1.9895560195958293</v>
      </c>
      <c r="I12" s="144">
        <f>(('Volume Drivers'!J35-'Volume Drivers'!$F35)/'Volume Drivers'!$F35)*Baseline!$G11</f>
        <v>2.562790538885257</v>
      </c>
      <c r="J12" s="144">
        <f>(('Volume Drivers'!K35-'Volume Drivers'!$F35)/'Volume Drivers'!$F35)*Baseline!$G11</f>
        <v>2.562790538885257</v>
      </c>
      <c r="K12" s="144">
        <f>(('Volume Drivers'!L35-'Volume Drivers'!$F35)/'Volume Drivers'!$F35)*Baseline!$G11</f>
        <v>3.1596573447640015</v>
      </c>
      <c r="L12" s="144">
        <f>(('Volume Drivers'!M35-'Volume Drivers'!$F35)/'Volume Drivers'!$F35)*Baseline!$G11</f>
        <v>3.1596573447640015</v>
      </c>
      <c r="M12" s="119">
        <f t="shared" ref="M12:M14" si="1">SUM(H12:L12)</f>
        <v>13.434451786894346</v>
      </c>
    </row>
    <row r="13" spans="1:13" x14ac:dyDescent="0.5">
      <c r="B13" s="183" t="s">
        <v>368</v>
      </c>
      <c r="C13" s="176" t="s">
        <v>102</v>
      </c>
      <c r="D13" s="176" t="s">
        <v>103</v>
      </c>
      <c r="E13" s="184"/>
      <c r="F13" s="185"/>
      <c r="G13" s="185"/>
      <c r="H13" s="181">
        <f>-0.016*Baseline!$H22</f>
        <v>-2.7779199999999999</v>
      </c>
      <c r="I13" s="181">
        <f>-0.016*Baseline!$H22</f>
        <v>-2.7779199999999999</v>
      </c>
      <c r="J13" s="181">
        <f>-0.016*Baseline!$H22</f>
        <v>-2.7779199999999999</v>
      </c>
      <c r="K13" s="181"/>
      <c r="L13" s="181"/>
      <c r="M13" s="119">
        <f t="shared" si="1"/>
        <v>-8.3337599999999998</v>
      </c>
    </row>
    <row r="14" spans="1:13" x14ac:dyDescent="0.5">
      <c r="B14" s="8" t="s">
        <v>369</v>
      </c>
      <c r="C14" s="29" t="s">
        <v>102</v>
      </c>
      <c r="D14" s="29" t="s">
        <v>103</v>
      </c>
      <c r="E14" s="51"/>
      <c r="F14" s="197">
        <f t="shared" ref="F14:L14" si="2">SUM(F11:F13)</f>
        <v>0</v>
      </c>
      <c r="G14" s="197">
        <f t="shared" si="2"/>
        <v>0</v>
      </c>
      <c r="H14" s="197">
        <f t="shared" si="2"/>
        <v>7.5450657348082402</v>
      </c>
      <c r="I14" s="197">
        <f t="shared" si="2"/>
        <v>8.118300254097667</v>
      </c>
      <c r="J14" s="197">
        <f t="shared" si="2"/>
        <v>8.118300254097667</v>
      </c>
      <c r="K14" s="197">
        <f t="shared" si="2"/>
        <v>3.1596573447640015</v>
      </c>
      <c r="L14" s="197">
        <f t="shared" si="2"/>
        <v>3.1596573447640015</v>
      </c>
      <c r="M14" s="119">
        <f t="shared" si="1"/>
        <v>30.100980932531577</v>
      </c>
    </row>
    <row r="15" spans="1:13" x14ac:dyDescent="0.5">
      <c r="E15" s="49"/>
    </row>
    <row r="16" spans="1:13" ht="17" thickBot="1" x14ac:dyDescent="0.55000000000000004">
      <c r="B16" s="27" t="s">
        <v>143</v>
      </c>
      <c r="C16" s="27" t="s">
        <v>96</v>
      </c>
      <c r="D16" s="27" t="s">
        <v>97</v>
      </c>
      <c r="E16" s="50"/>
      <c r="F16" s="12">
        <v>2025</v>
      </c>
      <c r="G16" s="12">
        <v>2026</v>
      </c>
      <c r="H16" s="12">
        <v>2027</v>
      </c>
      <c r="I16" s="12">
        <v>2028</v>
      </c>
      <c r="J16" s="12">
        <v>2029</v>
      </c>
      <c r="K16" s="12">
        <v>2030</v>
      </c>
      <c r="L16" s="12">
        <v>2031</v>
      </c>
      <c r="M16" s="162" t="s">
        <v>366</v>
      </c>
    </row>
    <row r="17" spans="1:13" x14ac:dyDescent="0.5">
      <c r="B17" s="186" t="s">
        <v>370</v>
      </c>
      <c r="C17" s="187" t="s">
        <v>102</v>
      </c>
      <c r="D17" s="187" t="s">
        <v>103</v>
      </c>
      <c r="E17" s="188"/>
      <c r="F17" s="217">
        <v>0</v>
      </c>
      <c r="G17" s="217">
        <v>-14.640211030814655</v>
      </c>
      <c r="H17" s="217">
        <v>-17.890395508616653</v>
      </c>
      <c r="I17" s="217">
        <v>-18.703043733018866</v>
      </c>
      <c r="J17" s="217">
        <v>-19.376929610475642</v>
      </c>
      <c r="K17" s="217">
        <v>3.0691444210434313</v>
      </c>
      <c r="L17" s="217">
        <v>3.0841892466367802</v>
      </c>
      <c r="M17" s="119">
        <f>SUM(H17:L17)</f>
        <v>-49.817035184430949</v>
      </c>
    </row>
    <row r="18" spans="1:13" x14ac:dyDescent="0.5">
      <c r="B18" s="53" t="s">
        <v>194</v>
      </c>
      <c r="C18" s="29" t="s">
        <v>102</v>
      </c>
      <c r="D18" s="29" t="s">
        <v>103</v>
      </c>
      <c r="E18" s="51"/>
      <c r="F18" s="111">
        <f>SUM(F17)</f>
        <v>0</v>
      </c>
      <c r="G18" s="111">
        <f t="shared" ref="G18:K18" si="3">SUM(G17)</f>
        <v>-14.640211030814655</v>
      </c>
      <c r="H18" s="111">
        <f t="shared" si="3"/>
        <v>-17.890395508616653</v>
      </c>
      <c r="I18" s="111">
        <f t="shared" si="3"/>
        <v>-18.703043733018866</v>
      </c>
      <c r="J18" s="111">
        <f t="shared" si="3"/>
        <v>-19.376929610475642</v>
      </c>
      <c r="K18" s="111">
        <f t="shared" si="3"/>
        <v>3.0691444210434313</v>
      </c>
      <c r="L18" s="111">
        <f>SUM(L17)</f>
        <v>3.0841892466367802</v>
      </c>
      <c r="M18" s="119">
        <f>SUM(H18:L18)</f>
        <v>-49.817035184430949</v>
      </c>
    </row>
    <row r="20" spans="1:13" ht="19" thickBot="1" x14ac:dyDescent="0.55000000000000004">
      <c r="A20" s="14" t="s">
        <v>371</v>
      </c>
    </row>
    <row r="21" spans="1:13" ht="17" thickTop="1" x14ac:dyDescent="0.5"/>
    <row r="22" spans="1:13" ht="17" thickBot="1" x14ac:dyDescent="0.55000000000000004">
      <c r="B22" s="27" t="s">
        <v>372</v>
      </c>
      <c r="C22" s="27" t="s">
        <v>96</v>
      </c>
      <c r="D22" s="27" t="s">
        <v>97</v>
      </c>
      <c r="E22" s="50" t="s">
        <v>373</v>
      </c>
      <c r="F22" s="12">
        <v>2025</v>
      </c>
      <c r="G22" s="12">
        <v>2026</v>
      </c>
      <c r="H22" s="12">
        <v>2027</v>
      </c>
      <c r="I22" s="12">
        <v>2028</v>
      </c>
      <c r="J22" s="12">
        <v>2029</v>
      </c>
      <c r="K22" s="12">
        <v>2030</v>
      </c>
      <c r="L22" s="12">
        <v>2031</v>
      </c>
      <c r="M22" s="10" t="s">
        <v>366</v>
      </c>
    </row>
    <row r="23" spans="1:13" x14ac:dyDescent="0.5">
      <c r="B23" s="8" t="s">
        <v>374</v>
      </c>
      <c r="C23" s="29" t="s">
        <v>102</v>
      </c>
      <c r="D23" s="29" t="s">
        <v>103</v>
      </c>
      <c r="E23" s="167">
        <v>46041.597916666666</v>
      </c>
      <c r="F23" s="163">
        <v>0.14635263539910814</v>
      </c>
      <c r="G23" s="163">
        <v>0.29528800141590572</v>
      </c>
      <c r="H23" s="163">
        <v>9.3516316453437776E-2</v>
      </c>
      <c r="I23" s="163">
        <v>0.23719247862495221</v>
      </c>
      <c r="J23" s="163">
        <v>0.26083743128243259</v>
      </c>
      <c r="K23" s="163">
        <v>0.25422015438029866</v>
      </c>
      <c r="L23" s="163">
        <v>0.21764999623141865</v>
      </c>
      <c r="M23" s="168">
        <f>SUM(H23:L23)</f>
        <v>1.06341637697254</v>
      </c>
    </row>
    <row r="24" spans="1:13" x14ac:dyDescent="0.5">
      <c r="B24" s="8" t="s">
        <v>375</v>
      </c>
      <c r="C24" s="29" t="s">
        <v>102</v>
      </c>
      <c r="D24" s="29" t="s">
        <v>103</v>
      </c>
      <c r="F24" s="168">
        <f>Comrev!G243</f>
        <v>-2.1659398281408007</v>
      </c>
      <c r="G24" s="168">
        <f>Comrev!H243</f>
        <v>-1.8418799360390388</v>
      </c>
      <c r="H24" s="168">
        <f>Comrev!I243</f>
        <v>-1.8287018288874577</v>
      </c>
      <c r="I24" s="168">
        <f>Comrev!J243</f>
        <v>-1.5583830554674387</v>
      </c>
      <c r="J24" s="168">
        <f>Comrev!K243</f>
        <v>-1.4041448403485612</v>
      </c>
      <c r="K24" s="168">
        <f>Comrev!L243</f>
        <v>-1.2826492380476486</v>
      </c>
      <c r="L24" s="168">
        <f>Comrev!M243</f>
        <v>-1.185386008824407</v>
      </c>
      <c r="M24" s="168">
        <f>SUM(H24:L24)</f>
        <v>-7.2592649715755133</v>
      </c>
    </row>
    <row r="25" spans="1:13" x14ac:dyDescent="0.5">
      <c r="B25" s="8" t="s">
        <v>376</v>
      </c>
      <c r="C25" s="29" t="s">
        <v>102</v>
      </c>
      <c r="D25" s="29" t="s">
        <v>103</v>
      </c>
      <c r="F25" s="168">
        <f>F24-F23</f>
        <v>-2.3122924635399089</v>
      </c>
      <c r="G25" s="168">
        <f t="shared" ref="G25:L25" si="4">G24-G23</f>
        <v>-2.1371679374549446</v>
      </c>
      <c r="H25" s="168">
        <f t="shared" si="4"/>
        <v>-1.9222181453408955</v>
      </c>
      <c r="I25" s="168">
        <f t="shared" si="4"/>
        <v>-1.7955755340923909</v>
      </c>
      <c r="J25" s="168">
        <f t="shared" si="4"/>
        <v>-1.6649822716309939</v>
      </c>
      <c r="K25" s="168">
        <f t="shared" si="4"/>
        <v>-1.5368693924279473</v>
      </c>
      <c r="L25" s="168">
        <f t="shared" si="4"/>
        <v>-1.4030360050558257</v>
      </c>
      <c r="M25" s="168">
        <f>SUM(H25:L25)</f>
        <v>-8.3226813485480537</v>
      </c>
    </row>
    <row r="26" spans="1:13" x14ac:dyDescent="0.5">
      <c r="B26" s="8" t="s">
        <v>377</v>
      </c>
      <c r="C26" s="29" t="s">
        <v>102</v>
      </c>
      <c r="D26" s="29" t="s">
        <v>378</v>
      </c>
      <c r="F26" s="198">
        <f>F25</f>
        <v>-2.3122924635399089</v>
      </c>
      <c r="G26" s="198">
        <f>G25+F26</f>
        <v>-4.4494604009948535</v>
      </c>
      <c r="H26" s="198">
        <f t="shared" ref="H26:L26" si="5">H25+G26</f>
        <v>-6.3716785463357493</v>
      </c>
      <c r="I26" s="198">
        <f t="shared" si="5"/>
        <v>-8.1672540804281404</v>
      </c>
      <c r="J26" s="198">
        <f t="shared" si="5"/>
        <v>-9.8322363520591338</v>
      </c>
      <c r="K26" s="198">
        <f t="shared" si="5"/>
        <v>-11.369105744487081</v>
      </c>
      <c r="L26" s="198">
        <f t="shared" si="5"/>
        <v>-12.772141749542907</v>
      </c>
      <c r="M26" s="198">
        <f>SUM(H26:L26)</f>
        <v>-48.512416472853005</v>
      </c>
    </row>
    <row r="27" spans="1:13" x14ac:dyDescent="0.5">
      <c r="B27" t="s">
        <v>379</v>
      </c>
    </row>
    <row r="28" spans="1:13" x14ac:dyDescent="0.5">
      <c r="B28" t="s">
        <v>380</v>
      </c>
    </row>
    <row r="29" spans="1:13" x14ac:dyDescent="0.5">
      <c r="B29" t="s">
        <v>381</v>
      </c>
    </row>
    <row r="31" spans="1:13" ht="19" thickBot="1" x14ac:dyDescent="0.55000000000000004">
      <c r="A31" s="14" t="s">
        <v>382</v>
      </c>
    </row>
    <row r="32" spans="1:13" ht="17" thickTop="1" x14ac:dyDescent="0.5"/>
    <row r="33" spans="2:13" ht="17" thickBot="1" x14ac:dyDescent="0.55000000000000004">
      <c r="B33" s="27" t="s">
        <v>32</v>
      </c>
      <c r="C33" s="27" t="s">
        <v>96</v>
      </c>
      <c r="D33" s="27" t="s">
        <v>97</v>
      </c>
      <c r="E33" s="27">
        <v>2024</v>
      </c>
      <c r="F33" s="11">
        <v>2025</v>
      </c>
      <c r="G33" s="11">
        <v>2026</v>
      </c>
      <c r="H33" s="12">
        <v>2027</v>
      </c>
      <c r="I33" s="12">
        <v>2028</v>
      </c>
      <c r="J33" s="12">
        <v>2029</v>
      </c>
      <c r="K33" s="12">
        <v>2030</v>
      </c>
      <c r="L33" s="12">
        <v>2031</v>
      </c>
      <c r="M33" s="162" t="s">
        <v>366</v>
      </c>
    </row>
    <row r="34" spans="2:13" x14ac:dyDescent="0.5">
      <c r="B34" s="8" t="s">
        <v>383</v>
      </c>
      <c r="C34" s="29" t="s">
        <v>102</v>
      </c>
      <c r="D34" s="29" t="s">
        <v>103</v>
      </c>
      <c r="E34" s="51"/>
      <c r="F34" s="51"/>
      <c r="G34" s="51"/>
      <c r="H34" s="75">
        <f>$M34/3</f>
        <v>3.3333333333333335</v>
      </c>
      <c r="I34" s="75">
        <f t="shared" ref="I34:J35" si="6">$M34/3</f>
        <v>3.3333333333333335</v>
      </c>
      <c r="J34" s="75">
        <f t="shared" si="6"/>
        <v>3.3333333333333335</v>
      </c>
      <c r="K34" s="64"/>
      <c r="L34" s="64"/>
      <c r="M34" s="189">
        <v>10</v>
      </c>
    </row>
    <row r="35" spans="2:13" x14ac:dyDescent="0.5">
      <c r="B35" s="8" t="s">
        <v>384</v>
      </c>
      <c r="C35" s="29" t="s">
        <v>102</v>
      </c>
      <c r="D35" s="29" t="s">
        <v>103</v>
      </c>
      <c r="E35" s="51"/>
      <c r="F35" s="51"/>
      <c r="G35" s="51"/>
      <c r="H35" s="75">
        <f>$M35/3</f>
        <v>5.666666666666667</v>
      </c>
      <c r="I35" s="75">
        <f t="shared" si="6"/>
        <v>5.666666666666667</v>
      </c>
      <c r="J35" s="75">
        <f t="shared" si="6"/>
        <v>5.666666666666667</v>
      </c>
      <c r="K35" s="190"/>
      <c r="L35" s="190"/>
      <c r="M35" s="189">
        <v>17</v>
      </c>
    </row>
    <row r="36" spans="2:13" x14ac:dyDescent="0.5">
      <c r="B36" s="8" t="s">
        <v>385</v>
      </c>
      <c r="C36" s="29" t="s">
        <v>350</v>
      </c>
      <c r="D36" s="29" t="s">
        <v>103</v>
      </c>
      <c r="E36" s="191">
        <f>(Baseline!G11-Baseline!F11)/Baseline!F11</f>
        <v>-0.19997108543627665</v>
      </c>
      <c r="F36" s="51"/>
      <c r="G36" s="192"/>
      <c r="H36" s="192"/>
      <c r="I36" s="192"/>
      <c r="J36" s="192"/>
      <c r="K36" s="192"/>
      <c r="L36" s="192"/>
      <c r="M36" s="193"/>
    </row>
    <row r="37" spans="2:13" x14ac:dyDescent="0.5">
      <c r="B37" s="183" t="s">
        <v>386</v>
      </c>
      <c r="C37" s="176" t="s">
        <v>102</v>
      </c>
      <c r="D37" s="176" t="s">
        <v>103</v>
      </c>
      <c r="E37" s="184"/>
      <c r="F37" s="184"/>
      <c r="G37" s="184"/>
      <c r="H37" s="194">
        <f>(1+$E36)*H34</f>
        <v>2.6667630485457448</v>
      </c>
      <c r="I37" s="194">
        <f t="shared" ref="I37:J37" si="7">(1+$E36)*I34</f>
        <v>2.6667630485457448</v>
      </c>
      <c r="J37" s="194">
        <f t="shared" si="7"/>
        <v>2.6667630485457448</v>
      </c>
      <c r="K37" s="195"/>
      <c r="L37" s="195"/>
      <c r="M37" s="196">
        <f t="shared" ref="M37:M38" si="8">SUM(H37:L37)</f>
        <v>8.0002891456372343</v>
      </c>
    </row>
    <row r="38" spans="2:13" x14ac:dyDescent="0.5">
      <c r="B38" s="8" t="s">
        <v>367</v>
      </c>
      <c r="C38" s="29" t="s">
        <v>102</v>
      </c>
      <c r="D38" s="29" t="s">
        <v>103</v>
      </c>
      <c r="E38" s="8"/>
      <c r="F38" s="8"/>
      <c r="G38" s="8"/>
      <c r="H38" s="197">
        <f>H37+H35</f>
        <v>8.3334297152124108</v>
      </c>
      <c r="I38" s="197">
        <f t="shared" ref="I38:J38" si="9">I37+I35</f>
        <v>8.3334297152124108</v>
      </c>
      <c r="J38" s="197">
        <f t="shared" si="9"/>
        <v>8.3334297152124108</v>
      </c>
      <c r="K38" s="8"/>
      <c r="L38" s="8"/>
      <c r="M38" s="198">
        <f t="shared" si="8"/>
        <v>25.000289145637232</v>
      </c>
    </row>
  </sheetData>
  <phoneticPr fontId="27" type="noConversion"/>
  <pageMargins left="0.7" right="0.7" top="0.75" bottom="0.75" header="0.3" footer="0.3"/>
  <headerFooter>
    <oddHeader>&amp;C&amp;"Calibri"&amp;8&amp;K000000 OFFICIAL - CAA Use Only: This information is for CAA use only &amp;1#_x000D_</oddHeader>
    <oddFooter>&amp;C_x000D_&amp;1#&amp;"Calibri"&amp;8&amp;K000000 OFFICIAL - CAA Use Only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AD85F-97DE-4873-9B70-F95A79CCC3F4}">
  <sheetPr>
    <tabColor theme="4"/>
  </sheetPr>
  <dimension ref="A1:A2"/>
  <sheetViews>
    <sheetView workbookViewId="0"/>
  </sheetViews>
  <sheetFormatPr defaultColWidth="8.90625" defaultRowHeight="16.5" x14ac:dyDescent="0.5"/>
  <cols>
    <col min="1" max="1" width="22.36328125" customWidth="1"/>
  </cols>
  <sheetData>
    <row r="1" spans="1:1" ht="30" thickBot="1" x14ac:dyDescent="0.85">
      <c r="A1" s="16" t="s">
        <v>47</v>
      </c>
    </row>
    <row r="2" spans="1:1" ht="17" thickTop="1" x14ac:dyDescent="0.5"/>
  </sheetData>
  <pageMargins left="0.7" right="0.7" top="0.75" bottom="0.75" header="0.3" footer="0.3"/>
  <headerFooter>
    <oddHeader>&amp;C&amp;"Calibri"&amp;8&amp;K000000 OFFICIAL - CAA Use Only: This information is for CAA use only &amp;1#_x000D_</oddHeader>
    <oddFooter>&amp;C_x000D_&amp;1#&amp;"Calibri"&amp;8&amp;K000000 OFFICIAL - CAA Use Only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DE88B-F458-E340-9DB0-A41CC13C8A81}">
  <sheetPr>
    <tabColor theme="4"/>
  </sheetPr>
  <dimension ref="A1:AI287"/>
  <sheetViews>
    <sheetView topLeftCell="A262" zoomScale="55" zoomScaleNormal="55" workbookViewId="0">
      <pane xSplit="2" topLeftCell="F1" activePane="topRight" state="frozen"/>
      <selection activeCell="A160" sqref="A160"/>
      <selection pane="topRight" activeCell="N251" sqref="N251"/>
    </sheetView>
  </sheetViews>
  <sheetFormatPr defaultColWidth="8.90625" defaultRowHeight="16.5" x14ac:dyDescent="0.5"/>
  <cols>
    <col min="1" max="3" width="30.6328125" customWidth="1"/>
    <col min="4" max="13" width="20.6328125" customWidth="1"/>
    <col min="14" max="14" width="10.08984375" bestFit="1" customWidth="1"/>
  </cols>
  <sheetData>
    <row r="1" spans="1:14" ht="23" thickBot="1" x14ac:dyDescent="0.7">
      <c r="A1" s="13" t="s">
        <v>387</v>
      </c>
    </row>
    <row r="2" spans="1:14" ht="23" thickTop="1" x14ac:dyDescent="0.65">
      <c r="A2" s="21"/>
    </row>
    <row r="4" spans="1:14" ht="19" thickBot="1" x14ac:dyDescent="0.55000000000000004">
      <c r="A4" s="14" t="s">
        <v>40</v>
      </c>
    </row>
    <row r="5" spans="1:14" ht="19" thickTop="1" x14ac:dyDescent="0.5">
      <c r="A5" s="23"/>
    </row>
    <row r="6" spans="1:14" ht="17" thickBot="1" x14ac:dyDescent="0.55000000000000004">
      <c r="B6" s="27" t="s">
        <v>302</v>
      </c>
      <c r="C6" s="27" t="s">
        <v>96</v>
      </c>
      <c r="D6" s="27" t="s">
        <v>97</v>
      </c>
      <c r="E6" s="50" t="s">
        <v>98</v>
      </c>
      <c r="F6" s="12">
        <v>2024</v>
      </c>
      <c r="G6" s="12">
        <v>2025</v>
      </c>
      <c r="H6" s="12">
        <v>2026</v>
      </c>
      <c r="I6" s="12">
        <v>2027</v>
      </c>
      <c r="J6" s="12">
        <v>2028</v>
      </c>
      <c r="K6" s="12">
        <v>2029</v>
      </c>
      <c r="L6" s="12">
        <v>2030</v>
      </c>
      <c r="M6" s="12">
        <v>2031</v>
      </c>
      <c r="N6" s="12" t="s">
        <v>57</v>
      </c>
    </row>
    <row r="7" spans="1:14" x14ac:dyDescent="0.5">
      <c r="B7" s="8" t="s">
        <v>101</v>
      </c>
      <c r="C7" s="29" t="s">
        <v>350</v>
      </c>
      <c r="D7" s="29" t="s">
        <v>103</v>
      </c>
      <c r="E7" s="51" t="s">
        <v>104</v>
      </c>
      <c r="F7" s="64"/>
      <c r="G7" s="107">
        <f>'Volume Drivers'!G203</f>
        <v>1.9108938713630753E-3</v>
      </c>
      <c r="H7" s="107">
        <f>'Volume Drivers'!H203</f>
        <v>3.8311070862184077E-3</v>
      </c>
      <c r="I7" s="107">
        <f>'Volume Drivers'!I203</f>
        <v>1.1979947133935892E-3</v>
      </c>
      <c r="J7" s="107">
        <f>'Volume Drivers'!J203</f>
        <v>3.0264785600802773E-3</v>
      </c>
      <c r="K7" s="107">
        <f>'Volume Drivers'!K203</f>
        <v>3.2949382400012067E-3</v>
      </c>
      <c r="L7" s="107">
        <f>'Volume Drivers'!L203</f>
        <v>3.1764603196852634E-3</v>
      </c>
      <c r="M7" s="107">
        <f>'Volume Drivers'!M203</f>
        <v>2.6910260193590504E-3</v>
      </c>
      <c r="N7" s="119">
        <f t="shared" ref="N7:N41" si="0">SUM(G7:M7)</f>
        <v>1.912889881010087E-2</v>
      </c>
    </row>
    <row r="8" spans="1:14" x14ac:dyDescent="0.5">
      <c r="B8" s="8" t="s">
        <v>105</v>
      </c>
      <c r="C8" s="29" t="s">
        <v>350</v>
      </c>
      <c r="D8" s="29" t="s">
        <v>103</v>
      </c>
      <c r="E8" s="51" t="s">
        <v>104</v>
      </c>
      <c r="F8" s="64"/>
      <c r="G8" s="107">
        <f>'Volume Drivers'!G204</f>
        <v>1.9108938713630753E-3</v>
      </c>
      <c r="H8" s="107">
        <f>'Volume Drivers'!H204</f>
        <v>3.8311070862184077E-3</v>
      </c>
      <c r="I8" s="107">
        <f>'Volume Drivers'!I204</f>
        <v>1.1979947133935892E-3</v>
      </c>
      <c r="J8" s="107">
        <f>'Volume Drivers'!J204</f>
        <v>3.0264785600802773E-3</v>
      </c>
      <c r="K8" s="107">
        <f>'Volume Drivers'!K204</f>
        <v>3.2949382400012067E-3</v>
      </c>
      <c r="L8" s="107">
        <f>'Volume Drivers'!L204</f>
        <v>3.1764603196852634E-3</v>
      </c>
      <c r="M8" s="107">
        <f>'Volume Drivers'!M204</f>
        <v>2.6910260193590504E-3</v>
      </c>
      <c r="N8" s="119">
        <f t="shared" si="0"/>
        <v>1.912889881010087E-2</v>
      </c>
    </row>
    <row r="9" spans="1:14" x14ac:dyDescent="0.5">
      <c r="B9" s="8" t="s">
        <v>106</v>
      </c>
      <c r="C9" s="29" t="s">
        <v>350</v>
      </c>
      <c r="D9" s="29" t="s">
        <v>103</v>
      </c>
      <c r="E9" s="51" t="s">
        <v>104</v>
      </c>
      <c r="F9" s="64"/>
      <c r="G9" s="107">
        <f>'Volume Drivers'!G205</f>
        <v>1.9108938713630753E-3</v>
      </c>
      <c r="H9" s="107">
        <f>'Volume Drivers'!H205</f>
        <v>3.8311070862184077E-3</v>
      </c>
      <c r="I9" s="107">
        <f>'Volume Drivers'!I205</f>
        <v>1.1979947133935892E-3</v>
      </c>
      <c r="J9" s="107">
        <f>'Volume Drivers'!J205</f>
        <v>3.0264785600802773E-3</v>
      </c>
      <c r="K9" s="107">
        <f>'Volume Drivers'!K205</f>
        <v>3.2949382400012067E-3</v>
      </c>
      <c r="L9" s="107">
        <f>'Volume Drivers'!L205</f>
        <v>3.1764603196852634E-3</v>
      </c>
      <c r="M9" s="107">
        <f>'Volume Drivers'!M205</f>
        <v>2.6910260193590504E-3</v>
      </c>
      <c r="N9" s="119">
        <f t="shared" si="0"/>
        <v>1.912889881010087E-2</v>
      </c>
    </row>
    <row r="10" spans="1:14" x14ac:dyDescent="0.5">
      <c r="B10" s="8" t="s">
        <v>107</v>
      </c>
      <c r="C10" s="29" t="s">
        <v>350</v>
      </c>
      <c r="D10" s="29" t="s">
        <v>103</v>
      </c>
      <c r="E10" s="51" t="s">
        <v>104</v>
      </c>
      <c r="F10" s="64"/>
      <c r="G10" s="107">
        <f>'Volume Drivers'!G206</f>
        <v>1.9108938713630753E-3</v>
      </c>
      <c r="H10" s="107">
        <f>'Volume Drivers'!H206</f>
        <v>3.8311070862184077E-3</v>
      </c>
      <c r="I10" s="107">
        <f>'Volume Drivers'!I206</f>
        <v>1.1979947133935892E-3</v>
      </c>
      <c r="J10" s="107">
        <f>'Volume Drivers'!J206</f>
        <v>3.0264785600802773E-3</v>
      </c>
      <c r="K10" s="107">
        <f>'Volume Drivers'!K206</f>
        <v>3.2949382400012067E-3</v>
      </c>
      <c r="L10" s="107">
        <f>'Volume Drivers'!L206</f>
        <v>3.1764603196852634E-3</v>
      </c>
      <c r="M10" s="107">
        <f>'Volume Drivers'!M206</f>
        <v>2.6910260193590504E-3</v>
      </c>
      <c r="N10" s="119">
        <f t="shared" si="0"/>
        <v>1.912889881010087E-2</v>
      </c>
    </row>
    <row r="11" spans="1:14" x14ac:dyDescent="0.5">
      <c r="B11" s="8" t="s">
        <v>108</v>
      </c>
      <c r="C11" s="29" t="s">
        <v>350</v>
      </c>
      <c r="D11" s="29" t="s">
        <v>103</v>
      </c>
      <c r="E11" s="51" t="s">
        <v>104</v>
      </c>
      <c r="F11" s="64"/>
      <c r="G11" s="107">
        <f>'Volume Drivers'!G207</f>
        <v>1.9108938713630753E-3</v>
      </c>
      <c r="H11" s="107">
        <f>'Volume Drivers'!H207</f>
        <v>3.8311070862184077E-3</v>
      </c>
      <c r="I11" s="107">
        <f>'Volume Drivers'!I207</f>
        <v>1.1979947133935892E-3</v>
      </c>
      <c r="J11" s="107">
        <f>'Volume Drivers'!J207</f>
        <v>3.0264785600802773E-3</v>
      </c>
      <c r="K11" s="107">
        <f>'Volume Drivers'!K207</f>
        <v>3.2949382400012067E-3</v>
      </c>
      <c r="L11" s="107">
        <f>'Volume Drivers'!L207</f>
        <v>3.1764603196852634E-3</v>
      </c>
      <c r="M11" s="107">
        <f>'Volume Drivers'!M207</f>
        <v>2.6910260193590504E-3</v>
      </c>
      <c r="N11" s="119">
        <f t="shared" si="0"/>
        <v>1.912889881010087E-2</v>
      </c>
    </row>
    <row r="12" spans="1:14" x14ac:dyDescent="0.5">
      <c r="B12" s="8" t="s">
        <v>109</v>
      </c>
      <c r="C12" s="29" t="s">
        <v>350</v>
      </c>
      <c r="D12" s="29" t="s">
        <v>103</v>
      </c>
      <c r="E12" s="51" t="s">
        <v>104</v>
      </c>
      <c r="F12" s="64"/>
      <c r="G12" s="107">
        <f>'Volume Drivers'!G208</f>
        <v>1.9108938713630753E-3</v>
      </c>
      <c r="H12" s="107">
        <f>'Volume Drivers'!H208</f>
        <v>3.8311070862184077E-3</v>
      </c>
      <c r="I12" s="107">
        <f>'Volume Drivers'!I208</f>
        <v>1.1979947133935892E-3</v>
      </c>
      <c r="J12" s="107">
        <f>'Volume Drivers'!J208</f>
        <v>3.0264785600802773E-3</v>
      </c>
      <c r="K12" s="107">
        <f>'Volume Drivers'!K208</f>
        <v>3.2949382400012067E-3</v>
      </c>
      <c r="L12" s="107">
        <f>'Volume Drivers'!L208</f>
        <v>3.1764603196852634E-3</v>
      </c>
      <c r="M12" s="107">
        <f>'Volume Drivers'!M208</f>
        <v>2.6910260193590504E-3</v>
      </c>
      <c r="N12" s="119">
        <f t="shared" si="0"/>
        <v>1.912889881010087E-2</v>
      </c>
    </row>
    <row r="13" spans="1:14" x14ac:dyDescent="0.5">
      <c r="B13" s="8" t="s">
        <v>110</v>
      </c>
      <c r="C13" s="29" t="s">
        <v>350</v>
      </c>
      <c r="D13" s="29" t="s">
        <v>103</v>
      </c>
      <c r="E13" s="51" t="s">
        <v>104</v>
      </c>
      <c r="F13" s="64"/>
      <c r="G13" s="107">
        <f>'Volume Drivers'!G209</f>
        <v>0</v>
      </c>
      <c r="H13" s="107">
        <f>'Volume Drivers'!H209</f>
        <v>0</v>
      </c>
      <c r="I13" s="107">
        <f>'Volume Drivers'!I209</f>
        <v>0</v>
      </c>
      <c r="J13" s="107">
        <f>'Volume Drivers'!J209</f>
        <v>0</v>
      </c>
      <c r="K13" s="107">
        <f>'Volume Drivers'!K209</f>
        <v>0</v>
      </c>
      <c r="L13" s="107">
        <f>'Volume Drivers'!L209</f>
        <v>0</v>
      </c>
      <c r="M13" s="107">
        <f>'Volume Drivers'!M209</f>
        <v>0</v>
      </c>
      <c r="N13" s="119">
        <f t="shared" si="0"/>
        <v>0</v>
      </c>
    </row>
    <row r="14" spans="1:14" x14ac:dyDescent="0.5">
      <c r="B14" s="8" t="s">
        <v>111</v>
      </c>
      <c r="C14" s="29" t="s">
        <v>350</v>
      </c>
      <c r="D14" s="29" t="s">
        <v>103</v>
      </c>
      <c r="E14" s="51" t="s">
        <v>112</v>
      </c>
      <c r="F14" s="64"/>
      <c r="G14" s="107">
        <f>'Volume Drivers'!G210</f>
        <v>0</v>
      </c>
      <c r="H14" s="107">
        <f>'Volume Drivers'!H210</f>
        <v>0</v>
      </c>
      <c r="I14" s="107">
        <f>'Volume Drivers'!I210</f>
        <v>0</v>
      </c>
      <c r="J14" s="107">
        <f>'Volume Drivers'!J210</f>
        <v>0</v>
      </c>
      <c r="K14" s="107">
        <f>'Volume Drivers'!K210</f>
        <v>0</v>
      </c>
      <c r="L14" s="107">
        <f>'Volume Drivers'!L210</f>
        <v>0</v>
      </c>
      <c r="M14" s="107">
        <f>'Volume Drivers'!M210</f>
        <v>0</v>
      </c>
      <c r="N14" s="119">
        <f t="shared" si="0"/>
        <v>0</v>
      </c>
    </row>
    <row r="15" spans="1:14" x14ac:dyDescent="0.5">
      <c r="B15" s="8" t="s">
        <v>113</v>
      </c>
      <c r="C15" s="29" t="s">
        <v>350</v>
      </c>
      <c r="D15" s="29" t="s">
        <v>103</v>
      </c>
      <c r="E15" s="51" t="s">
        <v>112</v>
      </c>
      <c r="F15" s="64"/>
      <c r="G15" s="107">
        <f>'Volume Drivers'!G211</f>
        <v>0</v>
      </c>
      <c r="H15" s="107">
        <f>'Volume Drivers'!H211</f>
        <v>0</v>
      </c>
      <c r="I15" s="107">
        <f>'Volume Drivers'!I211</f>
        <v>0</v>
      </c>
      <c r="J15" s="107">
        <f>'Volume Drivers'!J211</f>
        <v>0</v>
      </c>
      <c r="K15" s="107">
        <f>'Volume Drivers'!K211</f>
        <v>0</v>
      </c>
      <c r="L15" s="107">
        <f>'Volume Drivers'!L211</f>
        <v>0</v>
      </c>
      <c r="M15" s="107">
        <f>'Volume Drivers'!M211</f>
        <v>0</v>
      </c>
      <c r="N15" s="119">
        <f t="shared" si="0"/>
        <v>0</v>
      </c>
    </row>
    <row r="16" spans="1:14" x14ac:dyDescent="0.5">
      <c r="B16" s="8" t="s">
        <v>114</v>
      </c>
      <c r="C16" s="29" t="s">
        <v>350</v>
      </c>
      <c r="D16" s="29" t="s">
        <v>103</v>
      </c>
      <c r="E16" s="51" t="s">
        <v>112</v>
      </c>
      <c r="F16" s="64"/>
      <c r="G16" s="107">
        <f>'Volume Drivers'!G212</f>
        <v>0</v>
      </c>
      <c r="H16" s="107">
        <f>'Volume Drivers'!H212</f>
        <v>0</v>
      </c>
      <c r="I16" s="107">
        <f>'Volume Drivers'!I212</f>
        <v>0</v>
      </c>
      <c r="J16" s="107">
        <f>'Volume Drivers'!J212</f>
        <v>0</v>
      </c>
      <c r="K16" s="107">
        <f>'Volume Drivers'!K212</f>
        <v>0</v>
      </c>
      <c r="L16" s="107">
        <f>'Volume Drivers'!L212</f>
        <v>0</v>
      </c>
      <c r="M16" s="107">
        <f>'Volume Drivers'!M212</f>
        <v>0</v>
      </c>
      <c r="N16" s="119">
        <f t="shared" si="0"/>
        <v>0</v>
      </c>
    </row>
    <row r="17" spans="2:14" x14ac:dyDescent="0.5">
      <c r="B17" s="8" t="s">
        <v>115</v>
      </c>
      <c r="C17" s="29" t="s">
        <v>350</v>
      </c>
      <c r="D17" s="29" t="s">
        <v>103</v>
      </c>
      <c r="E17" s="51" t="s">
        <v>112</v>
      </c>
      <c r="F17" s="64"/>
      <c r="G17" s="107">
        <f>'Volume Drivers'!G213</f>
        <v>0</v>
      </c>
      <c r="H17" s="107">
        <f>'Volume Drivers'!H213</f>
        <v>0</v>
      </c>
      <c r="I17" s="107">
        <f>'Volume Drivers'!I213</f>
        <v>0</v>
      </c>
      <c r="J17" s="107">
        <f>'Volume Drivers'!J213</f>
        <v>0</v>
      </c>
      <c r="K17" s="107">
        <f>'Volume Drivers'!K213</f>
        <v>0</v>
      </c>
      <c r="L17" s="107">
        <f>'Volume Drivers'!L213</f>
        <v>0</v>
      </c>
      <c r="M17" s="107">
        <f>'Volume Drivers'!M213</f>
        <v>0</v>
      </c>
      <c r="N17" s="119">
        <f t="shared" si="0"/>
        <v>0</v>
      </c>
    </row>
    <row r="18" spans="2:14" x14ac:dyDescent="0.5">
      <c r="B18" s="8" t="s">
        <v>116</v>
      </c>
      <c r="C18" s="29" t="s">
        <v>350</v>
      </c>
      <c r="D18" s="29" t="s">
        <v>103</v>
      </c>
      <c r="E18" s="51" t="s">
        <v>117</v>
      </c>
      <c r="F18" s="64"/>
      <c r="G18" s="201"/>
      <c r="H18" s="201"/>
      <c r="I18" s="201"/>
      <c r="J18" s="201"/>
      <c r="K18" s="201"/>
      <c r="L18" s="201"/>
      <c r="M18" s="201"/>
      <c r="N18" s="119">
        <f t="shared" si="0"/>
        <v>0</v>
      </c>
    </row>
    <row r="19" spans="2:14" x14ac:dyDescent="0.5">
      <c r="B19" s="8" t="s">
        <v>118</v>
      </c>
      <c r="C19" s="29" t="s">
        <v>350</v>
      </c>
      <c r="D19" s="29" t="s">
        <v>103</v>
      </c>
      <c r="E19" s="51" t="s">
        <v>119</v>
      </c>
      <c r="F19" s="64"/>
      <c r="G19" s="107">
        <f>'Volume Drivers'!G215</f>
        <v>1.9108938713630753E-3</v>
      </c>
      <c r="H19" s="107">
        <f>'Volume Drivers'!H215</f>
        <v>3.8311070862184077E-3</v>
      </c>
      <c r="I19" s="107">
        <f>'Volume Drivers'!I215</f>
        <v>1.1979947133935892E-3</v>
      </c>
      <c r="J19" s="107">
        <f>'Volume Drivers'!J215</f>
        <v>3.0264785600802773E-3</v>
      </c>
      <c r="K19" s="107">
        <f>'Volume Drivers'!K215</f>
        <v>3.2949382400012067E-3</v>
      </c>
      <c r="L19" s="107">
        <f>'Volume Drivers'!L215</f>
        <v>3.1764603196852634E-3</v>
      </c>
      <c r="M19" s="107">
        <f>'Volume Drivers'!M215</f>
        <v>2.6910260193590504E-3</v>
      </c>
      <c r="N19" s="119">
        <f t="shared" si="0"/>
        <v>1.912889881010087E-2</v>
      </c>
    </row>
    <row r="20" spans="2:14" x14ac:dyDescent="0.5">
      <c r="B20" s="8" t="s">
        <v>120</v>
      </c>
      <c r="C20" s="29" t="s">
        <v>350</v>
      </c>
      <c r="D20" s="29" t="s">
        <v>103</v>
      </c>
      <c r="E20" s="51" t="s">
        <v>119</v>
      </c>
      <c r="F20" s="64"/>
      <c r="G20" s="107">
        <f>'Volume Drivers'!G216</f>
        <v>1.9108938713630753E-3</v>
      </c>
      <c r="H20" s="107">
        <f>'Volume Drivers'!H216</f>
        <v>3.8311070862184077E-3</v>
      </c>
      <c r="I20" s="107">
        <f>'Volume Drivers'!I216</f>
        <v>1.1979947133935892E-3</v>
      </c>
      <c r="J20" s="107">
        <f>'Volume Drivers'!J216</f>
        <v>3.0264785600802773E-3</v>
      </c>
      <c r="K20" s="107">
        <f>'Volume Drivers'!K216</f>
        <v>3.2949382400012067E-3</v>
      </c>
      <c r="L20" s="107">
        <f>'Volume Drivers'!L216</f>
        <v>3.1764603196852634E-3</v>
      </c>
      <c r="M20" s="107">
        <f>'Volume Drivers'!M216</f>
        <v>2.6910260193590504E-3</v>
      </c>
      <c r="N20" s="119">
        <f t="shared" si="0"/>
        <v>1.912889881010087E-2</v>
      </c>
    </row>
    <row r="21" spans="2:14" x14ac:dyDescent="0.5">
      <c r="B21" s="8" t="s">
        <v>121</v>
      </c>
      <c r="C21" s="29" t="s">
        <v>350</v>
      </c>
      <c r="D21" s="29" t="s">
        <v>103</v>
      </c>
      <c r="E21" s="51" t="s">
        <v>119</v>
      </c>
      <c r="F21" s="64"/>
      <c r="G21" s="107">
        <f>'Volume Drivers'!G217</f>
        <v>1.9108938713630753E-3</v>
      </c>
      <c r="H21" s="107">
        <f>'Volume Drivers'!H217</f>
        <v>3.8311070862184077E-3</v>
      </c>
      <c r="I21" s="107">
        <f>'Volume Drivers'!I217</f>
        <v>1.1979947133935892E-3</v>
      </c>
      <c r="J21" s="107">
        <f>'Volume Drivers'!J217</f>
        <v>3.0264785600802773E-3</v>
      </c>
      <c r="K21" s="107">
        <f>'Volume Drivers'!K217</f>
        <v>3.2949382400012067E-3</v>
      </c>
      <c r="L21" s="107">
        <f>'Volume Drivers'!L217</f>
        <v>3.1764603196852634E-3</v>
      </c>
      <c r="M21" s="107">
        <f>'Volume Drivers'!M217</f>
        <v>2.6910260193590504E-3</v>
      </c>
      <c r="N21" s="119">
        <f>SUM(G21:M21)</f>
        <v>1.912889881010087E-2</v>
      </c>
    </row>
    <row r="22" spans="2:14" x14ac:dyDescent="0.5">
      <c r="B22" s="8" t="s">
        <v>122</v>
      </c>
      <c r="C22" s="29" t="s">
        <v>350</v>
      </c>
      <c r="D22" s="29" t="s">
        <v>103</v>
      </c>
      <c r="E22" s="51" t="s">
        <v>119</v>
      </c>
      <c r="F22" s="64"/>
      <c r="G22" s="107">
        <f>'Volume Drivers'!G218</f>
        <v>1.9108938713630753E-3</v>
      </c>
      <c r="H22" s="107">
        <f>'Volume Drivers'!H218</f>
        <v>3.8311070862184077E-3</v>
      </c>
      <c r="I22" s="107">
        <f>'Volume Drivers'!I218</f>
        <v>1.1979947133935892E-3</v>
      </c>
      <c r="J22" s="107">
        <f>'Volume Drivers'!J218</f>
        <v>3.0264785600802773E-3</v>
      </c>
      <c r="K22" s="107">
        <f>'Volume Drivers'!K218</f>
        <v>3.2949382400012067E-3</v>
      </c>
      <c r="L22" s="107">
        <f>'Volume Drivers'!L218</f>
        <v>3.1764603196852634E-3</v>
      </c>
      <c r="M22" s="107">
        <f>'Volume Drivers'!M218</f>
        <v>2.6910260193590504E-3</v>
      </c>
      <c r="N22" s="119">
        <f t="shared" si="0"/>
        <v>1.912889881010087E-2</v>
      </c>
    </row>
    <row r="23" spans="2:14" x14ac:dyDescent="0.5">
      <c r="B23" s="8" t="s">
        <v>123</v>
      </c>
      <c r="C23" s="29" t="s">
        <v>350</v>
      </c>
      <c r="D23" s="29" t="s">
        <v>103</v>
      </c>
      <c r="E23" s="51" t="s">
        <v>119</v>
      </c>
      <c r="F23" s="64"/>
      <c r="G23" s="107">
        <f>'Volume Drivers'!G219</f>
        <v>1.9108938713630753E-3</v>
      </c>
      <c r="H23" s="107">
        <f>'Volume Drivers'!H219</f>
        <v>3.8311070862184077E-3</v>
      </c>
      <c r="I23" s="107">
        <f>'Volume Drivers'!I219</f>
        <v>1.1979947133935892E-3</v>
      </c>
      <c r="J23" s="107">
        <f>'Volume Drivers'!J219</f>
        <v>3.0264785600802773E-3</v>
      </c>
      <c r="K23" s="107">
        <f>'Volume Drivers'!K219</f>
        <v>3.2949382400012067E-3</v>
      </c>
      <c r="L23" s="107">
        <f>'Volume Drivers'!L219</f>
        <v>3.1764603196852634E-3</v>
      </c>
      <c r="M23" s="107">
        <f>'Volume Drivers'!M219</f>
        <v>2.6910260193590504E-3</v>
      </c>
      <c r="N23" s="119">
        <f t="shared" si="0"/>
        <v>1.912889881010087E-2</v>
      </c>
    </row>
    <row r="24" spans="2:14" x14ac:dyDescent="0.5">
      <c r="B24" s="8" t="s">
        <v>124</v>
      </c>
      <c r="C24" s="29" t="s">
        <v>350</v>
      </c>
      <c r="D24" s="29" t="s">
        <v>103</v>
      </c>
      <c r="E24" s="51" t="s">
        <v>124</v>
      </c>
      <c r="F24" s="64"/>
      <c r="G24" s="107">
        <f>'Volume Drivers'!G220</f>
        <v>0</v>
      </c>
      <c r="H24" s="107">
        <f>'Volume Drivers'!H220</f>
        <v>0</v>
      </c>
      <c r="I24" s="107">
        <f>'Volume Drivers'!I220</f>
        <v>0</v>
      </c>
      <c r="J24" s="107">
        <f>'Volume Drivers'!J220</f>
        <v>0</v>
      </c>
      <c r="K24" s="107">
        <f>'Volume Drivers'!K220</f>
        <v>0</v>
      </c>
      <c r="L24" s="107">
        <f>'Volume Drivers'!L220</f>
        <v>0</v>
      </c>
      <c r="M24" s="107">
        <f>'Volume Drivers'!M220</f>
        <v>0</v>
      </c>
      <c r="N24" s="119">
        <f t="shared" si="0"/>
        <v>0</v>
      </c>
    </row>
    <row r="25" spans="2:14" x14ac:dyDescent="0.5">
      <c r="B25" s="8" t="s">
        <v>125</v>
      </c>
      <c r="C25" s="29" t="s">
        <v>350</v>
      </c>
      <c r="D25" s="29" t="s">
        <v>103</v>
      </c>
      <c r="E25" s="51" t="s">
        <v>125</v>
      </c>
      <c r="F25" s="64"/>
      <c r="G25" s="107">
        <f>'Volume Drivers'!G221</f>
        <v>0</v>
      </c>
      <c r="H25" s="107">
        <f>'Volume Drivers'!H221</f>
        <v>0</v>
      </c>
      <c r="I25" s="107">
        <f>'Volume Drivers'!I221</f>
        <v>0</v>
      </c>
      <c r="J25" s="107">
        <f>'Volume Drivers'!J221</f>
        <v>0</v>
      </c>
      <c r="K25" s="107">
        <f>'Volume Drivers'!K221</f>
        <v>0</v>
      </c>
      <c r="L25" s="107">
        <f>'Volume Drivers'!L221</f>
        <v>0</v>
      </c>
      <c r="M25" s="107">
        <f>'Volume Drivers'!M221</f>
        <v>0</v>
      </c>
      <c r="N25" s="119">
        <f t="shared" si="0"/>
        <v>0</v>
      </c>
    </row>
    <row r="26" spans="2:14" x14ac:dyDescent="0.5">
      <c r="B26" s="8" t="s">
        <v>126</v>
      </c>
      <c r="C26" s="29" t="s">
        <v>350</v>
      </c>
      <c r="D26" s="29" t="s">
        <v>103</v>
      </c>
      <c r="E26" s="51" t="s">
        <v>127</v>
      </c>
      <c r="F26" s="64"/>
      <c r="G26" s="107">
        <f>'Volume Drivers'!G222</f>
        <v>1.5924115594692296E-3</v>
      </c>
      <c r="H26" s="107">
        <f>'Volume Drivers'!H222</f>
        <v>3.1925892385153399E-3</v>
      </c>
      <c r="I26" s="107">
        <f>'Volume Drivers'!I222</f>
        <v>9.9832892782799102E-4</v>
      </c>
      <c r="J26" s="107">
        <f>'Volume Drivers'!J222</f>
        <v>2.5220654667335645E-3</v>
      </c>
      <c r="K26" s="107">
        <f>'Volume Drivers'!K222</f>
        <v>2.7457818666676722E-3</v>
      </c>
      <c r="L26" s="107">
        <f>'Volume Drivers'!L222</f>
        <v>2.6470502664043861E-3</v>
      </c>
      <c r="M26" s="107">
        <f>'Volume Drivers'!M222</f>
        <v>2.2425216827992086E-3</v>
      </c>
      <c r="N26" s="119">
        <f t="shared" si="0"/>
        <v>1.5940749008417392E-2</v>
      </c>
    </row>
    <row r="27" spans="2:14" x14ac:dyDescent="0.5">
      <c r="B27" s="8" t="s">
        <v>128</v>
      </c>
      <c r="C27" s="29" t="s">
        <v>350</v>
      </c>
      <c r="D27" s="29" t="s">
        <v>103</v>
      </c>
      <c r="E27" s="51" t="s">
        <v>127</v>
      </c>
      <c r="F27" s="64"/>
      <c r="G27" s="107">
        <f>'Volume Drivers'!G223</f>
        <v>1.5924115594692296E-3</v>
      </c>
      <c r="H27" s="107">
        <f>'Volume Drivers'!H223</f>
        <v>3.1925892385153399E-3</v>
      </c>
      <c r="I27" s="107">
        <f>'Volume Drivers'!I223</f>
        <v>9.9832892782799102E-4</v>
      </c>
      <c r="J27" s="107">
        <f>'Volume Drivers'!J223</f>
        <v>2.5220654667335645E-3</v>
      </c>
      <c r="K27" s="107">
        <f>'Volume Drivers'!K223</f>
        <v>2.7457818666676722E-3</v>
      </c>
      <c r="L27" s="107">
        <f>'Volume Drivers'!L223</f>
        <v>2.6470502664043861E-3</v>
      </c>
      <c r="M27" s="107">
        <f>'Volume Drivers'!M223</f>
        <v>2.2425216827992086E-3</v>
      </c>
      <c r="N27" s="119">
        <f t="shared" si="0"/>
        <v>1.5940749008417392E-2</v>
      </c>
    </row>
    <row r="28" spans="2:14" x14ac:dyDescent="0.5">
      <c r="B28" s="8" t="s">
        <v>129</v>
      </c>
      <c r="C28" s="29" t="s">
        <v>350</v>
      </c>
      <c r="D28" s="29" t="s">
        <v>103</v>
      </c>
      <c r="E28" s="51" t="s">
        <v>127</v>
      </c>
      <c r="F28" s="64"/>
      <c r="G28" s="107">
        <f>'Volume Drivers'!G224</f>
        <v>1.5924115594692296E-3</v>
      </c>
      <c r="H28" s="107">
        <f>'Volume Drivers'!H224</f>
        <v>3.1925892385153399E-3</v>
      </c>
      <c r="I28" s="107">
        <f>'Volume Drivers'!I224</f>
        <v>9.9832892782799102E-4</v>
      </c>
      <c r="J28" s="107">
        <f>'Volume Drivers'!J224</f>
        <v>2.5220654667335645E-3</v>
      </c>
      <c r="K28" s="107">
        <f>'Volume Drivers'!K224</f>
        <v>2.7457818666676722E-3</v>
      </c>
      <c r="L28" s="107">
        <f>'Volume Drivers'!L224</f>
        <v>2.6470502664043861E-3</v>
      </c>
      <c r="M28" s="107">
        <f>'Volume Drivers'!M224</f>
        <v>2.2425216827992086E-3</v>
      </c>
      <c r="N28" s="119">
        <f t="shared" si="0"/>
        <v>1.5940749008417392E-2</v>
      </c>
    </row>
    <row r="29" spans="2:14" x14ac:dyDescent="0.5">
      <c r="B29" s="8" t="s">
        <v>130</v>
      </c>
      <c r="C29" s="29" t="s">
        <v>350</v>
      </c>
      <c r="D29" s="29" t="s">
        <v>103</v>
      </c>
      <c r="E29" s="51" t="s">
        <v>127</v>
      </c>
      <c r="F29" s="64"/>
      <c r="G29" s="107">
        <f>'Volume Drivers'!G225</f>
        <v>1.5924115594692296E-3</v>
      </c>
      <c r="H29" s="107">
        <f>'Volume Drivers'!H225</f>
        <v>3.1925892385153399E-3</v>
      </c>
      <c r="I29" s="107">
        <f>'Volume Drivers'!I225</f>
        <v>9.9832892782799102E-4</v>
      </c>
      <c r="J29" s="107">
        <f>'Volume Drivers'!J225</f>
        <v>2.5220654667335645E-3</v>
      </c>
      <c r="K29" s="107">
        <f>'Volume Drivers'!K225</f>
        <v>2.7457818666676722E-3</v>
      </c>
      <c r="L29" s="107">
        <f>'Volume Drivers'!L225</f>
        <v>2.6470502664043861E-3</v>
      </c>
      <c r="M29" s="107">
        <f>'Volume Drivers'!M225</f>
        <v>2.2425216827992086E-3</v>
      </c>
      <c r="N29" s="119">
        <f t="shared" si="0"/>
        <v>1.5940749008417392E-2</v>
      </c>
    </row>
    <row r="30" spans="2:14" x14ac:dyDescent="0.5">
      <c r="B30" s="8" t="s">
        <v>131</v>
      </c>
      <c r="C30" s="29" t="s">
        <v>350</v>
      </c>
      <c r="D30" s="29" t="s">
        <v>103</v>
      </c>
      <c r="E30" s="51" t="s">
        <v>127</v>
      </c>
      <c r="F30" s="64"/>
      <c r="G30" s="107">
        <f>'Volume Drivers'!G226</f>
        <v>1.5924115594692296E-3</v>
      </c>
      <c r="H30" s="107">
        <f>'Volume Drivers'!H226</f>
        <v>3.1925892385153399E-3</v>
      </c>
      <c r="I30" s="107">
        <f>'Volume Drivers'!I226</f>
        <v>9.9832892782799102E-4</v>
      </c>
      <c r="J30" s="107">
        <f>'Volume Drivers'!J226</f>
        <v>2.5220654667335645E-3</v>
      </c>
      <c r="K30" s="107">
        <f>'Volume Drivers'!K226</f>
        <v>2.7457818666676722E-3</v>
      </c>
      <c r="L30" s="107">
        <f>'Volume Drivers'!L226</f>
        <v>2.6470502664043861E-3</v>
      </c>
      <c r="M30" s="107">
        <f>'Volume Drivers'!M226</f>
        <v>2.2425216827992086E-3</v>
      </c>
      <c r="N30" s="119">
        <f t="shared" si="0"/>
        <v>1.5940749008417392E-2</v>
      </c>
    </row>
    <row r="31" spans="2:14" x14ac:dyDescent="0.5">
      <c r="B31" s="8" t="s">
        <v>132</v>
      </c>
      <c r="C31" s="29" t="s">
        <v>350</v>
      </c>
      <c r="D31" s="29" t="s">
        <v>103</v>
      </c>
      <c r="E31" s="51" t="s">
        <v>127</v>
      </c>
      <c r="F31" s="64"/>
      <c r="G31" s="107">
        <f>'Volume Drivers'!G227</f>
        <v>1.5924115594692296E-3</v>
      </c>
      <c r="H31" s="107">
        <f>'Volume Drivers'!H227</f>
        <v>3.1925892385153399E-3</v>
      </c>
      <c r="I31" s="107">
        <f>'Volume Drivers'!I227</f>
        <v>9.9832892782799102E-4</v>
      </c>
      <c r="J31" s="107">
        <f>'Volume Drivers'!J227</f>
        <v>2.5220654667335645E-3</v>
      </c>
      <c r="K31" s="107">
        <f>'Volume Drivers'!K227</f>
        <v>2.7457818666676722E-3</v>
      </c>
      <c r="L31" s="107">
        <f>'Volume Drivers'!L227</f>
        <v>2.6470502664043861E-3</v>
      </c>
      <c r="M31" s="107">
        <f>'Volume Drivers'!M227</f>
        <v>2.2425216827992086E-3</v>
      </c>
      <c r="N31" s="119">
        <f t="shared" si="0"/>
        <v>1.5940749008417392E-2</v>
      </c>
    </row>
    <row r="32" spans="2:14" x14ac:dyDescent="0.5">
      <c r="B32" s="8" t="s">
        <v>133</v>
      </c>
      <c r="C32" s="29" t="s">
        <v>350</v>
      </c>
      <c r="D32" s="29" t="s">
        <v>103</v>
      </c>
      <c r="E32" s="51" t="s">
        <v>127</v>
      </c>
      <c r="F32" s="64"/>
      <c r="G32" s="107">
        <f>'Volume Drivers'!G228</f>
        <v>1.5924115594692296E-3</v>
      </c>
      <c r="H32" s="107">
        <f>'Volume Drivers'!H228</f>
        <v>3.1925892385153399E-3</v>
      </c>
      <c r="I32" s="107">
        <f>'Volume Drivers'!I228</f>
        <v>9.9832892782799102E-4</v>
      </c>
      <c r="J32" s="107">
        <f>'Volume Drivers'!J228</f>
        <v>2.5220654667335645E-3</v>
      </c>
      <c r="K32" s="107">
        <f>'Volume Drivers'!K228</f>
        <v>2.7457818666676722E-3</v>
      </c>
      <c r="L32" s="107">
        <f>'Volume Drivers'!L228</f>
        <v>2.6470502664043861E-3</v>
      </c>
      <c r="M32" s="107">
        <f>'Volume Drivers'!M228</f>
        <v>2.2425216827992086E-3</v>
      </c>
      <c r="N32" s="119">
        <f t="shared" si="0"/>
        <v>1.5940749008417392E-2</v>
      </c>
    </row>
    <row r="33" spans="1:14" x14ac:dyDescent="0.5">
      <c r="B33" s="8" t="s">
        <v>134</v>
      </c>
      <c r="C33" s="29" t="s">
        <v>350</v>
      </c>
      <c r="D33" s="29" t="s">
        <v>103</v>
      </c>
      <c r="E33" s="51" t="s">
        <v>127</v>
      </c>
      <c r="F33" s="64"/>
      <c r="G33" s="107">
        <f>'Volume Drivers'!G229</f>
        <v>1.5924115594692296E-3</v>
      </c>
      <c r="H33" s="107">
        <f>'Volume Drivers'!H229</f>
        <v>3.1925892385153399E-3</v>
      </c>
      <c r="I33" s="107">
        <f>'Volume Drivers'!I229</f>
        <v>9.9832892782799102E-4</v>
      </c>
      <c r="J33" s="107">
        <f>'Volume Drivers'!J229</f>
        <v>2.5220654667335645E-3</v>
      </c>
      <c r="K33" s="107">
        <f>'Volume Drivers'!K229</f>
        <v>2.7457818666676722E-3</v>
      </c>
      <c r="L33" s="107">
        <f>'Volume Drivers'!L229</f>
        <v>2.6470502664043861E-3</v>
      </c>
      <c r="M33" s="107">
        <f>'Volume Drivers'!M229</f>
        <v>2.2425216827992086E-3</v>
      </c>
      <c r="N33" s="119">
        <f t="shared" si="0"/>
        <v>1.5940749008417392E-2</v>
      </c>
    </row>
    <row r="34" spans="1:14" x14ac:dyDescent="0.5">
      <c r="B34" s="8" t="s">
        <v>135</v>
      </c>
      <c r="C34" s="29" t="s">
        <v>350</v>
      </c>
      <c r="D34" s="29" t="s">
        <v>103</v>
      </c>
      <c r="E34" s="51" t="s">
        <v>127</v>
      </c>
      <c r="F34" s="64"/>
      <c r="G34" s="107">
        <f>'Volume Drivers'!G230</f>
        <v>1.5924115594692296E-3</v>
      </c>
      <c r="H34" s="107">
        <f>'Volume Drivers'!H230</f>
        <v>3.1925892385153399E-3</v>
      </c>
      <c r="I34" s="107">
        <f>'Volume Drivers'!I230</f>
        <v>9.9832892782799102E-4</v>
      </c>
      <c r="J34" s="107">
        <f>'Volume Drivers'!J230</f>
        <v>2.5220654667335645E-3</v>
      </c>
      <c r="K34" s="107">
        <f>'Volume Drivers'!K230</f>
        <v>2.7457818666676722E-3</v>
      </c>
      <c r="L34" s="107">
        <f>'Volume Drivers'!L230</f>
        <v>2.6470502664043861E-3</v>
      </c>
      <c r="M34" s="107">
        <f>'Volume Drivers'!M230</f>
        <v>2.2425216827992086E-3</v>
      </c>
      <c r="N34" s="119">
        <f t="shared" si="0"/>
        <v>1.5940749008417392E-2</v>
      </c>
    </row>
    <row r="35" spans="1:14" x14ac:dyDescent="0.5">
      <c r="B35" s="8" t="s">
        <v>136</v>
      </c>
      <c r="C35" s="29" t="s">
        <v>350</v>
      </c>
      <c r="D35" s="29" t="s">
        <v>103</v>
      </c>
      <c r="E35" s="51" t="s">
        <v>127</v>
      </c>
      <c r="F35" s="64"/>
      <c r="G35" s="107">
        <f>'Volume Drivers'!G231</f>
        <v>1.5924115594692296E-3</v>
      </c>
      <c r="H35" s="107">
        <f>'Volume Drivers'!H231</f>
        <v>3.1925892385153399E-3</v>
      </c>
      <c r="I35" s="107">
        <f>'Volume Drivers'!I231</f>
        <v>9.9832892782799102E-4</v>
      </c>
      <c r="J35" s="107">
        <f>'Volume Drivers'!J231</f>
        <v>2.5220654667335645E-3</v>
      </c>
      <c r="K35" s="107">
        <f>'Volume Drivers'!K231</f>
        <v>2.7457818666676722E-3</v>
      </c>
      <c r="L35" s="107">
        <f>'Volume Drivers'!L231</f>
        <v>2.6470502664043861E-3</v>
      </c>
      <c r="M35" s="107">
        <f>'Volume Drivers'!M231</f>
        <v>2.2425216827992086E-3</v>
      </c>
      <c r="N35" s="119">
        <f t="shared" si="0"/>
        <v>1.5940749008417392E-2</v>
      </c>
    </row>
    <row r="36" spans="1:14" x14ac:dyDescent="0.5">
      <c r="B36" s="8" t="s">
        <v>137</v>
      </c>
      <c r="C36" s="29" t="s">
        <v>350</v>
      </c>
      <c r="D36" s="29" t="s">
        <v>103</v>
      </c>
      <c r="E36" s="51" t="s">
        <v>127</v>
      </c>
      <c r="F36" s="64"/>
      <c r="G36" s="107">
        <f>'Volume Drivers'!G232</f>
        <v>1.5924115594692296E-3</v>
      </c>
      <c r="H36" s="107">
        <f>'Volume Drivers'!H232</f>
        <v>3.1925892385153399E-3</v>
      </c>
      <c r="I36" s="107">
        <f>'Volume Drivers'!I232</f>
        <v>9.9832892782799102E-4</v>
      </c>
      <c r="J36" s="107">
        <f>'Volume Drivers'!J232</f>
        <v>2.5220654667335645E-3</v>
      </c>
      <c r="K36" s="107">
        <f>'Volume Drivers'!K232</f>
        <v>2.7457818666676722E-3</v>
      </c>
      <c r="L36" s="107">
        <f>'Volume Drivers'!L232</f>
        <v>2.6470502664043861E-3</v>
      </c>
      <c r="M36" s="107">
        <f>'Volume Drivers'!M232</f>
        <v>2.2425216827992086E-3</v>
      </c>
      <c r="N36" s="119">
        <f t="shared" si="0"/>
        <v>1.5940749008417392E-2</v>
      </c>
    </row>
    <row r="37" spans="1:14" x14ac:dyDescent="0.5">
      <c r="B37" s="8" t="s">
        <v>138</v>
      </c>
      <c r="C37" s="29" t="s">
        <v>350</v>
      </c>
      <c r="D37" s="29" t="s">
        <v>103</v>
      </c>
      <c r="E37" s="51" t="s">
        <v>127</v>
      </c>
      <c r="F37" s="64"/>
      <c r="G37" s="107">
        <f>'Volume Drivers'!G233</f>
        <v>1.5924115594692296E-3</v>
      </c>
      <c r="H37" s="107">
        <f>'Volume Drivers'!H233</f>
        <v>3.1925892385153399E-3</v>
      </c>
      <c r="I37" s="107">
        <f>'Volume Drivers'!I233</f>
        <v>9.9832892782799102E-4</v>
      </c>
      <c r="J37" s="107">
        <f>'Volume Drivers'!J233</f>
        <v>2.5220654667335645E-3</v>
      </c>
      <c r="K37" s="107">
        <f>'Volume Drivers'!K233</f>
        <v>2.7457818666676722E-3</v>
      </c>
      <c r="L37" s="107">
        <f>'Volume Drivers'!L233</f>
        <v>2.6470502664043861E-3</v>
      </c>
      <c r="M37" s="107">
        <f>'Volume Drivers'!M233</f>
        <v>2.2425216827992086E-3</v>
      </c>
      <c r="N37" s="119">
        <f t="shared" si="0"/>
        <v>1.5940749008417392E-2</v>
      </c>
    </row>
    <row r="38" spans="1:14" x14ac:dyDescent="0.5">
      <c r="B38" s="8" t="s">
        <v>139</v>
      </c>
      <c r="C38" s="29" t="s">
        <v>350</v>
      </c>
      <c r="D38" s="29" t="s">
        <v>103</v>
      </c>
      <c r="E38" s="51" t="s">
        <v>127</v>
      </c>
      <c r="F38" s="64"/>
      <c r="G38" s="107">
        <f>'Volume Drivers'!G234</f>
        <v>1.5924115594692296E-3</v>
      </c>
      <c r="H38" s="107">
        <f>'Volume Drivers'!H234</f>
        <v>3.1925892385153399E-3</v>
      </c>
      <c r="I38" s="107">
        <f>'Volume Drivers'!I234</f>
        <v>9.9832892782799102E-4</v>
      </c>
      <c r="J38" s="107">
        <f>'Volume Drivers'!J234</f>
        <v>2.5220654667335645E-3</v>
      </c>
      <c r="K38" s="107">
        <f>'Volume Drivers'!K234</f>
        <v>2.7457818666676722E-3</v>
      </c>
      <c r="L38" s="107">
        <f>'Volume Drivers'!L234</f>
        <v>2.6470502664043861E-3</v>
      </c>
      <c r="M38" s="107">
        <f>'Volume Drivers'!M234</f>
        <v>2.2425216827992086E-3</v>
      </c>
      <c r="N38" s="119">
        <f t="shared" si="0"/>
        <v>1.5940749008417392E-2</v>
      </c>
    </row>
    <row r="39" spans="1:14" x14ac:dyDescent="0.5">
      <c r="B39" s="8" t="s">
        <v>140</v>
      </c>
      <c r="C39" s="29" t="s">
        <v>350</v>
      </c>
      <c r="D39" s="29" t="s">
        <v>103</v>
      </c>
      <c r="E39" s="51" t="s">
        <v>127</v>
      </c>
      <c r="F39" s="64"/>
      <c r="G39" s="107">
        <f>'Volume Drivers'!G235</f>
        <v>1.5924115594692296E-3</v>
      </c>
      <c r="H39" s="107">
        <f>'Volume Drivers'!H235</f>
        <v>3.1925892385153399E-3</v>
      </c>
      <c r="I39" s="107">
        <f>'Volume Drivers'!I235</f>
        <v>9.9832892782799102E-4</v>
      </c>
      <c r="J39" s="107">
        <f>'Volume Drivers'!J235</f>
        <v>2.5220654667335645E-3</v>
      </c>
      <c r="K39" s="107">
        <f>'Volume Drivers'!K235</f>
        <v>2.7457818666676722E-3</v>
      </c>
      <c r="L39" s="107">
        <f>'Volume Drivers'!L235</f>
        <v>2.6470502664043861E-3</v>
      </c>
      <c r="M39" s="107">
        <f>'Volume Drivers'!M235</f>
        <v>2.2425216827992086E-3</v>
      </c>
      <c r="N39" s="119">
        <f t="shared" si="0"/>
        <v>1.5940749008417392E-2</v>
      </c>
    </row>
    <row r="40" spans="1:14" x14ac:dyDescent="0.5">
      <c r="B40" s="8" t="s">
        <v>141</v>
      </c>
      <c r="C40" s="29" t="s">
        <v>350</v>
      </c>
      <c r="D40" s="29" t="s">
        <v>103</v>
      </c>
      <c r="E40" s="51" t="s">
        <v>127</v>
      </c>
      <c r="F40" s="64"/>
      <c r="G40" s="107">
        <f>'Volume Drivers'!G236</f>
        <v>1.5924115594692296E-3</v>
      </c>
      <c r="H40" s="107">
        <f>'Volume Drivers'!H236</f>
        <v>3.1925892385153399E-3</v>
      </c>
      <c r="I40" s="107">
        <f>'Volume Drivers'!I236</f>
        <v>9.9832892782799102E-4</v>
      </c>
      <c r="J40" s="107">
        <f>'Volume Drivers'!J236</f>
        <v>2.5220654667335645E-3</v>
      </c>
      <c r="K40" s="107">
        <f>'Volume Drivers'!K236</f>
        <v>2.7457818666676722E-3</v>
      </c>
      <c r="L40" s="107">
        <f>'Volume Drivers'!L236</f>
        <v>2.6470502664043861E-3</v>
      </c>
      <c r="M40" s="107">
        <f>'Volume Drivers'!M236</f>
        <v>2.2425216827992086E-3</v>
      </c>
      <c r="N40" s="119">
        <f t="shared" si="0"/>
        <v>1.5940749008417392E-2</v>
      </c>
    </row>
    <row r="41" spans="1:14" x14ac:dyDescent="0.5">
      <c r="B41" s="8" t="s">
        <v>142</v>
      </c>
      <c r="C41" s="29" t="s">
        <v>350</v>
      </c>
      <c r="D41" s="29" t="s">
        <v>103</v>
      </c>
      <c r="E41" s="51" t="s">
        <v>127</v>
      </c>
      <c r="F41" s="64"/>
      <c r="G41" s="107">
        <f>'Volume Drivers'!G237</f>
        <v>1.5924115594692296E-3</v>
      </c>
      <c r="H41" s="107">
        <f>'Volume Drivers'!H237</f>
        <v>3.1925892385153399E-3</v>
      </c>
      <c r="I41" s="107">
        <f>'Volume Drivers'!I237</f>
        <v>9.9832892782799102E-4</v>
      </c>
      <c r="J41" s="107">
        <f>'Volume Drivers'!J237</f>
        <v>2.5220654667335645E-3</v>
      </c>
      <c r="K41" s="107">
        <f>'Volume Drivers'!K237</f>
        <v>2.7457818666676722E-3</v>
      </c>
      <c r="L41" s="107">
        <f>'Volume Drivers'!L237</f>
        <v>2.6470502664043861E-3</v>
      </c>
      <c r="M41" s="107">
        <f>'Volume Drivers'!M237</f>
        <v>2.2425216827992086E-3</v>
      </c>
      <c r="N41" s="119">
        <f t="shared" si="0"/>
        <v>1.5940749008417392E-2</v>
      </c>
    </row>
    <row r="43" spans="1:14" ht="19" thickBot="1" x14ac:dyDescent="0.55000000000000004">
      <c r="A43" s="14" t="s">
        <v>388</v>
      </c>
    </row>
    <row r="44" spans="1:14" ht="19" thickTop="1" x14ac:dyDescent="0.5">
      <c r="A44" s="23"/>
    </row>
    <row r="45" spans="1:14" ht="17" thickBot="1" x14ac:dyDescent="0.55000000000000004">
      <c r="B45" s="27" t="s">
        <v>302</v>
      </c>
      <c r="C45" s="27" t="s">
        <v>96</v>
      </c>
      <c r="D45" s="27" t="s">
        <v>97</v>
      </c>
      <c r="E45" s="50" t="s">
        <v>98</v>
      </c>
      <c r="F45" s="12">
        <v>2024</v>
      </c>
      <c r="G45" s="12">
        <v>2025</v>
      </c>
      <c r="H45" s="12">
        <v>2026</v>
      </c>
      <c r="I45" s="12">
        <v>2027</v>
      </c>
      <c r="J45" s="12">
        <v>2028</v>
      </c>
      <c r="K45" s="12">
        <v>2029</v>
      </c>
      <c r="L45" s="12">
        <v>2030</v>
      </c>
      <c r="M45" s="12">
        <v>2031</v>
      </c>
      <c r="N45" s="12" t="s">
        <v>57</v>
      </c>
    </row>
    <row r="46" spans="1:14" x14ac:dyDescent="0.5">
      <c r="B46" s="8" t="s">
        <v>101</v>
      </c>
      <c r="C46" s="29" t="s">
        <v>350</v>
      </c>
      <c r="D46" s="29" t="s">
        <v>103</v>
      </c>
      <c r="E46" s="51" t="s">
        <v>104</v>
      </c>
      <c r="F46" s="64"/>
      <c r="G46" s="92">
        <f>INDEX(Scaling!E$20:E$29, MATCH(Scaling!$F34, Scaling!$B$20:$B$29, 0))</f>
        <v>1.6580129494459195E-2</v>
      </c>
      <c r="H46" s="92">
        <f>INDEX(Scaling!F$20:F$29, MATCH(Scaling!$F34, Scaling!$B$20:$B$29, 0))</f>
        <v>8.2689334622867428E-3</v>
      </c>
      <c r="I46" s="92">
        <f>INDEX(Scaling!G$20:G$29, MATCH(Scaling!$F34, Scaling!$B$20:$B$29, 0))</f>
        <v>2.3139804292560129E-3</v>
      </c>
      <c r="J46" s="92">
        <f>INDEX(Scaling!H$20:H$29, MATCH(Scaling!$F34, Scaling!$B$20:$B$29, 0))</f>
        <v>6.0064522136338283E-4</v>
      </c>
      <c r="K46" s="92">
        <f>INDEX(Scaling!I$20:I$29, MATCH(Scaling!$F34, Scaling!$B$20:$B$29, 0))</f>
        <v>1.639483708689049E-3</v>
      </c>
      <c r="L46" s="92">
        <f>INDEX(Scaling!J$20:J$29, MATCH(Scaling!$F34, Scaling!$B$20:$B$29, 0))</f>
        <v>3.1347814022051335E-3</v>
      </c>
      <c r="M46" s="92">
        <f>INDEX(Scaling!K$20:K$29, MATCH(Scaling!$F34, Scaling!$B$20:$B$29, 0))</f>
        <v>3.1347814022051335E-3</v>
      </c>
      <c r="N46" s="119">
        <f>SUM(G46:M46)</f>
        <v>3.5672735120464649E-2</v>
      </c>
    </row>
    <row r="47" spans="1:14" x14ac:dyDescent="0.5">
      <c r="B47" s="8" t="s">
        <v>105</v>
      </c>
      <c r="C47" s="29" t="s">
        <v>350</v>
      </c>
      <c r="D47" s="29" t="s">
        <v>103</v>
      </c>
      <c r="E47" s="51" t="s">
        <v>104</v>
      </c>
      <c r="F47" s="64"/>
      <c r="G47" s="92">
        <f>INDEX(Scaling!E$20:E$29, MATCH(Scaling!$F35, Scaling!$B$20:$B$29, 0))</f>
        <v>1.6580129494459195E-2</v>
      </c>
      <c r="H47" s="92">
        <f>INDEX(Scaling!F$20:F$29, MATCH(Scaling!$F35, Scaling!$B$20:$B$29, 0))</f>
        <v>8.2689334622867428E-3</v>
      </c>
      <c r="I47" s="92">
        <f>INDEX(Scaling!G$20:G$29, MATCH(Scaling!$F35, Scaling!$B$20:$B$29, 0))</f>
        <v>2.3139804292560129E-3</v>
      </c>
      <c r="J47" s="92">
        <f>INDEX(Scaling!H$20:H$29, MATCH(Scaling!$F35, Scaling!$B$20:$B$29, 0))</f>
        <v>6.0064522136338283E-4</v>
      </c>
      <c r="K47" s="92">
        <f>INDEX(Scaling!I$20:I$29, MATCH(Scaling!$F35, Scaling!$B$20:$B$29, 0))</f>
        <v>1.639483708689049E-3</v>
      </c>
      <c r="L47" s="92">
        <f>INDEX(Scaling!J$20:J$29, MATCH(Scaling!$F35, Scaling!$B$20:$B$29, 0))</f>
        <v>3.1347814022051335E-3</v>
      </c>
      <c r="M47" s="92">
        <f>INDEX(Scaling!K$20:K$29, MATCH(Scaling!$F35, Scaling!$B$20:$B$29, 0))</f>
        <v>3.1347814022051335E-3</v>
      </c>
      <c r="N47" s="119">
        <f t="shared" ref="N47:N79" si="1">SUM(G47:M47)</f>
        <v>3.5672735120464649E-2</v>
      </c>
    </row>
    <row r="48" spans="1:14" x14ac:dyDescent="0.5">
      <c r="B48" s="8" t="s">
        <v>106</v>
      </c>
      <c r="C48" s="29" t="s">
        <v>350</v>
      </c>
      <c r="D48" s="29" t="s">
        <v>103</v>
      </c>
      <c r="E48" s="51" t="s">
        <v>104</v>
      </c>
      <c r="F48" s="64"/>
      <c r="G48" s="92">
        <f>INDEX(Scaling!E$20:E$29, MATCH(Scaling!$F36, Scaling!$B$20:$B$29, 0))</f>
        <v>1.6580129494459195E-2</v>
      </c>
      <c r="H48" s="92">
        <f>INDEX(Scaling!F$20:F$29, MATCH(Scaling!$F36, Scaling!$B$20:$B$29, 0))</f>
        <v>8.2689334622867428E-3</v>
      </c>
      <c r="I48" s="92">
        <f>INDEX(Scaling!G$20:G$29, MATCH(Scaling!$F36, Scaling!$B$20:$B$29, 0))</f>
        <v>2.3139804292560129E-3</v>
      </c>
      <c r="J48" s="92">
        <f>INDEX(Scaling!H$20:H$29, MATCH(Scaling!$F36, Scaling!$B$20:$B$29, 0))</f>
        <v>6.0064522136338283E-4</v>
      </c>
      <c r="K48" s="92">
        <f>INDEX(Scaling!I$20:I$29, MATCH(Scaling!$F36, Scaling!$B$20:$B$29, 0))</f>
        <v>1.639483708689049E-3</v>
      </c>
      <c r="L48" s="92">
        <f>INDEX(Scaling!J$20:J$29, MATCH(Scaling!$F36, Scaling!$B$20:$B$29, 0))</f>
        <v>3.1347814022051335E-3</v>
      </c>
      <c r="M48" s="92">
        <f>INDEX(Scaling!K$20:K$29, MATCH(Scaling!$F36, Scaling!$B$20:$B$29, 0))</f>
        <v>3.1347814022051335E-3</v>
      </c>
      <c r="N48" s="119">
        <f t="shared" si="1"/>
        <v>3.5672735120464649E-2</v>
      </c>
    </row>
    <row r="49" spans="2:14" x14ac:dyDescent="0.5">
      <c r="B49" s="8" t="s">
        <v>107</v>
      </c>
      <c r="C49" s="29" t="s">
        <v>350</v>
      </c>
      <c r="D49" s="29" t="s">
        <v>103</v>
      </c>
      <c r="E49" s="51" t="s">
        <v>104</v>
      </c>
      <c r="F49" s="64"/>
      <c r="G49" s="92">
        <f>INDEX(Scaling!E$20:E$29, MATCH(Scaling!$F37, Scaling!$B$20:$B$29, 0))</f>
        <v>1.6580129494459195E-2</v>
      </c>
      <c r="H49" s="92">
        <f>INDEX(Scaling!F$20:F$29, MATCH(Scaling!$F37, Scaling!$B$20:$B$29, 0))</f>
        <v>8.2689334622867428E-3</v>
      </c>
      <c r="I49" s="92">
        <f>INDEX(Scaling!G$20:G$29, MATCH(Scaling!$F37, Scaling!$B$20:$B$29, 0))</f>
        <v>2.3139804292560129E-3</v>
      </c>
      <c r="J49" s="92">
        <f>INDEX(Scaling!H$20:H$29, MATCH(Scaling!$F37, Scaling!$B$20:$B$29, 0))</f>
        <v>6.0064522136338283E-4</v>
      </c>
      <c r="K49" s="92">
        <f>INDEX(Scaling!I$20:I$29, MATCH(Scaling!$F37, Scaling!$B$20:$B$29, 0))</f>
        <v>1.639483708689049E-3</v>
      </c>
      <c r="L49" s="92">
        <f>INDEX(Scaling!J$20:J$29, MATCH(Scaling!$F37, Scaling!$B$20:$B$29, 0))</f>
        <v>3.1347814022051335E-3</v>
      </c>
      <c r="M49" s="92">
        <f>INDEX(Scaling!K$20:K$29, MATCH(Scaling!$F37, Scaling!$B$20:$B$29, 0))</f>
        <v>3.1347814022051335E-3</v>
      </c>
      <c r="N49" s="119">
        <f t="shared" si="1"/>
        <v>3.5672735120464649E-2</v>
      </c>
    </row>
    <row r="50" spans="2:14" x14ac:dyDescent="0.5">
      <c r="B50" s="8" t="s">
        <v>108</v>
      </c>
      <c r="C50" s="29" t="s">
        <v>350</v>
      </c>
      <c r="D50" s="29" t="s">
        <v>103</v>
      </c>
      <c r="E50" s="51" t="s">
        <v>104</v>
      </c>
      <c r="F50" s="64"/>
      <c r="G50" s="92">
        <f>INDEX(Scaling!E$20:E$29, MATCH(Scaling!$F38, Scaling!$B$20:$B$29, 0))</f>
        <v>1.6580129494459195E-2</v>
      </c>
      <c r="H50" s="92">
        <f>INDEX(Scaling!F$20:F$29, MATCH(Scaling!$F38, Scaling!$B$20:$B$29, 0))</f>
        <v>8.2689334622867428E-3</v>
      </c>
      <c r="I50" s="92">
        <f>INDEX(Scaling!G$20:G$29, MATCH(Scaling!$F38, Scaling!$B$20:$B$29, 0))</f>
        <v>2.3139804292560129E-3</v>
      </c>
      <c r="J50" s="92">
        <f>INDEX(Scaling!H$20:H$29, MATCH(Scaling!$F38, Scaling!$B$20:$B$29, 0))</f>
        <v>6.0064522136338283E-4</v>
      </c>
      <c r="K50" s="92">
        <f>INDEX(Scaling!I$20:I$29, MATCH(Scaling!$F38, Scaling!$B$20:$B$29, 0))</f>
        <v>1.639483708689049E-3</v>
      </c>
      <c r="L50" s="92">
        <f>INDEX(Scaling!J$20:J$29, MATCH(Scaling!$F38, Scaling!$B$20:$B$29, 0))</f>
        <v>3.1347814022051335E-3</v>
      </c>
      <c r="M50" s="92">
        <f>INDEX(Scaling!K$20:K$29, MATCH(Scaling!$F38, Scaling!$B$20:$B$29, 0))</f>
        <v>3.1347814022051335E-3</v>
      </c>
      <c r="N50" s="119">
        <f t="shared" si="1"/>
        <v>3.5672735120464649E-2</v>
      </c>
    </row>
    <row r="51" spans="2:14" x14ac:dyDescent="0.5">
      <c r="B51" s="8" t="s">
        <v>109</v>
      </c>
      <c r="C51" s="29" t="s">
        <v>350</v>
      </c>
      <c r="D51" s="29" t="s">
        <v>103</v>
      </c>
      <c r="E51" s="51" t="s">
        <v>104</v>
      </c>
      <c r="F51" s="64"/>
      <c r="G51" s="92">
        <f>INDEX(Scaling!E$20:E$29, MATCH(Scaling!$F39, Scaling!$B$20:$B$29, 0))</f>
        <v>1.6580129494459195E-2</v>
      </c>
      <c r="H51" s="92">
        <f>INDEX(Scaling!F$20:F$29, MATCH(Scaling!$F39, Scaling!$B$20:$B$29, 0))</f>
        <v>8.2689334622867428E-3</v>
      </c>
      <c r="I51" s="92">
        <f>INDEX(Scaling!G$20:G$29, MATCH(Scaling!$F39, Scaling!$B$20:$B$29, 0))</f>
        <v>2.3139804292560129E-3</v>
      </c>
      <c r="J51" s="92">
        <f>INDEX(Scaling!H$20:H$29, MATCH(Scaling!$F39, Scaling!$B$20:$B$29, 0))</f>
        <v>6.0064522136338283E-4</v>
      </c>
      <c r="K51" s="92">
        <f>INDEX(Scaling!I$20:I$29, MATCH(Scaling!$F39, Scaling!$B$20:$B$29, 0))</f>
        <v>1.639483708689049E-3</v>
      </c>
      <c r="L51" s="92">
        <f>INDEX(Scaling!J$20:J$29, MATCH(Scaling!$F39, Scaling!$B$20:$B$29, 0))</f>
        <v>3.1347814022051335E-3</v>
      </c>
      <c r="M51" s="92">
        <f>INDEX(Scaling!K$20:K$29, MATCH(Scaling!$F39, Scaling!$B$20:$B$29, 0))</f>
        <v>3.1347814022051335E-3</v>
      </c>
      <c r="N51" s="119">
        <f t="shared" si="1"/>
        <v>3.5672735120464649E-2</v>
      </c>
    </row>
    <row r="52" spans="2:14" x14ac:dyDescent="0.5">
      <c r="B52" s="8" t="s">
        <v>110</v>
      </c>
      <c r="C52" s="29" t="s">
        <v>350</v>
      </c>
      <c r="D52" s="29" t="s">
        <v>103</v>
      </c>
      <c r="E52" s="51" t="s">
        <v>104</v>
      </c>
      <c r="F52" s="64"/>
      <c r="G52" s="92">
        <f>INDEX(Scaling!E$20:E$29, MATCH(Scaling!$F40, Scaling!$B$20:$B$29, 0))</f>
        <v>1.6580129494459195E-2</v>
      </c>
      <c r="H52" s="92">
        <f>INDEX(Scaling!F$20:F$29, MATCH(Scaling!$F40, Scaling!$B$20:$B$29, 0))</f>
        <v>8.2689334622867428E-3</v>
      </c>
      <c r="I52" s="92">
        <f>INDEX(Scaling!G$20:G$29, MATCH(Scaling!$F40, Scaling!$B$20:$B$29, 0))</f>
        <v>2.3139804292560129E-3</v>
      </c>
      <c r="J52" s="92">
        <f>INDEX(Scaling!H$20:H$29, MATCH(Scaling!$F40, Scaling!$B$20:$B$29, 0))</f>
        <v>6.0064522136338283E-4</v>
      </c>
      <c r="K52" s="92">
        <f>INDEX(Scaling!I$20:I$29, MATCH(Scaling!$F40, Scaling!$B$20:$B$29, 0))</f>
        <v>1.639483708689049E-3</v>
      </c>
      <c r="L52" s="92">
        <f>INDEX(Scaling!J$20:J$29, MATCH(Scaling!$F40, Scaling!$B$20:$B$29, 0))</f>
        <v>3.1347814022051335E-3</v>
      </c>
      <c r="M52" s="92">
        <f>INDEX(Scaling!K$20:K$29, MATCH(Scaling!$F40, Scaling!$B$20:$B$29, 0))</f>
        <v>3.1347814022051335E-3</v>
      </c>
      <c r="N52" s="119">
        <f t="shared" si="1"/>
        <v>3.5672735120464649E-2</v>
      </c>
    </row>
    <row r="53" spans="2:14" x14ac:dyDescent="0.5">
      <c r="B53" s="8" t="s">
        <v>111</v>
      </c>
      <c r="C53" s="29" t="s">
        <v>350</v>
      </c>
      <c r="D53" s="29" t="s">
        <v>103</v>
      </c>
      <c r="E53" s="51" t="s">
        <v>112</v>
      </c>
      <c r="F53" s="64"/>
      <c r="G53" s="92">
        <f>INDEX(Scaling!E$20:E$29, MATCH(Scaling!$F41, Scaling!$B$20:$B$29, 0))</f>
        <v>2.6528207191134356E-3</v>
      </c>
      <c r="H53" s="92">
        <f>INDEX(Scaling!F$20:F$29, MATCH(Scaling!$F41, Scaling!$B$20:$B$29, 0))</f>
        <v>1.3230293539658877E-3</v>
      </c>
      <c r="I53" s="92">
        <f>INDEX(Scaling!G$20:G$29, MATCH(Scaling!$F41, Scaling!$B$20:$B$29, 0))</f>
        <v>3.7023686868087324E-4</v>
      </c>
      <c r="J53" s="92">
        <f>INDEX(Scaling!H$20:H$29, MATCH(Scaling!$F41, Scaling!$B$20:$B$29, 0))</f>
        <v>9.6103235418310007E-5</v>
      </c>
      <c r="K53" s="92">
        <f>INDEX(Scaling!I$20:I$29, MATCH(Scaling!$F41, Scaling!$B$20:$B$29, 0))</f>
        <v>2.623173933902212E-4</v>
      </c>
      <c r="L53" s="92">
        <f>INDEX(Scaling!J$20:J$29, MATCH(Scaling!$F41, Scaling!$B$20:$B$29, 0))</f>
        <v>5.0156502435272365E-4</v>
      </c>
      <c r="M53" s="92">
        <f>INDEX(Scaling!K$20:K$29, MATCH(Scaling!$F41, Scaling!$B$20:$B$29, 0))</f>
        <v>5.0156502435272365E-4</v>
      </c>
      <c r="N53" s="119">
        <f t="shared" si="1"/>
        <v>5.7076376192741751E-3</v>
      </c>
    </row>
    <row r="54" spans="2:14" x14ac:dyDescent="0.5">
      <c r="B54" s="8" t="s">
        <v>113</v>
      </c>
      <c r="C54" s="29" t="s">
        <v>350</v>
      </c>
      <c r="D54" s="29" t="s">
        <v>103</v>
      </c>
      <c r="E54" s="51" t="s">
        <v>112</v>
      </c>
      <c r="F54" s="64"/>
      <c r="G54" s="92">
        <f>INDEX(Scaling!E$20:E$29, MATCH(Scaling!$F42, Scaling!$B$20:$B$29, 0))</f>
        <v>2.6528207191134356E-3</v>
      </c>
      <c r="H54" s="92">
        <f>INDEX(Scaling!F$20:F$29, MATCH(Scaling!$F42, Scaling!$B$20:$B$29, 0))</f>
        <v>1.3230293539658877E-3</v>
      </c>
      <c r="I54" s="92">
        <f>INDEX(Scaling!G$20:G$29, MATCH(Scaling!$F42, Scaling!$B$20:$B$29, 0))</f>
        <v>3.7023686868087324E-4</v>
      </c>
      <c r="J54" s="92">
        <f>INDEX(Scaling!H$20:H$29, MATCH(Scaling!$F42, Scaling!$B$20:$B$29, 0))</f>
        <v>9.6103235418310007E-5</v>
      </c>
      <c r="K54" s="92">
        <f>INDEX(Scaling!I$20:I$29, MATCH(Scaling!$F42, Scaling!$B$20:$B$29, 0))</f>
        <v>2.623173933902212E-4</v>
      </c>
      <c r="L54" s="92">
        <f>INDEX(Scaling!J$20:J$29, MATCH(Scaling!$F42, Scaling!$B$20:$B$29, 0))</f>
        <v>5.0156502435272365E-4</v>
      </c>
      <c r="M54" s="92">
        <f>INDEX(Scaling!K$20:K$29, MATCH(Scaling!$F42, Scaling!$B$20:$B$29, 0))</f>
        <v>5.0156502435272365E-4</v>
      </c>
      <c r="N54" s="119">
        <f t="shared" si="1"/>
        <v>5.7076376192741751E-3</v>
      </c>
    </row>
    <row r="55" spans="2:14" x14ac:dyDescent="0.5">
      <c r="B55" s="8" t="s">
        <v>114</v>
      </c>
      <c r="C55" s="29" t="s">
        <v>350</v>
      </c>
      <c r="D55" s="29" t="s">
        <v>103</v>
      </c>
      <c r="E55" s="51" t="s">
        <v>112</v>
      </c>
      <c r="F55" s="64"/>
      <c r="G55" s="92">
        <f>INDEX(Scaling!E$20:E$29, MATCH(Scaling!$F43, Scaling!$B$20:$B$29, 0))</f>
        <v>2.6528207191134356E-3</v>
      </c>
      <c r="H55" s="92">
        <f>INDEX(Scaling!F$20:F$29, MATCH(Scaling!$F43, Scaling!$B$20:$B$29, 0))</f>
        <v>1.3230293539658877E-3</v>
      </c>
      <c r="I55" s="92">
        <f>INDEX(Scaling!G$20:G$29, MATCH(Scaling!$F43, Scaling!$B$20:$B$29, 0))</f>
        <v>3.7023686868087324E-4</v>
      </c>
      <c r="J55" s="92">
        <f>INDEX(Scaling!H$20:H$29, MATCH(Scaling!$F43, Scaling!$B$20:$B$29, 0))</f>
        <v>9.6103235418310007E-5</v>
      </c>
      <c r="K55" s="92">
        <f>INDEX(Scaling!I$20:I$29, MATCH(Scaling!$F43, Scaling!$B$20:$B$29, 0))</f>
        <v>2.623173933902212E-4</v>
      </c>
      <c r="L55" s="92">
        <f>INDEX(Scaling!J$20:J$29, MATCH(Scaling!$F43, Scaling!$B$20:$B$29, 0))</f>
        <v>5.0156502435272365E-4</v>
      </c>
      <c r="M55" s="92">
        <f>INDEX(Scaling!K$20:K$29, MATCH(Scaling!$F43, Scaling!$B$20:$B$29, 0))</f>
        <v>5.0156502435272365E-4</v>
      </c>
      <c r="N55" s="119">
        <f t="shared" si="1"/>
        <v>5.7076376192741751E-3</v>
      </c>
    </row>
    <row r="56" spans="2:14" x14ac:dyDescent="0.5">
      <c r="B56" s="8" t="s">
        <v>115</v>
      </c>
      <c r="C56" s="29" t="s">
        <v>350</v>
      </c>
      <c r="D56" s="29" t="s">
        <v>103</v>
      </c>
      <c r="E56" s="51" t="s">
        <v>112</v>
      </c>
      <c r="F56" s="64"/>
      <c r="G56" s="92">
        <f>INDEX(Scaling!E$20:E$29, MATCH(Scaling!$F44, Scaling!$B$20:$B$29, 0))</f>
        <v>0</v>
      </c>
      <c r="H56" s="92">
        <f>INDEX(Scaling!F$20:F$29, MATCH(Scaling!$F44, Scaling!$B$20:$B$29, 0))</f>
        <v>0</v>
      </c>
      <c r="I56" s="92">
        <f>INDEX(Scaling!G$20:G$29, MATCH(Scaling!$F44, Scaling!$B$20:$B$29, 0))</f>
        <v>0</v>
      </c>
      <c r="J56" s="92">
        <f>INDEX(Scaling!H$20:H$29, MATCH(Scaling!$F44, Scaling!$B$20:$B$29, 0))</f>
        <v>0</v>
      </c>
      <c r="K56" s="92">
        <f>INDEX(Scaling!I$20:I$29, MATCH(Scaling!$F44, Scaling!$B$20:$B$29, 0))</f>
        <v>0</v>
      </c>
      <c r="L56" s="92">
        <f>INDEX(Scaling!J$20:J$29, MATCH(Scaling!$F44, Scaling!$B$20:$B$29, 0))</f>
        <v>0</v>
      </c>
      <c r="M56" s="92">
        <f>INDEX(Scaling!K$20:K$29, MATCH(Scaling!$F44, Scaling!$B$20:$B$29, 0))</f>
        <v>0</v>
      </c>
      <c r="N56" s="119">
        <f t="shared" si="1"/>
        <v>0</v>
      </c>
    </row>
    <row r="57" spans="2:14" x14ac:dyDescent="0.5">
      <c r="B57" s="8" t="s">
        <v>116</v>
      </c>
      <c r="C57" s="29" t="s">
        <v>350</v>
      </c>
      <c r="D57" s="29" t="s">
        <v>103</v>
      </c>
      <c r="E57" s="51" t="s">
        <v>117</v>
      </c>
      <c r="F57" s="64"/>
      <c r="G57" s="201"/>
      <c r="H57" s="201"/>
      <c r="I57" s="201"/>
      <c r="J57" s="201"/>
      <c r="K57" s="201"/>
      <c r="L57" s="201"/>
      <c r="M57" s="201"/>
      <c r="N57" s="119">
        <f t="shared" si="1"/>
        <v>0</v>
      </c>
    </row>
    <row r="58" spans="2:14" x14ac:dyDescent="0.5">
      <c r="B58" s="8" t="s">
        <v>118</v>
      </c>
      <c r="C58" s="29" t="s">
        <v>350</v>
      </c>
      <c r="D58" s="29" t="s">
        <v>103</v>
      </c>
      <c r="E58" s="51" t="s">
        <v>119</v>
      </c>
      <c r="F58" s="64"/>
      <c r="G58" s="92">
        <f>INDEX(Scaling!E$20:E$29, MATCH(Scaling!$F46, Scaling!$B$20:$B$29, 0))</f>
        <v>0</v>
      </c>
      <c r="H58" s="92">
        <f>INDEX(Scaling!F$20:F$29, MATCH(Scaling!$F46, Scaling!$B$20:$B$29, 0))</f>
        <v>0</v>
      </c>
      <c r="I58" s="92">
        <f>INDEX(Scaling!G$20:G$29, MATCH(Scaling!$F46, Scaling!$B$20:$B$29, 0))</f>
        <v>0</v>
      </c>
      <c r="J58" s="92">
        <f>INDEX(Scaling!H$20:H$29, MATCH(Scaling!$F46, Scaling!$B$20:$B$29, 0))</f>
        <v>0</v>
      </c>
      <c r="K58" s="92">
        <f>INDEX(Scaling!I$20:I$29, MATCH(Scaling!$F46, Scaling!$B$20:$B$29, 0))</f>
        <v>0</v>
      </c>
      <c r="L58" s="92">
        <f>INDEX(Scaling!J$20:J$29, MATCH(Scaling!$F46, Scaling!$B$20:$B$29, 0))</f>
        <v>0</v>
      </c>
      <c r="M58" s="92">
        <f>INDEX(Scaling!K$20:K$29, MATCH(Scaling!$F46, Scaling!$B$20:$B$29, 0))</f>
        <v>0</v>
      </c>
      <c r="N58" s="119">
        <f t="shared" si="1"/>
        <v>0</v>
      </c>
    </row>
    <row r="59" spans="2:14" x14ac:dyDescent="0.5">
      <c r="B59" s="8" t="s">
        <v>120</v>
      </c>
      <c r="C59" s="29" t="s">
        <v>350</v>
      </c>
      <c r="D59" s="29" t="s">
        <v>103</v>
      </c>
      <c r="E59" s="51" t="s">
        <v>119</v>
      </c>
      <c r="F59" s="64"/>
      <c r="G59" s="92">
        <f>INDEX(Scaling!E$20:E$29, MATCH(Scaling!$F47, Scaling!$B$20:$B$29, 0))</f>
        <v>0</v>
      </c>
      <c r="H59" s="92">
        <f>INDEX(Scaling!F$20:F$29, MATCH(Scaling!$F47, Scaling!$B$20:$B$29, 0))</f>
        <v>0</v>
      </c>
      <c r="I59" s="92">
        <f>INDEX(Scaling!G$20:G$29, MATCH(Scaling!$F47, Scaling!$B$20:$B$29, 0))</f>
        <v>0</v>
      </c>
      <c r="J59" s="92">
        <f>INDEX(Scaling!H$20:H$29, MATCH(Scaling!$F47, Scaling!$B$20:$B$29, 0))</f>
        <v>0</v>
      </c>
      <c r="K59" s="92">
        <f>INDEX(Scaling!I$20:I$29, MATCH(Scaling!$F47, Scaling!$B$20:$B$29, 0))</f>
        <v>0</v>
      </c>
      <c r="L59" s="92">
        <f>INDEX(Scaling!J$20:J$29, MATCH(Scaling!$F47, Scaling!$B$20:$B$29, 0))</f>
        <v>0</v>
      </c>
      <c r="M59" s="92">
        <f>INDEX(Scaling!K$20:K$29, MATCH(Scaling!$F47, Scaling!$B$20:$B$29, 0))</f>
        <v>0</v>
      </c>
      <c r="N59" s="119">
        <f t="shared" si="1"/>
        <v>0</v>
      </c>
    </row>
    <row r="60" spans="2:14" x14ac:dyDescent="0.5">
      <c r="B60" s="8" t="s">
        <v>121</v>
      </c>
      <c r="C60" s="29" t="s">
        <v>350</v>
      </c>
      <c r="D60" s="29" t="s">
        <v>103</v>
      </c>
      <c r="E60" s="51" t="s">
        <v>119</v>
      </c>
      <c r="F60" s="64"/>
      <c r="G60" s="92">
        <f>INDEX(Scaling!E$20:E$29, MATCH(Scaling!$F48, Scaling!$B$20:$B$29, 0))</f>
        <v>0</v>
      </c>
      <c r="H60" s="92">
        <f>INDEX(Scaling!F$20:F$29, MATCH(Scaling!$F48, Scaling!$B$20:$B$29, 0))</f>
        <v>0</v>
      </c>
      <c r="I60" s="92">
        <f>INDEX(Scaling!G$20:G$29, MATCH(Scaling!$F48, Scaling!$B$20:$B$29, 0))</f>
        <v>0</v>
      </c>
      <c r="J60" s="92">
        <f>INDEX(Scaling!H$20:H$29, MATCH(Scaling!$F48, Scaling!$B$20:$B$29, 0))</f>
        <v>0</v>
      </c>
      <c r="K60" s="92">
        <f>INDEX(Scaling!I$20:I$29, MATCH(Scaling!$F48, Scaling!$B$20:$B$29, 0))</f>
        <v>0</v>
      </c>
      <c r="L60" s="92">
        <f>INDEX(Scaling!J$20:J$29, MATCH(Scaling!$F48, Scaling!$B$20:$B$29, 0))</f>
        <v>0</v>
      </c>
      <c r="M60" s="92">
        <f>INDEX(Scaling!K$20:K$29, MATCH(Scaling!$F48, Scaling!$B$20:$B$29, 0))</f>
        <v>0</v>
      </c>
      <c r="N60" s="119">
        <f t="shared" si="1"/>
        <v>0</v>
      </c>
    </row>
    <row r="61" spans="2:14" x14ac:dyDescent="0.5">
      <c r="B61" s="8" t="s">
        <v>122</v>
      </c>
      <c r="C61" s="29" t="s">
        <v>350</v>
      </c>
      <c r="D61" s="29" t="s">
        <v>103</v>
      </c>
      <c r="E61" s="51" t="s">
        <v>119</v>
      </c>
      <c r="F61" s="64"/>
      <c r="G61" s="92">
        <f>INDEX(Scaling!E$20:E$29, MATCH(Scaling!$F49, Scaling!$B$20:$B$29, 0))</f>
        <v>0</v>
      </c>
      <c r="H61" s="92">
        <f>INDEX(Scaling!F$20:F$29, MATCH(Scaling!$F49, Scaling!$B$20:$B$29, 0))</f>
        <v>0</v>
      </c>
      <c r="I61" s="92">
        <f>INDEX(Scaling!G$20:G$29, MATCH(Scaling!$F49, Scaling!$B$20:$B$29, 0))</f>
        <v>0</v>
      </c>
      <c r="J61" s="92">
        <f>INDEX(Scaling!H$20:H$29, MATCH(Scaling!$F49, Scaling!$B$20:$B$29, 0))</f>
        <v>0</v>
      </c>
      <c r="K61" s="92">
        <f>INDEX(Scaling!I$20:I$29, MATCH(Scaling!$F49, Scaling!$B$20:$B$29, 0))</f>
        <v>0</v>
      </c>
      <c r="L61" s="92">
        <f>INDEX(Scaling!J$20:J$29, MATCH(Scaling!$F49, Scaling!$B$20:$B$29, 0))</f>
        <v>0</v>
      </c>
      <c r="M61" s="92">
        <f>INDEX(Scaling!K$20:K$29, MATCH(Scaling!$F49, Scaling!$B$20:$B$29, 0))</f>
        <v>0</v>
      </c>
      <c r="N61" s="119">
        <f t="shared" si="1"/>
        <v>0</v>
      </c>
    </row>
    <row r="62" spans="2:14" x14ac:dyDescent="0.5">
      <c r="B62" s="8" t="s">
        <v>123</v>
      </c>
      <c r="C62" s="29" t="s">
        <v>350</v>
      </c>
      <c r="D62" s="29" t="s">
        <v>103</v>
      </c>
      <c r="E62" s="51" t="s">
        <v>119</v>
      </c>
      <c r="F62" s="64"/>
      <c r="G62" s="92">
        <f>INDEX(Scaling!E$20:E$29, MATCH(Scaling!$F50, Scaling!$B$20:$B$29, 0))</f>
        <v>0</v>
      </c>
      <c r="H62" s="92">
        <f>INDEX(Scaling!F$20:F$29, MATCH(Scaling!$F50, Scaling!$B$20:$B$29, 0))</f>
        <v>0</v>
      </c>
      <c r="I62" s="92">
        <f>INDEX(Scaling!G$20:G$29, MATCH(Scaling!$F50, Scaling!$B$20:$B$29, 0))</f>
        <v>0</v>
      </c>
      <c r="J62" s="92">
        <f>INDEX(Scaling!H$20:H$29, MATCH(Scaling!$F50, Scaling!$B$20:$B$29, 0))</f>
        <v>0</v>
      </c>
      <c r="K62" s="92">
        <f>INDEX(Scaling!I$20:I$29, MATCH(Scaling!$F50, Scaling!$B$20:$B$29, 0))</f>
        <v>0</v>
      </c>
      <c r="L62" s="92">
        <f>INDEX(Scaling!J$20:J$29, MATCH(Scaling!$F50, Scaling!$B$20:$B$29, 0))</f>
        <v>0</v>
      </c>
      <c r="M62" s="92">
        <f>INDEX(Scaling!K$20:K$29, MATCH(Scaling!$F50, Scaling!$B$20:$B$29, 0))</f>
        <v>0</v>
      </c>
      <c r="N62" s="119">
        <f t="shared" si="1"/>
        <v>0</v>
      </c>
    </row>
    <row r="63" spans="2:14" x14ac:dyDescent="0.5">
      <c r="B63" s="8" t="s">
        <v>124</v>
      </c>
      <c r="C63" s="29" t="s">
        <v>350</v>
      </c>
      <c r="D63" s="29" t="s">
        <v>103</v>
      </c>
      <c r="E63" s="51" t="s">
        <v>124</v>
      </c>
      <c r="F63" s="64"/>
      <c r="G63" s="92">
        <f>INDEX(Scaling!E$20:E$29, MATCH(Scaling!$F51, Scaling!$B$20:$B$29, 0))</f>
        <v>8.4477676581935501E-3</v>
      </c>
      <c r="H63" s="92">
        <f>INDEX(Scaling!F$20:F$29, MATCH(Scaling!$F51, Scaling!$B$20:$B$29, 0))</f>
        <v>1.2014921020487623E-2</v>
      </c>
      <c r="I63" s="92">
        <f>INDEX(Scaling!G$20:G$29, MATCH(Scaling!$F51, Scaling!$B$20:$B$29, 0))</f>
        <v>1.0910373157715814E-2</v>
      </c>
      <c r="J63" s="92">
        <f>INDEX(Scaling!H$20:H$29, MATCH(Scaling!$F51, Scaling!$B$20:$B$29, 0))</f>
        <v>8.1831243544470134E-3</v>
      </c>
      <c r="K63" s="92">
        <f>INDEX(Scaling!I$20:I$29, MATCH(Scaling!$F51, Scaling!$B$20:$B$29, 0))</f>
        <v>8.4952567237965848E-3</v>
      </c>
      <c r="L63" s="92">
        <f>INDEX(Scaling!J$20:J$29, MATCH(Scaling!$F51, Scaling!$B$20:$B$29, 0))</f>
        <v>3.0175689625731028E-3</v>
      </c>
      <c r="M63" s="92">
        <f>INDEX(Scaling!K$20:K$29, MATCH(Scaling!$F51, Scaling!$B$20:$B$29, 0))</f>
        <v>3.0175689625731028E-3</v>
      </c>
      <c r="N63" s="119">
        <f t="shared" si="1"/>
        <v>5.4086580839786791E-2</v>
      </c>
    </row>
    <row r="64" spans="2:14" x14ac:dyDescent="0.5">
      <c r="B64" s="8" t="s">
        <v>125</v>
      </c>
      <c r="C64" s="29" t="s">
        <v>350</v>
      </c>
      <c r="D64" s="29" t="s">
        <v>103</v>
      </c>
      <c r="E64" s="51" t="s">
        <v>125</v>
      </c>
      <c r="F64" s="64"/>
      <c r="G64" s="92">
        <f>INDEX(Scaling!E$20:E$29, MATCH(Scaling!$F52, Scaling!$B$20:$B$29, 0))</f>
        <v>0</v>
      </c>
      <c r="H64" s="92">
        <f>INDEX(Scaling!F$20:F$29, MATCH(Scaling!$F52, Scaling!$B$20:$B$29, 0))</f>
        <v>0</v>
      </c>
      <c r="I64" s="92">
        <f>INDEX(Scaling!G$20:G$29, MATCH(Scaling!$F52, Scaling!$B$20:$B$29, 0))</f>
        <v>0</v>
      </c>
      <c r="J64" s="92">
        <f>INDEX(Scaling!H$20:H$29, MATCH(Scaling!$F52, Scaling!$B$20:$B$29, 0))</f>
        <v>0</v>
      </c>
      <c r="K64" s="92">
        <f>INDEX(Scaling!I$20:I$29, MATCH(Scaling!$F52, Scaling!$B$20:$B$29, 0))</f>
        <v>0</v>
      </c>
      <c r="L64" s="92">
        <f>INDEX(Scaling!J$20:J$29, MATCH(Scaling!$F52, Scaling!$B$20:$B$29, 0))</f>
        <v>0</v>
      </c>
      <c r="M64" s="92">
        <f>INDEX(Scaling!K$20:K$29, MATCH(Scaling!$F52, Scaling!$B$20:$B$29, 0))</f>
        <v>0</v>
      </c>
      <c r="N64" s="119">
        <f t="shared" si="1"/>
        <v>0</v>
      </c>
    </row>
    <row r="65" spans="2:14" x14ac:dyDescent="0.5">
      <c r="B65" s="8" t="s">
        <v>126</v>
      </c>
      <c r="C65" s="29" t="s">
        <v>350</v>
      </c>
      <c r="D65" s="29" t="s">
        <v>103</v>
      </c>
      <c r="E65" s="51" t="s">
        <v>127</v>
      </c>
      <c r="F65" s="64"/>
      <c r="G65" s="92">
        <f>INDEX(Scaling!E$20:E$29, MATCH(Scaling!$F53, Scaling!$B$20:$B$29, 0))</f>
        <v>0</v>
      </c>
      <c r="H65" s="92">
        <f>INDEX(Scaling!F$20:F$29, MATCH(Scaling!$F53, Scaling!$B$20:$B$29, 0))</f>
        <v>0</v>
      </c>
      <c r="I65" s="92">
        <f>INDEX(Scaling!G$20:G$29, MATCH(Scaling!$F53, Scaling!$B$20:$B$29, 0))</f>
        <v>0</v>
      </c>
      <c r="J65" s="92">
        <f>INDEX(Scaling!H$20:H$29, MATCH(Scaling!$F53, Scaling!$B$20:$B$29, 0))</f>
        <v>0</v>
      </c>
      <c r="K65" s="92">
        <f>INDEX(Scaling!I$20:I$29, MATCH(Scaling!$F53, Scaling!$B$20:$B$29, 0))</f>
        <v>0</v>
      </c>
      <c r="L65" s="92">
        <f>INDEX(Scaling!J$20:J$29, MATCH(Scaling!$F53, Scaling!$B$20:$B$29, 0))</f>
        <v>0</v>
      </c>
      <c r="M65" s="92">
        <f>INDEX(Scaling!K$20:K$29, MATCH(Scaling!$F53, Scaling!$B$20:$B$29, 0))</f>
        <v>0</v>
      </c>
      <c r="N65" s="119">
        <f t="shared" si="1"/>
        <v>0</v>
      </c>
    </row>
    <row r="66" spans="2:14" x14ac:dyDescent="0.5">
      <c r="B66" s="8" t="s">
        <v>128</v>
      </c>
      <c r="C66" s="29" t="s">
        <v>350</v>
      </c>
      <c r="D66" s="29" t="s">
        <v>103</v>
      </c>
      <c r="E66" s="51" t="s">
        <v>127</v>
      </c>
      <c r="F66" s="64"/>
      <c r="G66" s="92">
        <f>INDEX(Scaling!E$20:E$29, MATCH(Scaling!$F54, Scaling!$B$20:$B$29, 0))</f>
        <v>0</v>
      </c>
      <c r="H66" s="92">
        <f>INDEX(Scaling!F$20:F$29, MATCH(Scaling!$F54, Scaling!$B$20:$B$29, 0))</f>
        <v>0</v>
      </c>
      <c r="I66" s="92">
        <f>INDEX(Scaling!G$20:G$29, MATCH(Scaling!$F54, Scaling!$B$20:$B$29, 0))</f>
        <v>0</v>
      </c>
      <c r="J66" s="92">
        <f>INDEX(Scaling!H$20:H$29, MATCH(Scaling!$F54, Scaling!$B$20:$B$29, 0))</f>
        <v>0</v>
      </c>
      <c r="K66" s="92">
        <f>INDEX(Scaling!I$20:I$29, MATCH(Scaling!$F54, Scaling!$B$20:$B$29, 0))</f>
        <v>0</v>
      </c>
      <c r="L66" s="92">
        <f>INDEX(Scaling!J$20:J$29, MATCH(Scaling!$F54, Scaling!$B$20:$B$29, 0))</f>
        <v>0</v>
      </c>
      <c r="M66" s="92">
        <f>INDEX(Scaling!K$20:K$29, MATCH(Scaling!$F54, Scaling!$B$20:$B$29, 0))</f>
        <v>0</v>
      </c>
      <c r="N66" s="119">
        <f t="shared" si="1"/>
        <v>0</v>
      </c>
    </row>
    <row r="67" spans="2:14" x14ac:dyDescent="0.5">
      <c r="B67" s="8" t="s">
        <v>129</v>
      </c>
      <c r="C67" s="29" t="s">
        <v>350</v>
      </c>
      <c r="D67" s="29" t="s">
        <v>103</v>
      </c>
      <c r="E67" s="51" t="s">
        <v>127</v>
      </c>
      <c r="F67" s="64"/>
      <c r="G67" s="92">
        <f>INDEX(Scaling!E$20:E$29, MATCH(Scaling!$F55, Scaling!$B$20:$B$29, 0))</f>
        <v>4.6424362584487344E-3</v>
      </c>
      <c r="H67" s="92">
        <f>INDEX(Scaling!F$20:F$29, MATCH(Scaling!$F55, Scaling!$B$20:$B$29, 0))</f>
        <v>2.315301369440359E-3</v>
      </c>
      <c r="I67" s="92">
        <f>INDEX(Scaling!G$20:G$29, MATCH(Scaling!$F55, Scaling!$B$20:$B$29, 0))</f>
        <v>6.479145201916392E-4</v>
      </c>
      <c r="J67" s="92">
        <f>INDEX(Scaling!H$20:H$29, MATCH(Scaling!$F55, Scaling!$B$20:$B$29, 0))</f>
        <v>1.6818066198154291E-4</v>
      </c>
      <c r="K67" s="92">
        <f>INDEX(Scaling!I$20:I$29, MATCH(Scaling!$F55, Scaling!$B$20:$B$29, 0))</f>
        <v>4.5905543843294261E-4</v>
      </c>
      <c r="L67" s="92">
        <f>INDEX(Scaling!J$20:J$29, MATCH(Scaling!$F55, Scaling!$B$20:$B$29, 0))</f>
        <v>8.7773879261754395E-4</v>
      </c>
      <c r="M67" s="92">
        <f>INDEX(Scaling!K$20:K$29, MATCH(Scaling!$F55, Scaling!$B$20:$B$29, 0))</f>
        <v>8.7773879261754395E-4</v>
      </c>
      <c r="N67" s="119">
        <f t="shared" si="1"/>
        <v>9.9883658337303061E-3</v>
      </c>
    </row>
    <row r="68" spans="2:14" x14ac:dyDescent="0.5">
      <c r="B68" s="8" t="s">
        <v>130</v>
      </c>
      <c r="C68" s="29" t="s">
        <v>350</v>
      </c>
      <c r="D68" s="29" t="s">
        <v>103</v>
      </c>
      <c r="E68" s="51" t="s">
        <v>127</v>
      </c>
      <c r="F68" s="64"/>
      <c r="G68" s="92">
        <f>INDEX(Scaling!E$20:E$29, MATCH(Scaling!$F56, Scaling!$B$20:$B$29, 0))</f>
        <v>4.6424362584487344E-3</v>
      </c>
      <c r="H68" s="92">
        <f>INDEX(Scaling!F$20:F$29, MATCH(Scaling!$F56, Scaling!$B$20:$B$29, 0))</f>
        <v>2.315301369440359E-3</v>
      </c>
      <c r="I68" s="92">
        <f>INDEX(Scaling!G$20:G$29, MATCH(Scaling!$F56, Scaling!$B$20:$B$29, 0))</f>
        <v>6.479145201916392E-4</v>
      </c>
      <c r="J68" s="92">
        <f>INDEX(Scaling!H$20:H$29, MATCH(Scaling!$F56, Scaling!$B$20:$B$29, 0))</f>
        <v>1.6818066198154291E-4</v>
      </c>
      <c r="K68" s="92">
        <f>INDEX(Scaling!I$20:I$29, MATCH(Scaling!$F56, Scaling!$B$20:$B$29, 0))</f>
        <v>4.5905543843294261E-4</v>
      </c>
      <c r="L68" s="92">
        <f>INDEX(Scaling!J$20:J$29, MATCH(Scaling!$F56, Scaling!$B$20:$B$29, 0))</f>
        <v>8.7773879261754395E-4</v>
      </c>
      <c r="M68" s="92">
        <f>INDEX(Scaling!K$20:K$29, MATCH(Scaling!$F56, Scaling!$B$20:$B$29, 0))</f>
        <v>8.7773879261754395E-4</v>
      </c>
      <c r="N68" s="119">
        <f t="shared" si="1"/>
        <v>9.9883658337303061E-3</v>
      </c>
    </row>
    <row r="69" spans="2:14" x14ac:dyDescent="0.5">
      <c r="B69" s="8" t="s">
        <v>131</v>
      </c>
      <c r="C69" s="29" t="s">
        <v>350</v>
      </c>
      <c r="D69" s="29" t="s">
        <v>103</v>
      </c>
      <c r="E69" s="51" t="s">
        <v>127</v>
      </c>
      <c r="F69" s="64"/>
      <c r="G69" s="92">
        <f>INDEX(Scaling!E$20:E$29, MATCH(Scaling!$F57, Scaling!$B$20:$B$29, 0))</f>
        <v>4.6424362584487344E-3</v>
      </c>
      <c r="H69" s="92">
        <f>INDEX(Scaling!F$20:F$29, MATCH(Scaling!$F57, Scaling!$B$20:$B$29, 0))</f>
        <v>2.315301369440359E-3</v>
      </c>
      <c r="I69" s="92">
        <f>INDEX(Scaling!G$20:G$29, MATCH(Scaling!$F57, Scaling!$B$20:$B$29, 0))</f>
        <v>6.479145201916392E-4</v>
      </c>
      <c r="J69" s="92">
        <f>INDEX(Scaling!H$20:H$29, MATCH(Scaling!$F57, Scaling!$B$20:$B$29, 0))</f>
        <v>1.6818066198154291E-4</v>
      </c>
      <c r="K69" s="92">
        <f>INDEX(Scaling!I$20:I$29, MATCH(Scaling!$F57, Scaling!$B$20:$B$29, 0))</f>
        <v>4.5905543843294261E-4</v>
      </c>
      <c r="L69" s="92">
        <f>INDEX(Scaling!J$20:J$29, MATCH(Scaling!$F57, Scaling!$B$20:$B$29, 0))</f>
        <v>8.7773879261754395E-4</v>
      </c>
      <c r="M69" s="92">
        <f>INDEX(Scaling!K$20:K$29, MATCH(Scaling!$F57, Scaling!$B$20:$B$29, 0))</f>
        <v>8.7773879261754395E-4</v>
      </c>
      <c r="N69" s="119">
        <f t="shared" si="1"/>
        <v>9.9883658337303061E-3</v>
      </c>
    </row>
    <row r="70" spans="2:14" x14ac:dyDescent="0.5">
      <c r="B70" s="8" t="s">
        <v>132</v>
      </c>
      <c r="C70" s="29" t="s">
        <v>350</v>
      </c>
      <c r="D70" s="29" t="s">
        <v>103</v>
      </c>
      <c r="E70" s="51" t="s">
        <v>127</v>
      </c>
      <c r="F70" s="64"/>
      <c r="G70" s="92">
        <f>INDEX(Scaling!E$20:E$29, MATCH(Scaling!$F58, Scaling!$B$20:$B$29, 0))</f>
        <v>0</v>
      </c>
      <c r="H70" s="92">
        <f>INDEX(Scaling!F$20:F$29, MATCH(Scaling!$F58, Scaling!$B$20:$B$29, 0))</f>
        <v>0</v>
      </c>
      <c r="I70" s="92">
        <f>INDEX(Scaling!G$20:G$29, MATCH(Scaling!$F58, Scaling!$B$20:$B$29, 0))</f>
        <v>0</v>
      </c>
      <c r="J70" s="92">
        <f>INDEX(Scaling!H$20:H$29, MATCH(Scaling!$F58, Scaling!$B$20:$B$29, 0))</f>
        <v>0</v>
      </c>
      <c r="K70" s="92">
        <f>INDEX(Scaling!I$20:I$29, MATCH(Scaling!$F58, Scaling!$B$20:$B$29, 0))</f>
        <v>0</v>
      </c>
      <c r="L70" s="92">
        <f>INDEX(Scaling!J$20:J$29, MATCH(Scaling!$F58, Scaling!$B$20:$B$29, 0))</f>
        <v>0</v>
      </c>
      <c r="M70" s="92">
        <f>INDEX(Scaling!K$20:K$29, MATCH(Scaling!$F58, Scaling!$B$20:$B$29, 0))</f>
        <v>0</v>
      </c>
      <c r="N70" s="119">
        <f t="shared" si="1"/>
        <v>0</v>
      </c>
    </row>
    <row r="71" spans="2:14" x14ac:dyDescent="0.5">
      <c r="B71" s="8" t="s">
        <v>133</v>
      </c>
      <c r="C71" s="29" t="s">
        <v>350</v>
      </c>
      <c r="D71" s="29" t="s">
        <v>103</v>
      </c>
      <c r="E71" s="51" t="s">
        <v>127</v>
      </c>
      <c r="F71" s="64"/>
      <c r="G71" s="92">
        <f>INDEX(Scaling!E$20:E$29, MATCH(Scaling!$F59, Scaling!$B$20:$B$29, 0))</f>
        <v>4.6424362584487344E-3</v>
      </c>
      <c r="H71" s="92">
        <f>INDEX(Scaling!F$20:F$29, MATCH(Scaling!$F59, Scaling!$B$20:$B$29, 0))</f>
        <v>2.315301369440359E-3</v>
      </c>
      <c r="I71" s="92">
        <f>INDEX(Scaling!G$20:G$29, MATCH(Scaling!$F59, Scaling!$B$20:$B$29, 0))</f>
        <v>6.479145201916392E-4</v>
      </c>
      <c r="J71" s="92">
        <f>INDEX(Scaling!H$20:H$29, MATCH(Scaling!$F59, Scaling!$B$20:$B$29, 0))</f>
        <v>1.6818066198154291E-4</v>
      </c>
      <c r="K71" s="92">
        <f>INDEX(Scaling!I$20:I$29, MATCH(Scaling!$F59, Scaling!$B$20:$B$29, 0))</f>
        <v>4.5905543843294261E-4</v>
      </c>
      <c r="L71" s="92">
        <f>INDEX(Scaling!J$20:J$29, MATCH(Scaling!$F59, Scaling!$B$20:$B$29, 0))</f>
        <v>8.7773879261754395E-4</v>
      </c>
      <c r="M71" s="92">
        <f>INDEX(Scaling!K$20:K$29, MATCH(Scaling!$F59, Scaling!$B$20:$B$29, 0))</f>
        <v>8.7773879261754395E-4</v>
      </c>
      <c r="N71" s="119">
        <f t="shared" si="1"/>
        <v>9.9883658337303061E-3</v>
      </c>
    </row>
    <row r="72" spans="2:14" x14ac:dyDescent="0.5">
      <c r="B72" s="8" t="s">
        <v>134</v>
      </c>
      <c r="C72" s="29" t="s">
        <v>350</v>
      </c>
      <c r="D72" s="29" t="s">
        <v>103</v>
      </c>
      <c r="E72" s="51" t="s">
        <v>127</v>
      </c>
      <c r="F72" s="64"/>
      <c r="G72" s="92">
        <f>INDEX(Scaling!E$20:E$29, MATCH(Scaling!$F60, Scaling!$B$20:$B$29, 0))</f>
        <v>4.6424362584487344E-3</v>
      </c>
      <c r="H72" s="92">
        <f>INDEX(Scaling!F$20:F$29, MATCH(Scaling!$F60, Scaling!$B$20:$B$29, 0))</f>
        <v>2.315301369440359E-3</v>
      </c>
      <c r="I72" s="92">
        <f>INDEX(Scaling!G$20:G$29, MATCH(Scaling!$F60, Scaling!$B$20:$B$29, 0))</f>
        <v>6.479145201916392E-4</v>
      </c>
      <c r="J72" s="92">
        <f>INDEX(Scaling!H$20:H$29, MATCH(Scaling!$F60, Scaling!$B$20:$B$29, 0))</f>
        <v>1.6818066198154291E-4</v>
      </c>
      <c r="K72" s="92">
        <f>INDEX(Scaling!I$20:I$29, MATCH(Scaling!$F60, Scaling!$B$20:$B$29, 0))</f>
        <v>4.5905543843294261E-4</v>
      </c>
      <c r="L72" s="92">
        <f>INDEX(Scaling!J$20:J$29, MATCH(Scaling!$F60, Scaling!$B$20:$B$29, 0))</f>
        <v>8.7773879261754395E-4</v>
      </c>
      <c r="M72" s="92">
        <f>INDEX(Scaling!K$20:K$29, MATCH(Scaling!$F60, Scaling!$B$20:$B$29, 0))</f>
        <v>8.7773879261754395E-4</v>
      </c>
      <c r="N72" s="119">
        <f t="shared" si="1"/>
        <v>9.9883658337303061E-3</v>
      </c>
    </row>
    <row r="73" spans="2:14" x14ac:dyDescent="0.5">
      <c r="B73" s="8" t="s">
        <v>135</v>
      </c>
      <c r="C73" s="29" t="s">
        <v>350</v>
      </c>
      <c r="D73" s="29" t="s">
        <v>103</v>
      </c>
      <c r="E73" s="51" t="s">
        <v>127</v>
      </c>
      <c r="F73" s="64"/>
      <c r="G73" s="92">
        <f>INDEX(Scaling!E$20:E$29, MATCH(Scaling!$F61, Scaling!$B$20:$B$29, 0))</f>
        <v>4.6424362584487344E-3</v>
      </c>
      <c r="H73" s="92">
        <f>INDEX(Scaling!F$20:F$29, MATCH(Scaling!$F61, Scaling!$B$20:$B$29, 0))</f>
        <v>2.315301369440359E-3</v>
      </c>
      <c r="I73" s="92">
        <f>INDEX(Scaling!G$20:G$29, MATCH(Scaling!$F61, Scaling!$B$20:$B$29, 0))</f>
        <v>6.479145201916392E-4</v>
      </c>
      <c r="J73" s="92">
        <f>INDEX(Scaling!H$20:H$29, MATCH(Scaling!$F61, Scaling!$B$20:$B$29, 0))</f>
        <v>1.6818066198154291E-4</v>
      </c>
      <c r="K73" s="92">
        <f>INDEX(Scaling!I$20:I$29, MATCH(Scaling!$F61, Scaling!$B$20:$B$29, 0))</f>
        <v>4.5905543843294261E-4</v>
      </c>
      <c r="L73" s="92">
        <f>INDEX(Scaling!J$20:J$29, MATCH(Scaling!$F61, Scaling!$B$20:$B$29, 0))</f>
        <v>8.7773879261754395E-4</v>
      </c>
      <c r="M73" s="92">
        <f>INDEX(Scaling!K$20:K$29, MATCH(Scaling!$F61, Scaling!$B$20:$B$29, 0))</f>
        <v>8.7773879261754395E-4</v>
      </c>
      <c r="N73" s="119">
        <f t="shared" si="1"/>
        <v>9.9883658337303061E-3</v>
      </c>
    </row>
    <row r="74" spans="2:14" x14ac:dyDescent="0.5">
      <c r="B74" s="8" t="s">
        <v>136</v>
      </c>
      <c r="C74" s="29" t="s">
        <v>350</v>
      </c>
      <c r="D74" s="29" t="s">
        <v>103</v>
      </c>
      <c r="E74" s="51" t="s">
        <v>127</v>
      </c>
      <c r="F74" s="64"/>
      <c r="G74" s="92">
        <f>INDEX(Scaling!E$20:E$29, MATCH(Scaling!$F62, Scaling!$B$20:$B$29, 0))</f>
        <v>4.6424362584487344E-3</v>
      </c>
      <c r="H74" s="92">
        <f>INDEX(Scaling!F$20:F$29, MATCH(Scaling!$F62, Scaling!$B$20:$B$29, 0))</f>
        <v>2.315301369440359E-3</v>
      </c>
      <c r="I74" s="92">
        <f>INDEX(Scaling!G$20:G$29, MATCH(Scaling!$F62, Scaling!$B$20:$B$29, 0))</f>
        <v>6.479145201916392E-4</v>
      </c>
      <c r="J74" s="92">
        <f>INDEX(Scaling!H$20:H$29, MATCH(Scaling!$F62, Scaling!$B$20:$B$29, 0))</f>
        <v>1.6818066198154291E-4</v>
      </c>
      <c r="K74" s="92">
        <f>INDEX(Scaling!I$20:I$29, MATCH(Scaling!$F62, Scaling!$B$20:$B$29, 0))</f>
        <v>4.5905543843294261E-4</v>
      </c>
      <c r="L74" s="92">
        <f>INDEX(Scaling!J$20:J$29, MATCH(Scaling!$F62, Scaling!$B$20:$B$29, 0))</f>
        <v>8.7773879261754395E-4</v>
      </c>
      <c r="M74" s="92">
        <f>INDEX(Scaling!K$20:K$29, MATCH(Scaling!$F62, Scaling!$B$20:$B$29, 0))</f>
        <v>8.7773879261754395E-4</v>
      </c>
      <c r="N74" s="119">
        <f t="shared" si="1"/>
        <v>9.9883658337303061E-3</v>
      </c>
    </row>
    <row r="75" spans="2:14" x14ac:dyDescent="0.5">
      <c r="B75" s="8" t="s">
        <v>137</v>
      </c>
      <c r="C75" s="29" t="s">
        <v>350</v>
      </c>
      <c r="D75" s="29" t="s">
        <v>103</v>
      </c>
      <c r="E75" s="51" t="s">
        <v>127</v>
      </c>
      <c r="F75" s="64"/>
      <c r="G75" s="92">
        <f>INDEX(Scaling!E$20:E$29, MATCH(Scaling!$F63, Scaling!$B$20:$B$29, 0))</f>
        <v>4.6424362584487344E-3</v>
      </c>
      <c r="H75" s="92">
        <f>INDEX(Scaling!F$20:F$29, MATCH(Scaling!$F63, Scaling!$B$20:$B$29, 0))</f>
        <v>2.315301369440359E-3</v>
      </c>
      <c r="I75" s="92">
        <f>INDEX(Scaling!G$20:G$29, MATCH(Scaling!$F63, Scaling!$B$20:$B$29, 0))</f>
        <v>6.479145201916392E-4</v>
      </c>
      <c r="J75" s="92">
        <f>INDEX(Scaling!H$20:H$29, MATCH(Scaling!$F63, Scaling!$B$20:$B$29, 0))</f>
        <v>1.6818066198154291E-4</v>
      </c>
      <c r="K75" s="92">
        <f>INDEX(Scaling!I$20:I$29, MATCH(Scaling!$F63, Scaling!$B$20:$B$29, 0))</f>
        <v>4.5905543843294261E-4</v>
      </c>
      <c r="L75" s="92">
        <f>INDEX(Scaling!J$20:J$29, MATCH(Scaling!$F63, Scaling!$B$20:$B$29, 0))</f>
        <v>8.7773879261754395E-4</v>
      </c>
      <c r="M75" s="92">
        <f>INDEX(Scaling!K$20:K$29, MATCH(Scaling!$F63, Scaling!$B$20:$B$29, 0))</f>
        <v>8.7773879261754395E-4</v>
      </c>
      <c r="N75" s="119">
        <f t="shared" si="1"/>
        <v>9.9883658337303061E-3</v>
      </c>
    </row>
    <row r="76" spans="2:14" x14ac:dyDescent="0.5">
      <c r="B76" s="8" t="s">
        <v>138</v>
      </c>
      <c r="C76" s="29" t="s">
        <v>350</v>
      </c>
      <c r="D76" s="29" t="s">
        <v>103</v>
      </c>
      <c r="E76" s="51" t="s">
        <v>127</v>
      </c>
      <c r="F76" s="64"/>
      <c r="G76" s="92">
        <f>INDEX(Scaling!E$20:E$29, MATCH(Scaling!$F64, Scaling!$B$20:$B$29, 0))</f>
        <v>4.6424362584487344E-3</v>
      </c>
      <c r="H76" s="92">
        <f>INDEX(Scaling!F$20:F$29, MATCH(Scaling!$F64, Scaling!$B$20:$B$29, 0))</f>
        <v>2.315301369440359E-3</v>
      </c>
      <c r="I76" s="92">
        <f>INDEX(Scaling!G$20:G$29, MATCH(Scaling!$F64, Scaling!$B$20:$B$29, 0))</f>
        <v>6.479145201916392E-4</v>
      </c>
      <c r="J76" s="92">
        <f>INDEX(Scaling!H$20:H$29, MATCH(Scaling!$F64, Scaling!$B$20:$B$29, 0))</f>
        <v>1.6818066198154291E-4</v>
      </c>
      <c r="K76" s="92">
        <f>INDEX(Scaling!I$20:I$29, MATCH(Scaling!$F64, Scaling!$B$20:$B$29, 0))</f>
        <v>4.5905543843294261E-4</v>
      </c>
      <c r="L76" s="92">
        <f>INDEX(Scaling!J$20:J$29, MATCH(Scaling!$F64, Scaling!$B$20:$B$29, 0))</f>
        <v>8.7773879261754395E-4</v>
      </c>
      <c r="M76" s="92">
        <f>INDEX(Scaling!K$20:K$29, MATCH(Scaling!$F64, Scaling!$B$20:$B$29, 0))</f>
        <v>8.7773879261754395E-4</v>
      </c>
      <c r="N76" s="119">
        <f t="shared" si="1"/>
        <v>9.9883658337303061E-3</v>
      </c>
    </row>
    <row r="77" spans="2:14" x14ac:dyDescent="0.5">
      <c r="B77" s="8" t="s">
        <v>139</v>
      </c>
      <c r="C77" s="29" t="s">
        <v>350</v>
      </c>
      <c r="D77" s="29" t="s">
        <v>103</v>
      </c>
      <c r="E77" s="51" t="s">
        <v>127</v>
      </c>
      <c r="F77" s="64"/>
      <c r="G77" s="92">
        <f>INDEX(Scaling!E$20:E$29, MATCH(Scaling!$F65, Scaling!$B$20:$B$29, 0))</f>
        <v>9.6164751067864263E-3</v>
      </c>
      <c r="H77" s="92">
        <f>INDEX(Scaling!F$20:F$29, MATCH(Scaling!$F65, Scaling!$B$20:$B$29, 0))</f>
        <v>4.7959814081264263E-3</v>
      </c>
      <c r="I77" s="92">
        <f>INDEX(Scaling!G$20:G$29, MATCH(Scaling!$F65, Scaling!$B$20:$B$29, 0))</f>
        <v>1.3421086489684431E-3</v>
      </c>
      <c r="J77" s="92">
        <f>INDEX(Scaling!H$20:H$29, MATCH(Scaling!$F65, Scaling!$B$20:$B$29, 0))</f>
        <v>3.483742283907354E-4</v>
      </c>
      <c r="K77" s="92">
        <f>INDEX(Scaling!I$20:I$29, MATCH(Scaling!$F65, Scaling!$B$20:$B$29, 0))</f>
        <v>9.5090055103952409E-4</v>
      </c>
      <c r="L77" s="92">
        <f>INDEX(Scaling!J$20:J$29, MATCH(Scaling!$F65, Scaling!$B$20:$B$29, 0))</f>
        <v>1.8181732132789286E-3</v>
      </c>
      <c r="M77" s="92">
        <f>INDEX(Scaling!K$20:K$29, MATCH(Scaling!$F65, Scaling!$B$20:$B$29, 0))</f>
        <v>1.8181732132789286E-3</v>
      </c>
      <c r="N77" s="119">
        <f t="shared" si="1"/>
        <v>2.0690186369869412E-2</v>
      </c>
    </row>
    <row r="78" spans="2:14" x14ac:dyDescent="0.5">
      <c r="B78" s="8" t="s">
        <v>140</v>
      </c>
      <c r="C78" s="29" t="s">
        <v>350</v>
      </c>
      <c r="D78" s="29" t="s">
        <v>103</v>
      </c>
      <c r="E78" s="51" t="s">
        <v>127</v>
      </c>
      <c r="F78" s="64"/>
      <c r="G78" s="92">
        <f>INDEX(Scaling!E$20:E$29, MATCH(Scaling!$F66, Scaling!$B$20:$B$29, 0))</f>
        <v>4.6424362584487344E-3</v>
      </c>
      <c r="H78" s="92">
        <f>INDEX(Scaling!F$20:F$29, MATCH(Scaling!$F66, Scaling!$B$20:$B$29, 0))</f>
        <v>2.315301369440359E-3</v>
      </c>
      <c r="I78" s="92">
        <f>INDEX(Scaling!G$20:G$29, MATCH(Scaling!$F66, Scaling!$B$20:$B$29, 0))</f>
        <v>6.479145201916392E-4</v>
      </c>
      <c r="J78" s="92">
        <f>INDEX(Scaling!H$20:H$29, MATCH(Scaling!$F66, Scaling!$B$20:$B$29, 0))</f>
        <v>1.6818066198154291E-4</v>
      </c>
      <c r="K78" s="92">
        <f>INDEX(Scaling!I$20:I$29, MATCH(Scaling!$F66, Scaling!$B$20:$B$29, 0))</f>
        <v>4.5905543843294261E-4</v>
      </c>
      <c r="L78" s="92">
        <f>INDEX(Scaling!J$20:J$29, MATCH(Scaling!$F66, Scaling!$B$20:$B$29, 0))</f>
        <v>8.7773879261754395E-4</v>
      </c>
      <c r="M78" s="92">
        <f>INDEX(Scaling!K$20:K$29, MATCH(Scaling!$F66, Scaling!$B$20:$B$29, 0))</f>
        <v>8.7773879261754395E-4</v>
      </c>
      <c r="N78" s="119">
        <f t="shared" si="1"/>
        <v>9.9883658337303061E-3</v>
      </c>
    </row>
    <row r="79" spans="2:14" x14ac:dyDescent="0.5">
      <c r="B79" s="8" t="s">
        <v>141</v>
      </c>
      <c r="C79" s="29" t="s">
        <v>350</v>
      </c>
      <c r="D79" s="29" t="s">
        <v>103</v>
      </c>
      <c r="E79" s="51" t="s">
        <v>127</v>
      </c>
      <c r="F79" s="64"/>
      <c r="G79" s="92">
        <f>INDEX(Scaling!E$20:E$29, MATCH(Scaling!$F67, Scaling!$B$20:$B$29, 0))</f>
        <v>0</v>
      </c>
      <c r="H79" s="92">
        <f>INDEX(Scaling!F$20:F$29, MATCH(Scaling!$F67, Scaling!$B$20:$B$29, 0))</f>
        <v>0</v>
      </c>
      <c r="I79" s="92">
        <f>INDEX(Scaling!G$20:G$29, MATCH(Scaling!$F67, Scaling!$B$20:$B$29, 0))</f>
        <v>0</v>
      </c>
      <c r="J79" s="92">
        <f>INDEX(Scaling!H$20:H$29, MATCH(Scaling!$F67, Scaling!$B$20:$B$29, 0))</f>
        <v>0</v>
      </c>
      <c r="K79" s="92">
        <f>INDEX(Scaling!I$20:I$29, MATCH(Scaling!$F67, Scaling!$B$20:$B$29, 0))</f>
        <v>0</v>
      </c>
      <c r="L79" s="92">
        <f>INDEX(Scaling!J$20:J$29, MATCH(Scaling!$F67, Scaling!$B$20:$B$29, 0))</f>
        <v>0</v>
      </c>
      <c r="M79" s="92">
        <f>INDEX(Scaling!K$20:K$29, MATCH(Scaling!$F67, Scaling!$B$20:$B$29, 0))</f>
        <v>0</v>
      </c>
      <c r="N79" s="119">
        <f t="shared" si="1"/>
        <v>0</v>
      </c>
    </row>
    <row r="80" spans="2:14" x14ac:dyDescent="0.5">
      <c r="B80" s="8" t="s">
        <v>142</v>
      </c>
      <c r="C80" s="29" t="s">
        <v>350</v>
      </c>
      <c r="D80" s="29" t="s">
        <v>103</v>
      </c>
      <c r="E80" s="51" t="s">
        <v>127</v>
      </c>
      <c r="F80" s="64"/>
      <c r="G80" s="92">
        <f>INDEX(Scaling!E$20:E$29, MATCH(Scaling!$F68, Scaling!$B$20:$B$29, 0))</f>
        <v>0</v>
      </c>
      <c r="H80" s="92">
        <f>INDEX(Scaling!F$20:F$29, MATCH(Scaling!$F68, Scaling!$B$20:$B$29, 0))</f>
        <v>0</v>
      </c>
      <c r="I80" s="92">
        <f>INDEX(Scaling!G$20:G$29, MATCH(Scaling!$F68, Scaling!$B$20:$B$29, 0))</f>
        <v>0</v>
      </c>
      <c r="J80" s="92">
        <f>INDEX(Scaling!H$20:H$29, MATCH(Scaling!$F68, Scaling!$B$20:$B$29, 0))</f>
        <v>0</v>
      </c>
      <c r="K80" s="92">
        <f>INDEX(Scaling!I$20:I$29, MATCH(Scaling!$F68, Scaling!$B$20:$B$29, 0))</f>
        <v>0</v>
      </c>
      <c r="L80" s="92">
        <f>INDEX(Scaling!J$20:J$29, MATCH(Scaling!$F68, Scaling!$B$20:$B$29, 0))</f>
        <v>0</v>
      </c>
      <c r="M80" s="92">
        <f>INDEX(Scaling!K$20:K$29, MATCH(Scaling!$F68, Scaling!$B$20:$B$29, 0))</f>
        <v>0</v>
      </c>
      <c r="N80" s="119">
        <f>SUM(G80:M80)</f>
        <v>0</v>
      </c>
    </row>
    <row r="82" spans="1:14" ht="19" thickBot="1" x14ac:dyDescent="0.55000000000000004">
      <c r="A82" s="14" t="s">
        <v>300</v>
      </c>
    </row>
    <row r="83" spans="1:14" ht="19" thickTop="1" x14ac:dyDescent="0.5">
      <c r="A83" s="23"/>
    </row>
    <row r="84" spans="1:14" ht="17" thickBot="1" x14ac:dyDescent="0.55000000000000004">
      <c r="B84" s="27" t="s">
        <v>302</v>
      </c>
      <c r="C84" s="27" t="s">
        <v>96</v>
      </c>
      <c r="D84" s="27" t="s">
        <v>97</v>
      </c>
      <c r="E84" s="50" t="s">
        <v>98</v>
      </c>
      <c r="F84" s="12">
        <v>2024</v>
      </c>
      <c r="G84" s="12">
        <v>2025</v>
      </c>
      <c r="H84" s="12">
        <v>2026</v>
      </c>
      <c r="I84" s="12">
        <v>2027</v>
      </c>
      <c r="J84" s="12">
        <v>2028</v>
      </c>
      <c r="K84" s="12">
        <v>2029</v>
      </c>
      <c r="L84" s="12">
        <v>2030</v>
      </c>
      <c r="M84" s="12">
        <v>2031</v>
      </c>
      <c r="N84" s="12" t="s">
        <v>57</v>
      </c>
    </row>
    <row r="85" spans="1:14" x14ac:dyDescent="0.5">
      <c r="B85" s="8" t="s">
        <v>101</v>
      </c>
      <c r="C85" s="29" t="s">
        <v>350</v>
      </c>
      <c r="D85" s="29" t="s">
        <v>103</v>
      </c>
      <c r="E85" s="51" t="s">
        <v>104</v>
      </c>
      <c r="F85" s="64"/>
      <c r="G85" s="90">
        <f>-1*Assumptions!$C$65*Scaling!$G34</f>
        <v>-0.01</v>
      </c>
      <c r="H85" s="90">
        <f>-1*Assumptions!$C$65*Scaling!$G34</f>
        <v>-0.01</v>
      </c>
      <c r="I85" s="90">
        <f>-1*Assumptions!$C$64*Scaling!$G34</f>
        <v>-0.01</v>
      </c>
      <c r="J85" s="90">
        <f>-1*Assumptions!$C$64*Scaling!$G34</f>
        <v>-0.01</v>
      </c>
      <c r="K85" s="90">
        <f>-1*Assumptions!$C$64*Scaling!$G34</f>
        <v>-0.01</v>
      </c>
      <c r="L85" s="90">
        <f>-1*Assumptions!$C$64*Scaling!$G34</f>
        <v>-0.01</v>
      </c>
      <c r="M85" s="90">
        <f>-1*Assumptions!$C$64*Scaling!$G34</f>
        <v>-0.01</v>
      </c>
      <c r="N85" s="119">
        <f t="shared" ref="N85:N119" si="2">SUM(G85:M85)</f>
        <v>-7.0000000000000007E-2</v>
      </c>
    </row>
    <row r="86" spans="1:14" x14ac:dyDescent="0.5">
      <c r="B86" s="8" t="s">
        <v>105</v>
      </c>
      <c r="C86" s="29" t="s">
        <v>350</v>
      </c>
      <c r="D86" s="29" t="s">
        <v>103</v>
      </c>
      <c r="E86" s="51" t="s">
        <v>104</v>
      </c>
      <c r="F86" s="64"/>
      <c r="G86" s="90">
        <f>-1*Assumptions!$C$65*Scaling!$G35</f>
        <v>-0.01</v>
      </c>
      <c r="H86" s="90">
        <f>-1*Assumptions!$C$65*Scaling!$G35</f>
        <v>-0.01</v>
      </c>
      <c r="I86" s="90">
        <f>-1*Assumptions!$C$64*Scaling!$G35</f>
        <v>-0.01</v>
      </c>
      <c r="J86" s="90">
        <f>-1*Assumptions!$C$64*Scaling!$G35</f>
        <v>-0.01</v>
      </c>
      <c r="K86" s="90">
        <f>-1*Assumptions!$C$64*Scaling!$G35</f>
        <v>-0.01</v>
      </c>
      <c r="L86" s="90">
        <f>-1*Assumptions!$C$64*Scaling!$G35</f>
        <v>-0.01</v>
      </c>
      <c r="M86" s="90">
        <f>-1*Assumptions!$C$64*Scaling!$G35</f>
        <v>-0.01</v>
      </c>
      <c r="N86" s="119">
        <f t="shared" si="2"/>
        <v>-7.0000000000000007E-2</v>
      </c>
    </row>
    <row r="87" spans="1:14" x14ac:dyDescent="0.5">
      <c r="B87" s="8" t="s">
        <v>106</v>
      </c>
      <c r="C87" s="29" t="s">
        <v>350</v>
      </c>
      <c r="D87" s="29" t="s">
        <v>103</v>
      </c>
      <c r="E87" s="51" t="s">
        <v>104</v>
      </c>
      <c r="F87" s="64"/>
      <c r="G87" s="90">
        <f>-1*Assumptions!$C$65*Scaling!$G36</f>
        <v>-0.01</v>
      </c>
      <c r="H87" s="90">
        <f>-1*Assumptions!$C$65*Scaling!$G36</f>
        <v>-0.01</v>
      </c>
      <c r="I87" s="90">
        <f>-1*Assumptions!$C$64*Scaling!$G36</f>
        <v>-0.01</v>
      </c>
      <c r="J87" s="90">
        <f>-1*Assumptions!$C$64*Scaling!$G36</f>
        <v>-0.01</v>
      </c>
      <c r="K87" s="90">
        <f>-1*Assumptions!$C$64*Scaling!$G36</f>
        <v>-0.01</v>
      </c>
      <c r="L87" s="90">
        <f>-1*Assumptions!$C$64*Scaling!$G36</f>
        <v>-0.01</v>
      </c>
      <c r="M87" s="90">
        <f>-1*Assumptions!$C$64*Scaling!$G36</f>
        <v>-0.01</v>
      </c>
      <c r="N87" s="119">
        <f t="shared" si="2"/>
        <v>-7.0000000000000007E-2</v>
      </c>
    </row>
    <row r="88" spans="1:14" x14ac:dyDescent="0.5">
      <c r="B88" s="8" t="s">
        <v>107</v>
      </c>
      <c r="C88" s="29" t="s">
        <v>350</v>
      </c>
      <c r="D88" s="29" t="s">
        <v>103</v>
      </c>
      <c r="E88" s="51" t="s">
        <v>104</v>
      </c>
      <c r="F88" s="64"/>
      <c r="G88" s="90">
        <f>-1*Assumptions!$C$65*Scaling!$G37</f>
        <v>-0.01</v>
      </c>
      <c r="H88" s="90">
        <f>-1*Assumptions!$C$65*Scaling!$G37</f>
        <v>-0.01</v>
      </c>
      <c r="I88" s="90">
        <f>-1*Assumptions!$C$64*Scaling!$G37</f>
        <v>-0.01</v>
      </c>
      <c r="J88" s="90">
        <f>-1*Assumptions!$C$64*Scaling!$G37</f>
        <v>-0.01</v>
      </c>
      <c r="K88" s="90">
        <f>-1*Assumptions!$C$64*Scaling!$G37</f>
        <v>-0.01</v>
      </c>
      <c r="L88" s="90">
        <f>-1*Assumptions!$C$64*Scaling!$G37</f>
        <v>-0.01</v>
      </c>
      <c r="M88" s="90">
        <f>-1*Assumptions!$C$64*Scaling!$G37</f>
        <v>-0.01</v>
      </c>
      <c r="N88" s="119">
        <f t="shared" si="2"/>
        <v>-7.0000000000000007E-2</v>
      </c>
    </row>
    <row r="89" spans="1:14" x14ac:dyDescent="0.5">
      <c r="B89" s="8" t="s">
        <v>108</v>
      </c>
      <c r="C89" s="29" t="s">
        <v>350</v>
      </c>
      <c r="D89" s="29" t="s">
        <v>103</v>
      </c>
      <c r="E89" s="51" t="s">
        <v>104</v>
      </c>
      <c r="F89" s="64"/>
      <c r="G89" s="90">
        <f>-1*Assumptions!$C$65*Scaling!$G38</f>
        <v>-0.01</v>
      </c>
      <c r="H89" s="90">
        <f>-1*Assumptions!$C$65*Scaling!$G38</f>
        <v>-0.01</v>
      </c>
      <c r="I89" s="90">
        <f>-1*Assumptions!$C$64*Scaling!$G38</f>
        <v>-0.01</v>
      </c>
      <c r="J89" s="90">
        <f>-1*Assumptions!$C$64*Scaling!$G38</f>
        <v>-0.01</v>
      </c>
      <c r="K89" s="90">
        <f>-1*Assumptions!$C$64*Scaling!$G38</f>
        <v>-0.01</v>
      </c>
      <c r="L89" s="90">
        <f>-1*Assumptions!$C$64*Scaling!$G38</f>
        <v>-0.01</v>
      </c>
      <c r="M89" s="90">
        <f>-1*Assumptions!$C$64*Scaling!$G38</f>
        <v>-0.01</v>
      </c>
      <c r="N89" s="119">
        <f t="shared" si="2"/>
        <v>-7.0000000000000007E-2</v>
      </c>
    </row>
    <row r="90" spans="1:14" x14ac:dyDescent="0.5">
      <c r="B90" s="8" t="s">
        <v>109</v>
      </c>
      <c r="C90" s="29" t="s">
        <v>350</v>
      </c>
      <c r="D90" s="29" t="s">
        <v>103</v>
      </c>
      <c r="E90" s="51" t="s">
        <v>104</v>
      </c>
      <c r="F90" s="64"/>
      <c r="G90" s="90">
        <f>-1*Assumptions!$C$65*Scaling!$G39</f>
        <v>-0.01</v>
      </c>
      <c r="H90" s="90">
        <f>-1*Assumptions!$C$65*Scaling!$G39</f>
        <v>-0.01</v>
      </c>
      <c r="I90" s="90">
        <f>-1*Assumptions!$C$64*Scaling!$G39</f>
        <v>-0.01</v>
      </c>
      <c r="J90" s="90">
        <f>-1*Assumptions!$C$64*Scaling!$G39</f>
        <v>-0.01</v>
      </c>
      <c r="K90" s="90">
        <f>-1*Assumptions!$C$64*Scaling!$G39</f>
        <v>-0.01</v>
      </c>
      <c r="L90" s="90">
        <f>-1*Assumptions!$C$64*Scaling!$G39</f>
        <v>-0.01</v>
      </c>
      <c r="M90" s="90">
        <f>-1*Assumptions!$C$64*Scaling!$G39</f>
        <v>-0.01</v>
      </c>
      <c r="N90" s="119">
        <f t="shared" si="2"/>
        <v>-7.0000000000000007E-2</v>
      </c>
    </row>
    <row r="91" spans="1:14" x14ac:dyDescent="0.5">
      <c r="B91" s="8" t="s">
        <v>110</v>
      </c>
      <c r="C91" s="29" t="s">
        <v>350</v>
      </c>
      <c r="D91" s="29" t="s">
        <v>103</v>
      </c>
      <c r="E91" s="51" t="s">
        <v>104</v>
      </c>
      <c r="F91" s="64"/>
      <c r="G91" s="90">
        <f>-1*Assumptions!$C$65*Scaling!$G40</f>
        <v>0</v>
      </c>
      <c r="H91" s="90">
        <f>-1*Assumptions!$C$65*Scaling!$G40</f>
        <v>0</v>
      </c>
      <c r="I91" s="90">
        <f>-1*Assumptions!$C$64*Scaling!$G40</f>
        <v>0</v>
      </c>
      <c r="J91" s="90">
        <f>-1*Assumptions!$C$64*Scaling!$G40</f>
        <v>0</v>
      </c>
      <c r="K91" s="90">
        <f>-1*Assumptions!$C$64*Scaling!$G40</f>
        <v>0</v>
      </c>
      <c r="L91" s="90">
        <f>-1*Assumptions!$C$64*Scaling!$G40</f>
        <v>0</v>
      </c>
      <c r="M91" s="90">
        <f>-1*Assumptions!$C$64*Scaling!$G40</f>
        <v>0</v>
      </c>
      <c r="N91" s="119">
        <f t="shared" si="2"/>
        <v>0</v>
      </c>
    </row>
    <row r="92" spans="1:14" x14ac:dyDescent="0.5">
      <c r="B92" s="8" t="s">
        <v>111</v>
      </c>
      <c r="C92" s="29" t="s">
        <v>350</v>
      </c>
      <c r="D92" s="29" t="s">
        <v>103</v>
      </c>
      <c r="E92" s="51" t="s">
        <v>112</v>
      </c>
      <c r="F92" s="64"/>
      <c r="G92" s="90">
        <f>-1*Assumptions!$C$65*Scaling!$G41</f>
        <v>-0.01</v>
      </c>
      <c r="H92" s="90">
        <f>-1*Assumptions!$C$65*Scaling!$G41</f>
        <v>-0.01</v>
      </c>
      <c r="I92" s="90">
        <f>-1*Assumptions!$C$64*Scaling!$G41</f>
        <v>-0.01</v>
      </c>
      <c r="J92" s="90">
        <f>-1*Assumptions!$C$64*Scaling!$G41</f>
        <v>-0.01</v>
      </c>
      <c r="K92" s="90">
        <f>-1*Assumptions!$C$64*Scaling!$G41</f>
        <v>-0.01</v>
      </c>
      <c r="L92" s="90">
        <f>-1*Assumptions!$C$64*Scaling!$G41</f>
        <v>-0.01</v>
      </c>
      <c r="M92" s="90">
        <f>-1*Assumptions!$C$64*Scaling!$G41</f>
        <v>-0.01</v>
      </c>
      <c r="N92" s="119">
        <f t="shared" si="2"/>
        <v>-7.0000000000000007E-2</v>
      </c>
    </row>
    <row r="93" spans="1:14" x14ac:dyDescent="0.5">
      <c r="B93" s="8" t="s">
        <v>113</v>
      </c>
      <c r="C93" s="29" t="s">
        <v>350</v>
      </c>
      <c r="D93" s="29" t="s">
        <v>103</v>
      </c>
      <c r="E93" s="51" t="s">
        <v>112</v>
      </c>
      <c r="F93" s="64"/>
      <c r="G93" s="90">
        <f>-1*Assumptions!$C$65*Scaling!$G42</f>
        <v>-0.01</v>
      </c>
      <c r="H93" s="90">
        <f>-1*Assumptions!$C$65*Scaling!$G42</f>
        <v>-0.01</v>
      </c>
      <c r="I93" s="90">
        <f>-1*Assumptions!$C$64*Scaling!$G42</f>
        <v>-0.01</v>
      </c>
      <c r="J93" s="90">
        <f>-1*Assumptions!$C$64*Scaling!$G42</f>
        <v>-0.01</v>
      </c>
      <c r="K93" s="90">
        <f>-1*Assumptions!$C$64*Scaling!$G42</f>
        <v>-0.01</v>
      </c>
      <c r="L93" s="90">
        <f>-1*Assumptions!$C$64*Scaling!$G42</f>
        <v>-0.01</v>
      </c>
      <c r="M93" s="90">
        <f>-1*Assumptions!$C$64*Scaling!$G42</f>
        <v>-0.01</v>
      </c>
      <c r="N93" s="119">
        <f t="shared" si="2"/>
        <v>-7.0000000000000007E-2</v>
      </c>
    </row>
    <row r="94" spans="1:14" x14ac:dyDescent="0.5">
      <c r="B94" s="8" t="s">
        <v>114</v>
      </c>
      <c r="C94" s="29" t="s">
        <v>350</v>
      </c>
      <c r="D94" s="29" t="s">
        <v>103</v>
      </c>
      <c r="E94" s="51" t="s">
        <v>112</v>
      </c>
      <c r="F94" s="64"/>
      <c r="G94" s="90">
        <f>-1*Assumptions!$C$65*Scaling!$G43</f>
        <v>-0.01</v>
      </c>
      <c r="H94" s="90">
        <f>-1*Assumptions!$C$65*Scaling!$G43</f>
        <v>-0.01</v>
      </c>
      <c r="I94" s="90">
        <f>-1*Assumptions!$C$64*Scaling!$G43</f>
        <v>-0.01</v>
      </c>
      <c r="J94" s="90">
        <f>-1*Assumptions!$C$64*Scaling!$G43</f>
        <v>-0.01</v>
      </c>
      <c r="K94" s="90">
        <f>-1*Assumptions!$C$64*Scaling!$G43</f>
        <v>-0.01</v>
      </c>
      <c r="L94" s="90">
        <f>-1*Assumptions!$C$64*Scaling!$G43</f>
        <v>-0.01</v>
      </c>
      <c r="M94" s="90">
        <f>-1*Assumptions!$C$64*Scaling!$G43</f>
        <v>-0.01</v>
      </c>
      <c r="N94" s="119">
        <f t="shared" si="2"/>
        <v>-7.0000000000000007E-2</v>
      </c>
    </row>
    <row r="95" spans="1:14" x14ac:dyDescent="0.5">
      <c r="B95" s="8" t="s">
        <v>115</v>
      </c>
      <c r="C95" s="29" t="s">
        <v>350</v>
      </c>
      <c r="D95" s="29" t="s">
        <v>103</v>
      </c>
      <c r="E95" s="51" t="s">
        <v>112</v>
      </c>
      <c r="F95" s="64"/>
      <c r="G95" s="90">
        <f>-1*Assumptions!$C$65*Scaling!$G44</f>
        <v>-0.01</v>
      </c>
      <c r="H95" s="90">
        <f>-1*Assumptions!$C$65*Scaling!$G44</f>
        <v>-0.01</v>
      </c>
      <c r="I95" s="90">
        <f>-1*Assumptions!$C$64*Scaling!$G44</f>
        <v>-0.01</v>
      </c>
      <c r="J95" s="90">
        <f>-1*Assumptions!$C$64*Scaling!$G44</f>
        <v>-0.01</v>
      </c>
      <c r="K95" s="90">
        <f>-1*Assumptions!$C$64*Scaling!$G44</f>
        <v>-0.01</v>
      </c>
      <c r="L95" s="90">
        <f>-1*Assumptions!$C$64*Scaling!$G44</f>
        <v>-0.01</v>
      </c>
      <c r="M95" s="90">
        <f>-1*Assumptions!$C$64*Scaling!$G44</f>
        <v>-0.01</v>
      </c>
      <c r="N95" s="119">
        <f t="shared" si="2"/>
        <v>-7.0000000000000007E-2</v>
      </c>
    </row>
    <row r="96" spans="1:14" x14ac:dyDescent="0.5">
      <c r="B96" s="8" t="s">
        <v>116</v>
      </c>
      <c r="C96" s="29" t="s">
        <v>350</v>
      </c>
      <c r="D96" s="29" t="s">
        <v>103</v>
      </c>
      <c r="E96" s="51" t="s">
        <v>117</v>
      </c>
      <c r="F96" s="64"/>
      <c r="G96" s="201"/>
      <c r="H96" s="201"/>
      <c r="I96" s="201"/>
      <c r="J96" s="201"/>
      <c r="K96" s="201"/>
      <c r="L96" s="201"/>
      <c r="M96" s="201"/>
      <c r="N96" s="119">
        <f t="shared" si="2"/>
        <v>0</v>
      </c>
    </row>
    <row r="97" spans="2:14" x14ac:dyDescent="0.5">
      <c r="B97" s="8" t="s">
        <v>118</v>
      </c>
      <c r="C97" s="29" t="s">
        <v>350</v>
      </c>
      <c r="D97" s="29" t="s">
        <v>103</v>
      </c>
      <c r="E97" s="51" t="s">
        <v>119</v>
      </c>
      <c r="F97" s="64"/>
      <c r="G97" s="90">
        <f>-1*Assumptions!$C$65*Scaling!$G46</f>
        <v>0</v>
      </c>
      <c r="H97" s="90">
        <f>-1*Assumptions!$C$65*Scaling!$G46</f>
        <v>0</v>
      </c>
      <c r="I97" s="90">
        <f>-1*Assumptions!$C$64*Scaling!$G46</f>
        <v>0</v>
      </c>
      <c r="J97" s="90">
        <f>-1*Assumptions!$C$64*Scaling!$G46</f>
        <v>0</v>
      </c>
      <c r="K97" s="90">
        <f>-1*Assumptions!$C$64*Scaling!$G46</f>
        <v>0</v>
      </c>
      <c r="L97" s="90">
        <f>-1*Assumptions!$C$64*Scaling!$G46</f>
        <v>0</v>
      </c>
      <c r="M97" s="90">
        <f>-1*Assumptions!$C$64*Scaling!$G46</f>
        <v>0</v>
      </c>
      <c r="N97" s="119">
        <f t="shared" si="2"/>
        <v>0</v>
      </c>
    </row>
    <row r="98" spans="2:14" x14ac:dyDescent="0.5">
      <c r="B98" s="8" t="s">
        <v>120</v>
      </c>
      <c r="C98" s="29" t="s">
        <v>350</v>
      </c>
      <c r="D98" s="29" t="s">
        <v>103</v>
      </c>
      <c r="E98" s="51" t="s">
        <v>119</v>
      </c>
      <c r="F98" s="64"/>
      <c r="G98" s="90">
        <f>-1*Assumptions!$C$65*Scaling!$G47</f>
        <v>0</v>
      </c>
      <c r="H98" s="90">
        <f>-1*Assumptions!$C$65*Scaling!$G47</f>
        <v>0</v>
      </c>
      <c r="I98" s="90">
        <f>-1*Assumptions!$C$64*Scaling!$G47</f>
        <v>0</v>
      </c>
      <c r="J98" s="90">
        <f>-1*Assumptions!$C$64*Scaling!$G47</f>
        <v>0</v>
      </c>
      <c r="K98" s="90">
        <f>-1*Assumptions!$C$64*Scaling!$G47</f>
        <v>0</v>
      </c>
      <c r="L98" s="90">
        <f>-1*Assumptions!$C$64*Scaling!$G47</f>
        <v>0</v>
      </c>
      <c r="M98" s="90">
        <f>-1*Assumptions!$C$64*Scaling!$G47</f>
        <v>0</v>
      </c>
      <c r="N98" s="119">
        <f t="shared" si="2"/>
        <v>0</v>
      </c>
    </row>
    <row r="99" spans="2:14" x14ac:dyDescent="0.5">
      <c r="B99" s="8" t="s">
        <v>121</v>
      </c>
      <c r="C99" s="29" t="s">
        <v>350</v>
      </c>
      <c r="D99" s="29" t="s">
        <v>103</v>
      </c>
      <c r="E99" s="51" t="s">
        <v>119</v>
      </c>
      <c r="F99" s="64"/>
      <c r="G99" s="90">
        <f>-1*Assumptions!$C$65*Scaling!$G48</f>
        <v>0</v>
      </c>
      <c r="H99" s="90">
        <f>-1*Assumptions!$C$65*Scaling!$G48</f>
        <v>0</v>
      </c>
      <c r="I99" s="90">
        <f>-1*Assumptions!$C$64*Scaling!$G48</f>
        <v>0</v>
      </c>
      <c r="J99" s="90">
        <f>-1*Assumptions!$C$64*Scaling!$G48</f>
        <v>0</v>
      </c>
      <c r="K99" s="90">
        <f>-1*Assumptions!$C$64*Scaling!$G48</f>
        <v>0</v>
      </c>
      <c r="L99" s="90">
        <f>-1*Assumptions!$C$64*Scaling!$G48</f>
        <v>0</v>
      </c>
      <c r="M99" s="90">
        <f>-1*Assumptions!$C$64*Scaling!$G48</f>
        <v>0</v>
      </c>
      <c r="N99" s="119">
        <f t="shared" si="2"/>
        <v>0</v>
      </c>
    </row>
    <row r="100" spans="2:14" x14ac:dyDescent="0.5">
      <c r="B100" s="8" t="s">
        <v>122</v>
      </c>
      <c r="C100" s="29" t="s">
        <v>350</v>
      </c>
      <c r="D100" s="29" t="s">
        <v>103</v>
      </c>
      <c r="E100" s="51" t="s">
        <v>119</v>
      </c>
      <c r="F100" s="64"/>
      <c r="G100" s="90">
        <f>-1*Assumptions!$C$65*Scaling!$G49</f>
        <v>0</v>
      </c>
      <c r="H100" s="90">
        <f>-1*Assumptions!$C$65*Scaling!$G49</f>
        <v>0</v>
      </c>
      <c r="I100" s="90">
        <f>-1*Assumptions!$C$64*Scaling!$G49</f>
        <v>0</v>
      </c>
      <c r="J100" s="90">
        <f>-1*Assumptions!$C$64*Scaling!$G49</f>
        <v>0</v>
      </c>
      <c r="K100" s="90">
        <f>-1*Assumptions!$C$64*Scaling!$G49</f>
        <v>0</v>
      </c>
      <c r="L100" s="90">
        <f>-1*Assumptions!$C$64*Scaling!$G49</f>
        <v>0</v>
      </c>
      <c r="M100" s="90">
        <f>-1*Assumptions!$C$64*Scaling!$G49</f>
        <v>0</v>
      </c>
      <c r="N100" s="119">
        <f t="shared" si="2"/>
        <v>0</v>
      </c>
    </row>
    <row r="101" spans="2:14" x14ac:dyDescent="0.5">
      <c r="B101" s="8" t="s">
        <v>123</v>
      </c>
      <c r="C101" s="29" t="s">
        <v>350</v>
      </c>
      <c r="D101" s="29" t="s">
        <v>103</v>
      </c>
      <c r="E101" s="51" t="s">
        <v>119</v>
      </c>
      <c r="F101" s="64"/>
      <c r="G101" s="90">
        <f>-1*Assumptions!$C$65*Scaling!$G50</f>
        <v>0</v>
      </c>
      <c r="H101" s="90">
        <f>-1*Assumptions!$C$65*Scaling!$G50</f>
        <v>0</v>
      </c>
      <c r="I101" s="90">
        <f>-1*Assumptions!$C$64*Scaling!$G50</f>
        <v>0</v>
      </c>
      <c r="J101" s="90">
        <f>-1*Assumptions!$C$64*Scaling!$G50</f>
        <v>0</v>
      </c>
      <c r="K101" s="90">
        <f>-1*Assumptions!$C$64*Scaling!$G50</f>
        <v>0</v>
      </c>
      <c r="L101" s="90">
        <f>-1*Assumptions!$C$64*Scaling!$G50</f>
        <v>0</v>
      </c>
      <c r="M101" s="90">
        <f>-1*Assumptions!$C$64*Scaling!$G50</f>
        <v>0</v>
      </c>
      <c r="N101" s="119">
        <f t="shared" si="2"/>
        <v>0</v>
      </c>
    </row>
    <row r="102" spans="2:14" x14ac:dyDescent="0.5">
      <c r="B102" s="8" t="s">
        <v>124</v>
      </c>
      <c r="C102" s="29" t="s">
        <v>350</v>
      </c>
      <c r="D102" s="29" t="s">
        <v>103</v>
      </c>
      <c r="E102" s="51" t="s">
        <v>124</v>
      </c>
      <c r="F102" s="64"/>
      <c r="G102" s="90">
        <f>-1*Assumptions!$C$65*Scaling!$G51</f>
        <v>0</v>
      </c>
      <c r="H102" s="90">
        <f>-1*Assumptions!$C$65*Scaling!$G51</f>
        <v>0</v>
      </c>
      <c r="I102" s="90">
        <f>-1*Assumptions!$C$64*Scaling!$G51</f>
        <v>0</v>
      </c>
      <c r="J102" s="90">
        <f>-1*Assumptions!$C$64*Scaling!$G51</f>
        <v>0</v>
      </c>
      <c r="K102" s="90">
        <f>-1*Assumptions!$C$64*Scaling!$G51</f>
        <v>0</v>
      </c>
      <c r="L102" s="90">
        <f>-1*Assumptions!$C$64*Scaling!$G51</f>
        <v>0</v>
      </c>
      <c r="M102" s="90">
        <f>-1*Assumptions!$C$64*Scaling!$G51</f>
        <v>0</v>
      </c>
      <c r="N102" s="119">
        <f t="shared" si="2"/>
        <v>0</v>
      </c>
    </row>
    <row r="103" spans="2:14" x14ac:dyDescent="0.5">
      <c r="B103" s="8" t="s">
        <v>125</v>
      </c>
      <c r="C103" s="29" t="s">
        <v>350</v>
      </c>
      <c r="D103" s="29" t="s">
        <v>103</v>
      </c>
      <c r="E103" s="51" t="s">
        <v>125</v>
      </c>
      <c r="F103" s="64"/>
      <c r="G103" s="90">
        <f>-1*Assumptions!$C$65*Scaling!$G52</f>
        <v>-0.01</v>
      </c>
      <c r="H103" s="90">
        <f>-1*Assumptions!$C$65*Scaling!$G52</f>
        <v>-0.01</v>
      </c>
      <c r="I103" s="90">
        <f>-1*Assumptions!$C$64*Scaling!$G52</f>
        <v>-0.01</v>
      </c>
      <c r="J103" s="90">
        <f>-1*Assumptions!$C$64*Scaling!$G52</f>
        <v>-0.01</v>
      </c>
      <c r="K103" s="90">
        <f>-1*Assumptions!$C$64*Scaling!$G52</f>
        <v>-0.01</v>
      </c>
      <c r="L103" s="90">
        <f>-1*Assumptions!$C$64*Scaling!$G52</f>
        <v>-0.01</v>
      </c>
      <c r="M103" s="90">
        <f>-1*Assumptions!$C$64*Scaling!$G52</f>
        <v>-0.01</v>
      </c>
      <c r="N103" s="119">
        <f t="shared" si="2"/>
        <v>-7.0000000000000007E-2</v>
      </c>
    </row>
    <row r="104" spans="2:14" x14ac:dyDescent="0.5">
      <c r="B104" s="8" t="s">
        <v>126</v>
      </c>
      <c r="C104" s="29" t="s">
        <v>350</v>
      </c>
      <c r="D104" s="29" t="s">
        <v>103</v>
      </c>
      <c r="E104" s="51" t="s">
        <v>127</v>
      </c>
      <c r="F104" s="64"/>
      <c r="G104" s="90">
        <f>-1*Assumptions!$C$65*Scaling!$G53</f>
        <v>-0.01</v>
      </c>
      <c r="H104" s="90">
        <f>-1*Assumptions!$C$65*Scaling!$G53</f>
        <v>-0.01</v>
      </c>
      <c r="I104" s="90">
        <f>-1*Assumptions!$C$64*Scaling!$G53</f>
        <v>-0.01</v>
      </c>
      <c r="J104" s="90">
        <f>-1*Assumptions!$C$64*Scaling!$G53</f>
        <v>-0.01</v>
      </c>
      <c r="K104" s="90">
        <f>-1*Assumptions!$C$64*Scaling!$G53</f>
        <v>-0.01</v>
      </c>
      <c r="L104" s="90">
        <f>-1*Assumptions!$C$64*Scaling!$G53</f>
        <v>-0.01</v>
      </c>
      <c r="M104" s="90">
        <f>-1*Assumptions!$C$64*Scaling!$G53</f>
        <v>-0.01</v>
      </c>
      <c r="N104" s="119">
        <f t="shared" si="2"/>
        <v>-7.0000000000000007E-2</v>
      </c>
    </row>
    <row r="105" spans="2:14" x14ac:dyDescent="0.5">
      <c r="B105" s="8" t="s">
        <v>128</v>
      </c>
      <c r="C105" s="29" t="s">
        <v>350</v>
      </c>
      <c r="D105" s="29" t="s">
        <v>103</v>
      </c>
      <c r="E105" s="51" t="s">
        <v>127</v>
      </c>
      <c r="F105" s="64"/>
      <c r="G105" s="90">
        <f>-1*Assumptions!$C$65*Scaling!$G54</f>
        <v>-0.01</v>
      </c>
      <c r="H105" s="90">
        <f>-1*Assumptions!$C$65*Scaling!$G54</f>
        <v>-0.01</v>
      </c>
      <c r="I105" s="90">
        <f>-1*Assumptions!$C$64*Scaling!$G54</f>
        <v>-0.01</v>
      </c>
      <c r="J105" s="90">
        <f>-1*Assumptions!$C$64*Scaling!$G54</f>
        <v>-0.01</v>
      </c>
      <c r="K105" s="90">
        <f>-1*Assumptions!$C$64*Scaling!$G54</f>
        <v>-0.01</v>
      </c>
      <c r="L105" s="90">
        <f>-1*Assumptions!$C$64*Scaling!$G54</f>
        <v>-0.01</v>
      </c>
      <c r="M105" s="90">
        <f>-1*Assumptions!$C$64*Scaling!$G54</f>
        <v>-0.01</v>
      </c>
      <c r="N105" s="119">
        <f t="shared" si="2"/>
        <v>-7.0000000000000007E-2</v>
      </c>
    </row>
    <row r="106" spans="2:14" x14ac:dyDescent="0.5">
      <c r="B106" s="8" t="s">
        <v>129</v>
      </c>
      <c r="C106" s="29" t="s">
        <v>350</v>
      </c>
      <c r="D106" s="29" t="s">
        <v>103</v>
      </c>
      <c r="E106" s="51" t="s">
        <v>127</v>
      </c>
      <c r="F106" s="64"/>
      <c r="G106" s="90">
        <f>-1*Assumptions!$C$65*Scaling!$G55</f>
        <v>-0.01</v>
      </c>
      <c r="H106" s="90">
        <f>-1*Assumptions!$C$65*Scaling!$G55</f>
        <v>-0.01</v>
      </c>
      <c r="I106" s="90">
        <f>-1*Assumptions!$C$64*Scaling!$G55</f>
        <v>-0.01</v>
      </c>
      <c r="J106" s="90">
        <f>-1*Assumptions!$C$64*Scaling!$G55</f>
        <v>-0.01</v>
      </c>
      <c r="K106" s="90">
        <f>-1*Assumptions!$C$64*Scaling!$G55</f>
        <v>-0.01</v>
      </c>
      <c r="L106" s="90">
        <f>-1*Assumptions!$C$64*Scaling!$G55</f>
        <v>-0.01</v>
      </c>
      <c r="M106" s="90">
        <f>-1*Assumptions!$C$64*Scaling!$G55</f>
        <v>-0.01</v>
      </c>
      <c r="N106" s="119">
        <f t="shared" si="2"/>
        <v>-7.0000000000000007E-2</v>
      </c>
    </row>
    <row r="107" spans="2:14" x14ac:dyDescent="0.5">
      <c r="B107" s="8" t="s">
        <v>130</v>
      </c>
      <c r="C107" s="29" t="s">
        <v>350</v>
      </c>
      <c r="D107" s="29" t="s">
        <v>103</v>
      </c>
      <c r="E107" s="51" t="s">
        <v>127</v>
      </c>
      <c r="F107" s="64"/>
      <c r="G107" s="90">
        <f>-1*Assumptions!$C$65*Scaling!$G56</f>
        <v>-0.01</v>
      </c>
      <c r="H107" s="90">
        <f>-1*Assumptions!$C$65*Scaling!$G56</f>
        <v>-0.01</v>
      </c>
      <c r="I107" s="90">
        <f>-1*Assumptions!$C$64*Scaling!$G56</f>
        <v>-0.01</v>
      </c>
      <c r="J107" s="90">
        <f>-1*Assumptions!$C$64*Scaling!$G56</f>
        <v>-0.01</v>
      </c>
      <c r="K107" s="90">
        <f>-1*Assumptions!$C$64*Scaling!$G56</f>
        <v>-0.01</v>
      </c>
      <c r="L107" s="90">
        <f>-1*Assumptions!$C$64*Scaling!$G56</f>
        <v>-0.01</v>
      </c>
      <c r="M107" s="90">
        <f>-1*Assumptions!$C$64*Scaling!$G56</f>
        <v>-0.01</v>
      </c>
      <c r="N107" s="119">
        <f t="shared" si="2"/>
        <v>-7.0000000000000007E-2</v>
      </c>
    </row>
    <row r="108" spans="2:14" x14ac:dyDescent="0.5">
      <c r="B108" s="8" t="s">
        <v>131</v>
      </c>
      <c r="C108" s="29" t="s">
        <v>350</v>
      </c>
      <c r="D108" s="29" t="s">
        <v>103</v>
      </c>
      <c r="E108" s="51" t="s">
        <v>127</v>
      </c>
      <c r="F108" s="64"/>
      <c r="G108" s="90">
        <f>-1*Assumptions!$C$65*Scaling!$G57</f>
        <v>-0.01</v>
      </c>
      <c r="H108" s="90">
        <f>-1*Assumptions!$C$65*Scaling!$G57</f>
        <v>-0.01</v>
      </c>
      <c r="I108" s="90">
        <f>-1*Assumptions!$C$64*Scaling!$G57</f>
        <v>-0.01</v>
      </c>
      <c r="J108" s="90">
        <f>-1*Assumptions!$C$64*Scaling!$G57</f>
        <v>-0.01</v>
      </c>
      <c r="K108" s="90">
        <f>-1*Assumptions!$C$64*Scaling!$G57</f>
        <v>-0.01</v>
      </c>
      <c r="L108" s="90">
        <f>-1*Assumptions!$C$64*Scaling!$G57</f>
        <v>-0.01</v>
      </c>
      <c r="M108" s="90">
        <f>-1*Assumptions!$C$64*Scaling!$G57</f>
        <v>-0.01</v>
      </c>
      <c r="N108" s="119">
        <f t="shared" si="2"/>
        <v>-7.0000000000000007E-2</v>
      </c>
    </row>
    <row r="109" spans="2:14" x14ac:dyDescent="0.5">
      <c r="B109" s="8" t="s">
        <v>132</v>
      </c>
      <c r="C109" s="29" t="s">
        <v>350</v>
      </c>
      <c r="D109" s="29" t="s">
        <v>103</v>
      </c>
      <c r="E109" s="51" t="s">
        <v>127</v>
      </c>
      <c r="F109" s="64"/>
      <c r="G109" s="90">
        <f>-1*Assumptions!$C$65*Scaling!$G58</f>
        <v>-0.01</v>
      </c>
      <c r="H109" s="90">
        <f>-1*Assumptions!$C$65*Scaling!$G58</f>
        <v>-0.01</v>
      </c>
      <c r="I109" s="90">
        <f>-1*Assumptions!$C$64*Scaling!$G58</f>
        <v>-0.01</v>
      </c>
      <c r="J109" s="90">
        <f>-1*Assumptions!$C$64*Scaling!$G58</f>
        <v>-0.01</v>
      </c>
      <c r="K109" s="90">
        <f>-1*Assumptions!$C$64*Scaling!$G58</f>
        <v>-0.01</v>
      </c>
      <c r="L109" s="90">
        <f>-1*Assumptions!$C$64*Scaling!$G58</f>
        <v>-0.01</v>
      </c>
      <c r="M109" s="90">
        <f>-1*Assumptions!$C$64*Scaling!$G58</f>
        <v>-0.01</v>
      </c>
      <c r="N109" s="119">
        <f t="shared" si="2"/>
        <v>-7.0000000000000007E-2</v>
      </c>
    </row>
    <row r="110" spans="2:14" x14ac:dyDescent="0.5">
      <c r="B110" s="8" t="s">
        <v>133</v>
      </c>
      <c r="C110" s="29" t="s">
        <v>350</v>
      </c>
      <c r="D110" s="29" t="s">
        <v>103</v>
      </c>
      <c r="E110" s="51" t="s">
        <v>127</v>
      </c>
      <c r="F110" s="64"/>
      <c r="G110" s="90">
        <f>-1*Assumptions!$C$65*Scaling!$G59</f>
        <v>-0.01</v>
      </c>
      <c r="H110" s="90">
        <f>-1*Assumptions!$C$65*Scaling!$G59</f>
        <v>-0.01</v>
      </c>
      <c r="I110" s="90">
        <f>-1*Assumptions!$C$64*Scaling!$G59</f>
        <v>-0.01</v>
      </c>
      <c r="J110" s="90">
        <f>-1*Assumptions!$C$64*Scaling!$G59</f>
        <v>-0.01</v>
      </c>
      <c r="K110" s="90">
        <f>-1*Assumptions!$C$64*Scaling!$G59</f>
        <v>-0.01</v>
      </c>
      <c r="L110" s="90">
        <f>-1*Assumptions!$C$64*Scaling!$G59</f>
        <v>-0.01</v>
      </c>
      <c r="M110" s="90">
        <f>-1*Assumptions!$C$64*Scaling!$G59</f>
        <v>-0.01</v>
      </c>
      <c r="N110" s="119">
        <f t="shared" si="2"/>
        <v>-7.0000000000000007E-2</v>
      </c>
    </row>
    <row r="111" spans="2:14" x14ac:dyDescent="0.5">
      <c r="B111" s="8" t="s">
        <v>134</v>
      </c>
      <c r="C111" s="29" t="s">
        <v>350</v>
      </c>
      <c r="D111" s="29" t="s">
        <v>103</v>
      </c>
      <c r="E111" s="51" t="s">
        <v>127</v>
      </c>
      <c r="F111" s="64"/>
      <c r="G111" s="90">
        <f>-1*Assumptions!$C$65*Scaling!$G60</f>
        <v>-0.01</v>
      </c>
      <c r="H111" s="90">
        <f>-1*Assumptions!$C$65*Scaling!$G60</f>
        <v>-0.01</v>
      </c>
      <c r="I111" s="90">
        <f>-1*Assumptions!$C$64*Scaling!$G60</f>
        <v>-0.01</v>
      </c>
      <c r="J111" s="90">
        <f>-1*Assumptions!$C$64*Scaling!$G60</f>
        <v>-0.01</v>
      </c>
      <c r="K111" s="90">
        <f>-1*Assumptions!$C$64*Scaling!$G60</f>
        <v>-0.01</v>
      </c>
      <c r="L111" s="90">
        <f>-1*Assumptions!$C$64*Scaling!$G60</f>
        <v>-0.01</v>
      </c>
      <c r="M111" s="90">
        <f>-1*Assumptions!$C$64*Scaling!$G60</f>
        <v>-0.01</v>
      </c>
      <c r="N111" s="119">
        <f t="shared" si="2"/>
        <v>-7.0000000000000007E-2</v>
      </c>
    </row>
    <row r="112" spans="2:14" x14ac:dyDescent="0.5">
      <c r="B112" s="8" t="s">
        <v>135</v>
      </c>
      <c r="C112" s="29" t="s">
        <v>350</v>
      </c>
      <c r="D112" s="29" t="s">
        <v>103</v>
      </c>
      <c r="E112" s="51" t="s">
        <v>127</v>
      </c>
      <c r="F112" s="64"/>
      <c r="G112" s="90">
        <f>-1*Assumptions!$C$65*Scaling!$G61</f>
        <v>-0.01</v>
      </c>
      <c r="H112" s="90">
        <f>-1*Assumptions!$C$65*Scaling!$G61</f>
        <v>-0.01</v>
      </c>
      <c r="I112" s="90">
        <f>-1*Assumptions!$C$64*Scaling!$G61</f>
        <v>-0.01</v>
      </c>
      <c r="J112" s="90">
        <f>-1*Assumptions!$C$64*Scaling!$G61</f>
        <v>-0.01</v>
      </c>
      <c r="K112" s="90">
        <f>-1*Assumptions!$C$64*Scaling!$G61</f>
        <v>-0.01</v>
      </c>
      <c r="L112" s="90">
        <f>-1*Assumptions!$C$64*Scaling!$G61</f>
        <v>-0.01</v>
      </c>
      <c r="M112" s="90">
        <f>-1*Assumptions!$C$64*Scaling!$G61</f>
        <v>-0.01</v>
      </c>
      <c r="N112" s="119">
        <f t="shared" si="2"/>
        <v>-7.0000000000000007E-2</v>
      </c>
    </row>
    <row r="113" spans="1:14" x14ac:dyDescent="0.5">
      <c r="B113" s="8" t="s">
        <v>136</v>
      </c>
      <c r="C113" s="29" t="s">
        <v>350</v>
      </c>
      <c r="D113" s="29" t="s">
        <v>103</v>
      </c>
      <c r="E113" s="51" t="s">
        <v>127</v>
      </c>
      <c r="F113" s="64"/>
      <c r="G113" s="90">
        <f>-1*Assumptions!$C$65*Scaling!$G62</f>
        <v>-0.01</v>
      </c>
      <c r="H113" s="90">
        <f>-1*Assumptions!$C$65*Scaling!$G62</f>
        <v>-0.01</v>
      </c>
      <c r="I113" s="90">
        <f>-1*Assumptions!$C$64*Scaling!$G62</f>
        <v>-0.01</v>
      </c>
      <c r="J113" s="90">
        <f>-1*Assumptions!$C$64*Scaling!$G62</f>
        <v>-0.01</v>
      </c>
      <c r="K113" s="90">
        <f>-1*Assumptions!$C$64*Scaling!$G62</f>
        <v>-0.01</v>
      </c>
      <c r="L113" s="90">
        <f>-1*Assumptions!$C$64*Scaling!$G62</f>
        <v>-0.01</v>
      </c>
      <c r="M113" s="90">
        <f>-1*Assumptions!$C$64*Scaling!$G62</f>
        <v>-0.01</v>
      </c>
      <c r="N113" s="119">
        <f t="shared" si="2"/>
        <v>-7.0000000000000007E-2</v>
      </c>
    </row>
    <row r="114" spans="1:14" x14ac:dyDescent="0.5">
      <c r="B114" s="8" t="s">
        <v>137</v>
      </c>
      <c r="C114" s="29" t="s">
        <v>350</v>
      </c>
      <c r="D114" s="29" t="s">
        <v>103</v>
      </c>
      <c r="E114" s="51" t="s">
        <v>127</v>
      </c>
      <c r="F114" s="64"/>
      <c r="G114" s="90">
        <f>-1*Assumptions!$C$65*Scaling!$G63</f>
        <v>-0.01</v>
      </c>
      <c r="H114" s="90">
        <f>-1*Assumptions!$C$65*Scaling!$G63</f>
        <v>-0.01</v>
      </c>
      <c r="I114" s="90">
        <f>-1*Assumptions!$C$64*Scaling!$G63</f>
        <v>-0.01</v>
      </c>
      <c r="J114" s="90">
        <f>-1*Assumptions!$C$64*Scaling!$G63</f>
        <v>-0.01</v>
      </c>
      <c r="K114" s="90">
        <f>-1*Assumptions!$C$64*Scaling!$G63</f>
        <v>-0.01</v>
      </c>
      <c r="L114" s="90">
        <f>-1*Assumptions!$C$64*Scaling!$G63</f>
        <v>-0.01</v>
      </c>
      <c r="M114" s="90">
        <f>-1*Assumptions!$C$64*Scaling!$G63</f>
        <v>-0.01</v>
      </c>
      <c r="N114" s="119">
        <f t="shared" si="2"/>
        <v>-7.0000000000000007E-2</v>
      </c>
    </row>
    <row r="115" spans="1:14" x14ac:dyDescent="0.5">
      <c r="B115" s="8" t="s">
        <v>138</v>
      </c>
      <c r="C115" s="29" t="s">
        <v>350</v>
      </c>
      <c r="D115" s="29" t="s">
        <v>103</v>
      </c>
      <c r="E115" s="51" t="s">
        <v>127</v>
      </c>
      <c r="F115" s="64"/>
      <c r="G115" s="90">
        <f>-1*Assumptions!$C$65*Scaling!$G64</f>
        <v>-0.01</v>
      </c>
      <c r="H115" s="90">
        <f>-1*Assumptions!$C$65*Scaling!$G64</f>
        <v>-0.01</v>
      </c>
      <c r="I115" s="90">
        <f>-1*Assumptions!$C$64*Scaling!$G64</f>
        <v>-0.01</v>
      </c>
      <c r="J115" s="90">
        <f>-1*Assumptions!$C$64*Scaling!$G64</f>
        <v>-0.01</v>
      </c>
      <c r="K115" s="90">
        <f>-1*Assumptions!$C$64*Scaling!$G64</f>
        <v>-0.01</v>
      </c>
      <c r="L115" s="90">
        <f>-1*Assumptions!$C$64*Scaling!$G64</f>
        <v>-0.01</v>
      </c>
      <c r="M115" s="90">
        <f>-1*Assumptions!$C$64*Scaling!$G64</f>
        <v>-0.01</v>
      </c>
      <c r="N115" s="119">
        <f t="shared" si="2"/>
        <v>-7.0000000000000007E-2</v>
      </c>
    </row>
    <row r="116" spans="1:14" x14ac:dyDescent="0.5">
      <c r="B116" s="8" t="s">
        <v>139</v>
      </c>
      <c r="C116" s="29" t="s">
        <v>350</v>
      </c>
      <c r="D116" s="29" t="s">
        <v>103</v>
      </c>
      <c r="E116" s="51" t="s">
        <v>127</v>
      </c>
      <c r="F116" s="64"/>
      <c r="G116" s="90">
        <f>-1*Assumptions!$C$65*Scaling!$G65</f>
        <v>-0.01</v>
      </c>
      <c r="H116" s="90">
        <f>-1*Assumptions!$C$65*Scaling!$G65</f>
        <v>-0.01</v>
      </c>
      <c r="I116" s="90">
        <f>-1*Assumptions!$C$64*Scaling!$G65</f>
        <v>-0.01</v>
      </c>
      <c r="J116" s="90">
        <f>-1*Assumptions!$C$64*Scaling!$G65</f>
        <v>-0.01</v>
      </c>
      <c r="K116" s="90">
        <f>-1*Assumptions!$C$64*Scaling!$G65</f>
        <v>-0.01</v>
      </c>
      <c r="L116" s="90">
        <f>-1*Assumptions!$C$64*Scaling!$G65</f>
        <v>-0.01</v>
      </c>
      <c r="M116" s="90">
        <f>-1*Assumptions!$C$64*Scaling!$G65</f>
        <v>-0.01</v>
      </c>
      <c r="N116" s="119">
        <f t="shared" si="2"/>
        <v>-7.0000000000000007E-2</v>
      </c>
    </row>
    <row r="117" spans="1:14" x14ac:dyDescent="0.5">
      <c r="B117" s="8" t="s">
        <v>140</v>
      </c>
      <c r="C117" s="29" t="s">
        <v>350</v>
      </c>
      <c r="D117" s="29" t="s">
        <v>103</v>
      </c>
      <c r="E117" s="51" t="s">
        <v>127</v>
      </c>
      <c r="F117" s="64"/>
      <c r="G117" s="90">
        <f>-1*Assumptions!$C$65*Scaling!$G66</f>
        <v>-0.01</v>
      </c>
      <c r="H117" s="90">
        <f>-1*Assumptions!$C$65*Scaling!$G66</f>
        <v>-0.01</v>
      </c>
      <c r="I117" s="90">
        <f>-1*Assumptions!$C$64*Scaling!$G66</f>
        <v>-0.01</v>
      </c>
      <c r="J117" s="90">
        <f>-1*Assumptions!$C$64*Scaling!$G66</f>
        <v>-0.01</v>
      </c>
      <c r="K117" s="90">
        <f>-1*Assumptions!$C$64*Scaling!$G66</f>
        <v>-0.01</v>
      </c>
      <c r="L117" s="90">
        <f>-1*Assumptions!$C$64*Scaling!$G66</f>
        <v>-0.01</v>
      </c>
      <c r="M117" s="90">
        <f>-1*Assumptions!$C$64*Scaling!$G66</f>
        <v>-0.01</v>
      </c>
      <c r="N117" s="119">
        <f t="shared" si="2"/>
        <v>-7.0000000000000007E-2</v>
      </c>
    </row>
    <row r="118" spans="1:14" x14ac:dyDescent="0.5">
      <c r="B118" s="8" t="s">
        <v>141</v>
      </c>
      <c r="C118" s="29" t="s">
        <v>350</v>
      </c>
      <c r="D118" s="29" t="s">
        <v>103</v>
      </c>
      <c r="E118" s="51" t="s">
        <v>127</v>
      </c>
      <c r="F118" s="64"/>
      <c r="G118" s="90">
        <f>-1*Assumptions!$C$65*Scaling!$G67</f>
        <v>-0.01</v>
      </c>
      <c r="H118" s="90">
        <f>-1*Assumptions!$C$65*Scaling!$G67</f>
        <v>-0.01</v>
      </c>
      <c r="I118" s="90">
        <f>-1*Assumptions!$C$64*Scaling!$G67</f>
        <v>-0.01</v>
      </c>
      <c r="J118" s="90">
        <f>-1*Assumptions!$C$64*Scaling!$G67</f>
        <v>-0.01</v>
      </c>
      <c r="K118" s="90">
        <f>-1*Assumptions!$C$64*Scaling!$G67</f>
        <v>-0.01</v>
      </c>
      <c r="L118" s="90">
        <f>-1*Assumptions!$C$64*Scaling!$G67</f>
        <v>-0.01</v>
      </c>
      <c r="M118" s="90">
        <f>-1*Assumptions!$C$64*Scaling!$G67</f>
        <v>-0.01</v>
      </c>
      <c r="N118" s="119">
        <f t="shared" si="2"/>
        <v>-7.0000000000000007E-2</v>
      </c>
    </row>
    <row r="119" spans="1:14" x14ac:dyDescent="0.5">
      <c r="B119" s="8" t="s">
        <v>142</v>
      </c>
      <c r="C119" s="29" t="s">
        <v>350</v>
      </c>
      <c r="D119" s="29" t="s">
        <v>103</v>
      </c>
      <c r="E119" s="51" t="s">
        <v>127</v>
      </c>
      <c r="F119" s="64"/>
      <c r="G119" s="90">
        <f>-1*Assumptions!$C$65*Scaling!$G68</f>
        <v>-0.01</v>
      </c>
      <c r="H119" s="90">
        <f>-1*Assumptions!$C$65*Scaling!$G68</f>
        <v>-0.01</v>
      </c>
      <c r="I119" s="90">
        <f>-1*Assumptions!$C$64*Scaling!$G68</f>
        <v>-0.01</v>
      </c>
      <c r="J119" s="90">
        <f>-1*Assumptions!$C$64*Scaling!$G68</f>
        <v>-0.01</v>
      </c>
      <c r="K119" s="90">
        <f>-1*Assumptions!$C$64*Scaling!$G68</f>
        <v>-0.01</v>
      </c>
      <c r="L119" s="90">
        <f>-1*Assumptions!$C$64*Scaling!$G68</f>
        <v>-0.01</v>
      </c>
      <c r="M119" s="90">
        <f>-1*Assumptions!$C$64*Scaling!$G68</f>
        <v>-0.01</v>
      </c>
      <c r="N119" s="119">
        <f t="shared" si="2"/>
        <v>-7.0000000000000007E-2</v>
      </c>
    </row>
    <row r="121" spans="1:14" ht="19" thickBot="1" x14ac:dyDescent="0.55000000000000004">
      <c r="A121" s="14" t="s">
        <v>389</v>
      </c>
    </row>
    <row r="122" spans="1:14" ht="19" thickTop="1" x14ac:dyDescent="0.5">
      <c r="A122" s="23"/>
    </row>
    <row r="123" spans="1:14" ht="17" thickBot="1" x14ac:dyDescent="0.55000000000000004">
      <c r="B123" s="27" t="s">
        <v>302</v>
      </c>
      <c r="C123" s="27" t="s">
        <v>96</v>
      </c>
      <c r="D123" s="27" t="s">
        <v>97</v>
      </c>
      <c r="E123" s="50" t="s">
        <v>98</v>
      </c>
      <c r="F123" s="12">
        <v>2024</v>
      </c>
      <c r="G123" s="12">
        <v>2025</v>
      </c>
      <c r="H123" s="12">
        <v>2026</v>
      </c>
      <c r="I123" s="12">
        <v>2027</v>
      </c>
      <c r="J123" s="12">
        <v>2028</v>
      </c>
      <c r="K123" s="12">
        <v>2029</v>
      </c>
      <c r="L123" s="12">
        <v>2030</v>
      </c>
      <c r="M123" s="12">
        <v>2031</v>
      </c>
      <c r="N123" s="12" t="s">
        <v>57</v>
      </c>
    </row>
    <row r="124" spans="1:14" x14ac:dyDescent="0.5">
      <c r="B124" s="8" t="s">
        <v>192</v>
      </c>
      <c r="C124" s="29" t="s">
        <v>102</v>
      </c>
      <c r="D124" s="8"/>
      <c r="E124" s="8"/>
      <c r="F124" s="64"/>
      <c r="G124" s="98">
        <f>Overlays!F14</f>
        <v>0</v>
      </c>
      <c r="H124" s="98">
        <f>Overlays!G14</f>
        <v>0</v>
      </c>
      <c r="I124" s="98">
        <f>Overlays!H14</f>
        <v>7.5450657348082402</v>
      </c>
      <c r="J124" s="98">
        <f>Overlays!I14</f>
        <v>8.118300254097667</v>
      </c>
      <c r="K124" s="98">
        <f>Overlays!J14</f>
        <v>8.118300254097667</v>
      </c>
      <c r="L124" s="98">
        <f>Overlays!K14</f>
        <v>3.1596573447640015</v>
      </c>
      <c r="M124" s="98">
        <f>Overlays!L14</f>
        <v>3.1596573447640015</v>
      </c>
      <c r="N124" s="153">
        <f>SUM(G124:M124)</f>
        <v>30.100980932531577</v>
      </c>
    </row>
    <row r="126" spans="1:14" ht="19" thickBot="1" x14ac:dyDescent="0.55000000000000004">
      <c r="A126" s="14" t="s">
        <v>390</v>
      </c>
    </row>
    <row r="127" spans="1:14" ht="19" thickTop="1" x14ac:dyDescent="0.5">
      <c r="A127" s="23"/>
    </row>
    <row r="128" spans="1:14" ht="17" thickBot="1" x14ac:dyDescent="0.55000000000000004">
      <c r="B128" s="27" t="s">
        <v>302</v>
      </c>
      <c r="C128" s="27" t="s">
        <v>96</v>
      </c>
      <c r="D128" s="27" t="s">
        <v>97</v>
      </c>
      <c r="E128" s="50" t="s">
        <v>98</v>
      </c>
      <c r="F128" s="12">
        <v>2024</v>
      </c>
      <c r="G128" s="12">
        <v>2025</v>
      </c>
      <c r="H128" s="12">
        <v>2026</v>
      </c>
      <c r="I128" s="12">
        <v>2027</v>
      </c>
      <c r="J128" s="12">
        <v>2028</v>
      </c>
      <c r="K128" s="12">
        <v>2029</v>
      </c>
      <c r="L128" s="12">
        <v>2030</v>
      </c>
      <c r="M128" s="12">
        <v>2031</v>
      </c>
    </row>
    <row r="129" spans="1:14" x14ac:dyDescent="0.5">
      <c r="B129" s="8" t="s">
        <v>101</v>
      </c>
      <c r="C129" s="29" t="s">
        <v>102</v>
      </c>
      <c r="D129" s="29" t="s">
        <v>103</v>
      </c>
      <c r="E129" s="51" t="s">
        <v>104</v>
      </c>
      <c r="F129" s="98">
        <f>Baseline!H22</f>
        <v>173.62</v>
      </c>
      <c r="G129" s="98">
        <f>F129*(1+G7)*(1+G46)*(1+G85)</f>
        <v>175.06755313372508</v>
      </c>
      <c r="H129" s="98">
        <f t="shared" ref="H129:M129" si="3">G129*(1+H7)*(1+H46)*(1+H85)</f>
        <v>175.41950938387416</v>
      </c>
      <c r="I129" s="98">
        <f t="shared" si="3"/>
        <v>174.2757039808879</v>
      </c>
      <c r="J129" s="98">
        <f t="shared" si="3"/>
        <v>173.15905893328392</v>
      </c>
      <c r="K129" s="98">
        <f t="shared" si="3"/>
        <v>172.27428985712254</v>
      </c>
      <c r="L129" s="98">
        <f t="shared" si="3"/>
        <v>171.62963726596766</v>
      </c>
      <c r="M129" s="98">
        <f t="shared" si="3"/>
        <v>170.90465664698408</v>
      </c>
    </row>
    <row r="130" spans="1:14" x14ac:dyDescent="0.5">
      <c r="B130" s="8" t="s">
        <v>105</v>
      </c>
      <c r="C130" s="29" t="s">
        <v>102</v>
      </c>
      <c r="D130" s="29" t="s">
        <v>103</v>
      </c>
      <c r="E130" s="51" t="s">
        <v>104</v>
      </c>
      <c r="F130" s="98">
        <f>Baseline!H23</f>
        <v>25.84083912086221</v>
      </c>
      <c r="G130" s="98">
        <f t="shared" ref="G130:M130" si="4">F130*(1+G8)*(1+G47)*(1+G86)</f>
        <v>26.056286578801906</v>
      </c>
      <c r="H130" s="98">
        <f t="shared" si="4"/>
        <v>26.108670203025408</v>
      </c>
      <c r="I130" s="98">
        <f t="shared" si="4"/>
        <v>25.938431224773247</v>
      </c>
      <c r="J130" s="98">
        <f t="shared" si="4"/>
        <v>25.772234674662418</v>
      </c>
      <c r="K130" s="98">
        <f t="shared" si="4"/>
        <v>25.640549526890268</v>
      </c>
      <c r="L130" s="98">
        <f t="shared" si="4"/>
        <v>25.544602263344139</v>
      </c>
      <c r="M130" s="98">
        <f t="shared" si="4"/>
        <v>25.436699328538833</v>
      </c>
    </row>
    <row r="131" spans="1:14" x14ac:dyDescent="0.5">
      <c r="B131" s="8" t="s">
        <v>106</v>
      </c>
      <c r="C131" s="29" t="s">
        <v>102</v>
      </c>
      <c r="D131" s="29" t="s">
        <v>103</v>
      </c>
      <c r="E131" s="51" t="s">
        <v>104</v>
      </c>
      <c r="F131" s="98">
        <f>Baseline!H24</f>
        <v>20.355502456178893</v>
      </c>
      <c r="G131" s="98">
        <f t="shared" ref="G131:M131" si="5">F131*(1+G9)*(1+G48)*(1+G87)</f>
        <v>20.525216033929098</v>
      </c>
      <c r="H131" s="98">
        <f t="shared" si="5"/>
        <v>20.566479979985875</v>
      </c>
      <c r="I131" s="98">
        <f t="shared" si="5"/>
        <v>20.4323782999382</v>
      </c>
      <c r="J131" s="98">
        <f t="shared" si="5"/>
        <v>20.301460945893837</v>
      </c>
      <c r="K131" s="98">
        <f t="shared" si="5"/>
        <v>20.197729122930156</v>
      </c>
      <c r="L131" s="98">
        <f t="shared" si="5"/>
        <v>20.122148962795183</v>
      </c>
      <c r="M131" s="98">
        <f t="shared" si="5"/>
        <v>20.037151008812909</v>
      </c>
    </row>
    <row r="132" spans="1:14" x14ac:dyDescent="0.5">
      <c r="B132" s="8" t="s">
        <v>107</v>
      </c>
      <c r="C132" s="29" t="s">
        <v>102</v>
      </c>
      <c r="D132" s="29" t="s">
        <v>103</v>
      </c>
      <c r="E132" s="51" t="s">
        <v>104</v>
      </c>
      <c r="F132" s="98">
        <f>Baseline!H25</f>
        <v>55.434541222423192</v>
      </c>
      <c r="G132" s="98">
        <f t="shared" ref="G132:M132" si="6">F132*(1+G10)*(1+G49)*(1+G88)</f>
        <v>55.896725555236983</v>
      </c>
      <c r="H132" s="98">
        <f t="shared" si="6"/>
        <v>56.009100473203688</v>
      </c>
      <c r="I132" s="98">
        <f t="shared" si="6"/>
        <v>55.643898723622584</v>
      </c>
      <c r="J132" s="98">
        <f t="shared" si="6"/>
        <v>55.287368911836978</v>
      </c>
      <c r="K132" s="98">
        <f t="shared" si="6"/>
        <v>55.004873992906013</v>
      </c>
      <c r="L132" s="98">
        <f t="shared" si="6"/>
        <v>54.799045052469914</v>
      </c>
      <c r="M132" s="98">
        <f t="shared" si="6"/>
        <v>54.567568448343074</v>
      </c>
    </row>
    <row r="133" spans="1:14" x14ac:dyDescent="0.5">
      <c r="B133" s="8" t="s">
        <v>108</v>
      </c>
      <c r="C133" s="29" t="s">
        <v>102</v>
      </c>
      <c r="D133" s="29" t="s">
        <v>103</v>
      </c>
      <c r="E133" s="51" t="s">
        <v>104</v>
      </c>
      <c r="F133" s="98">
        <f>Baseline!H26</f>
        <v>21.239117200535723</v>
      </c>
      <c r="G133" s="98">
        <f t="shared" ref="G133:M133" si="7">F133*(1+G11)*(1+G50)*(1+G89)</f>
        <v>21.416197897812481</v>
      </c>
      <c r="H133" s="98">
        <f t="shared" si="7"/>
        <v>21.459253076054491</v>
      </c>
      <c r="I133" s="98">
        <f t="shared" si="7"/>
        <v>21.319330158138175</v>
      </c>
      <c r="J133" s="98">
        <f t="shared" si="7"/>
        <v>21.182729795061004</v>
      </c>
      <c r="K133" s="98">
        <f t="shared" si="7"/>
        <v>21.074495063440217</v>
      </c>
      <c r="L133" s="98">
        <f t="shared" si="7"/>
        <v>20.995634033966844</v>
      </c>
      <c r="M133" s="98">
        <f t="shared" si="7"/>
        <v>20.906946392366169</v>
      </c>
    </row>
    <row r="134" spans="1:14" x14ac:dyDescent="0.5">
      <c r="A134" s="119"/>
      <c r="B134" s="8" t="s">
        <v>109</v>
      </c>
      <c r="C134" s="29" t="s">
        <v>102</v>
      </c>
      <c r="D134" s="29" t="s">
        <v>103</v>
      </c>
      <c r="E134" s="51" t="s">
        <v>104</v>
      </c>
      <c r="F134" s="98">
        <f>Baseline!H27</f>
        <v>149.02000000000001</v>
      </c>
      <c r="G134" s="98">
        <f t="shared" ref="G134:M134" si="8">F134*(1+G12)*(1+G51)*(1+G90)</f>
        <v>150.26245114611055</v>
      </c>
      <c r="H134" s="98">
        <f t="shared" si="8"/>
        <v>150.56453915669238</v>
      </c>
      <c r="I134" s="98">
        <f t="shared" si="8"/>
        <v>149.5827981063928</v>
      </c>
      <c r="J134" s="98">
        <f t="shared" si="8"/>
        <v>148.62436909479308</v>
      </c>
      <c r="K134" s="98">
        <f t="shared" si="8"/>
        <v>147.86496183912226</v>
      </c>
      <c r="L134" s="98">
        <f t="shared" si="8"/>
        <v>147.31164926491482</v>
      </c>
      <c r="M134" s="98">
        <f t="shared" si="8"/>
        <v>146.68939024037314</v>
      </c>
    </row>
    <row r="135" spans="1:14" x14ac:dyDescent="0.5">
      <c r="B135" s="8" t="s">
        <v>110</v>
      </c>
      <c r="C135" s="29" t="s">
        <v>102</v>
      </c>
      <c r="D135" s="29" t="s">
        <v>103</v>
      </c>
      <c r="E135" s="51" t="s">
        <v>104</v>
      </c>
      <c r="F135" s="98">
        <f>Baseline!H28</f>
        <v>0</v>
      </c>
      <c r="G135" s="98">
        <f t="shared" ref="G135:M135" si="9">F135*(1+G13)*(1+G52)*(1+G91)</f>
        <v>0</v>
      </c>
      <c r="H135" s="98">
        <f t="shared" si="9"/>
        <v>0</v>
      </c>
      <c r="I135" s="98">
        <f t="shared" si="9"/>
        <v>0</v>
      </c>
      <c r="J135" s="98">
        <f t="shared" si="9"/>
        <v>0</v>
      </c>
      <c r="K135" s="98">
        <f t="shared" si="9"/>
        <v>0</v>
      </c>
      <c r="L135" s="98">
        <f t="shared" si="9"/>
        <v>0</v>
      </c>
      <c r="M135" s="98">
        <f t="shared" si="9"/>
        <v>0</v>
      </c>
    </row>
    <row r="136" spans="1:14" x14ac:dyDescent="0.5">
      <c r="B136" s="8" t="s">
        <v>111</v>
      </c>
      <c r="C136" s="29" t="s">
        <v>102</v>
      </c>
      <c r="D136" s="29" t="s">
        <v>103</v>
      </c>
      <c r="E136" s="51" t="s">
        <v>112</v>
      </c>
      <c r="F136" s="98">
        <f>Baseline!H29</f>
        <v>83.700355058898367</v>
      </c>
      <c r="G136" s="98">
        <f t="shared" ref="G136:M136" si="10">F136*(1+G14)*(1+G53)*(1+G92)</f>
        <v>83.0831731240458</v>
      </c>
      <c r="H136" s="98">
        <f t="shared" si="10"/>
        <v>82.361163654900452</v>
      </c>
      <c r="I136" s="98">
        <f t="shared" si="10"/>
        <v>81.567740226290624</v>
      </c>
      <c r="J136" s="98">
        <f t="shared" si="10"/>
        <v>80.759823358531804</v>
      </c>
      <c r="K136" s="98">
        <f t="shared" si="10"/>
        <v>79.973197984237004</v>
      </c>
      <c r="L136" s="98">
        <f t="shared" si="10"/>
        <v>79.213176645799209</v>
      </c>
      <c r="M136" s="98">
        <f t="shared" si="10"/>
        <v>78.460378132625877</v>
      </c>
      <c r="N136" s="119"/>
    </row>
    <row r="137" spans="1:14" x14ac:dyDescent="0.5">
      <c r="B137" s="8" t="s">
        <v>113</v>
      </c>
      <c r="C137" s="29" t="s">
        <v>102</v>
      </c>
      <c r="D137" s="29" t="s">
        <v>103</v>
      </c>
      <c r="E137" s="51" t="s">
        <v>112</v>
      </c>
      <c r="F137" s="98">
        <f>Baseline!H30</f>
        <v>78.455537278967029</v>
      </c>
      <c r="G137" s="98">
        <f t="shared" ref="G137:M137" si="11">F137*(1+G15)*(1+G54)*(1+G93)</f>
        <v>77.877029096251945</v>
      </c>
      <c r="H137" s="98">
        <f t="shared" si="11"/>
        <v>77.200262064828479</v>
      </c>
      <c r="I137" s="98">
        <f t="shared" si="11"/>
        <v>76.456556003635541</v>
      </c>
      <c r="J137" s="98">
        <f t="shared" si="11"/>
        <v>75.699264688776069</v>
      </c>
      <c r="K137" s="98">
        <f t="shared" si="11"/>
        <v>74.961930703345075</v>
      </c>
      <c r="L137" s="98">
        <f t="shared" si="11"/>
        <v>74.249533696084384</v>
      </c>
      <c r="M137" s="98">
        <f t="shared" si="11"/>
        <v>73.543906918608229</v>
      </c>
    </row>
    <row r="138" spans="1:14" x14ac:dyDescent="0.5">
      <c r="B138" s="8" t="s">
        <v>114</v>
      </c>
      <c r="C138" s="29" t="s">
        <v>102</v>
      </c>
      <c r="D138" s="29" t="s">
        <v>103</v>
      </c>
      <c r="E138" s="51" t="s">
        <v>112</v>
      </c>
      <c r="F138" s="98">
        <f>Baseline!H31</f>
        <v>21.555553855777173</v>
      </c>
      <c r="G138" s="98">
        <f t="shared" ref="G138:M138" si="12">F138*(1+G16)*(1+G55)*(1+G94)</f>
        <v>21.396609506901168</v>
      </c>
      <c r="H138" s="98">
        <f t="shared" si="12"/>
        <v>21.210668670860603</v>
      </c>
      <c r="I138" s="98">
        <f t="shared" si="12"/>
        <v>21.006336425987808</v>
      </c>
      <c r="J138" s="98">
        <f t="shared" si="12"/>
        <v>20.798271650853803</v>
      </c>
      <c r="K138" s="98">
        <f t="shared" si="12"/>
        <v>20.595690125267673</v>
      </c>
      <c r="L138" s="98">
        <f t="shared" si="12"/>
        <v>20.399960001056044</v>
      </c>
      <c r="M138" s="98">
        <f t="shared" si="12"/>
        <v>20.206089988415862</v>
      </c>
    </row>
    <row r="139" spans="1:14" x14ac:dyDescent="0.5">
      <c r="B139" s="8" t="s">
        <v>115</v>
      </c>
      <c r="C139" s="29" t="s">
        <v>102</v>
      </c>
      <c r="D139" s="29" t="s">
        <v>103</v>
      </c>
      <c r="E139" s="51" t="s">
        <v>112</v>
      </c>
      <c r="F139" s="98">
        <f>Baseline!H32</f>
        <v>51.708553806357429</v>
      </c>
      <c r="G139" s="98">
        <f t="shared" ref="G139:M139" si="13">F139*(1+G17)*(1+G56)*(1+G95)</f>
        <v>51.191468268293853</v>
      </c>
      <c r="H139" s="98">
        <f t="shared" si="13"/>
        <v>50.679553585610911</v>
      </c>
      <c r="I139" s="98">
        <f t="shared" si="13"/>
        <v>50.172758049754805</v>
      </c>
      <c r="J139" s="98">
        <f t="shared" si="13"/>
        <v>49.671030469257254</v>
      </c>
      <c r="K139" s="98">
        <f t="shared" si="13"/>
        <v>49.174320164564683</v>
      </c>
      <c r="L139" s="98">
        <f t="shared" si="13"/>
        <v>48.682576962919036</v>
      </c>
      <c r="M139" s="98">
        <f t="shared" si="13"/>
        <v>48.195751193289844</v>
      </c>
    </row>
    <row r="140" spans="1:14" x14ac:dyDescent="0.5">
      <c r="B140" s="8" t="s">
        <v>116</v>
      </c>
      <c r="C140" s="29" t="s">
        <v>102</v>
      </c>
      <c r="D140" s="29" t="s">
        <v>103</v>
      </c>
      <c r="E140" s="51" t="s">
        <v>117</v>
      </c>
      <c r="F140" s="64"/>
      <c r="G140" s="201"/>
      <c r="H140" s="201"/>
      <c r="I140" s="201"/>
      <c r="J140" s="201"/>
      <c r="K140" s="201"/>
      <c r="L140" s="201"/>
      <c r="M140" s="201"/>
    </row>
    <row r="141" spans="1:14" x14ac:dyDescent="0.5">
      <c r="B141" s="8" t="s">
        <v>118</v>
      </c>
      <c r="C141" s="29" t="s">
        <v>102</v>
      </c>
      <c r="D141" s="29" t="s">
        <v>103</v>
      </c>
      <c r="E141" s="51" t="s">
        <v>119</v>
      </c>
      <c r="F141" s="98">
        <f>Baseline!H34</f>
        <v>89.82459649628116</v>
      </c>
      <c r="G141" s="98">
        <f t="shared" ref="G141:M141" si="14">F141*(1+G19)*(1+G58)*(1+G97)</f>
        <v>89.996241767223552</v>
      </c>
      <c r="H141" s="98">
        <f t="shared" si="14"/>
        <v>90.341027006790995</v>
      </c>
      <c r="I141" s="98">
        <f t="shared" si="14"/>
        <v>90.449255079547669</v>
      </c>
      <c r="J141" s="98">
        <f t="shared" si="14"/>
        <v>90.722997810821141</v>
      </c>
      <c r="K141" s="98">
        <f t="shared" si="14"/>
        <v>91.021924485555559</v>
      </c>
      <c r="L141" s="98">
        <f t="shared" si="14"/>
        <v>91.311052016905322</v>
      </c>
      <c r="M141" s="98">
        <f t="shared" si="14"/>
        <v>91.556772433737862</v>
      </c>
    </row>
    <row r="142" spans="1:14" x14ac:dyDescent="0.5">
      <c r="B142" s="8" t="s">
        <v>120</v>
      </c>
      <c r="C142" s="29" t="s">
        <v>102</v>
      </c>
      <c r="D142" s="29" t="s">
        <v>103</v>
      </c>
      <c r="E142" s="51" t="s">
        <v>119</v>
      </c>
      <c r="F142" s="98">
        <f>Baseline!H35</f>
        <v>5.1096001064851384</v>
      </c>
      <c r="G142" s="98">
        <f t="shared" ref="G142:M142" si="15">F142*(1+G20)*(1+G59)*(1+G98)</f>
        <v>5.1193640100137365</v>
      </c>
      <c r="H142" s="98">
        <f t="shared" si="15"/>
        <v>5.1389768417494324</v>
      </c>
      <c r="I142" s="98">
        <f t="shared" si="15"/>
        <v>5.1451333088381004</v>
      </c>
      <c r="J142" s="98">
        <f t="shared" si="15"/>
        <v>5.1607049444860538</v>
      </c>
      <c r="K142" s="98">
        <f t="shared" si="15"/>
        <v>5.1777091485530038</v>
      </c>
      <c r="L142" s="98">
        <f t="shared" si="15"/>
        <v>5.1941559362102545</v>
      </c>
      <c r="M142" s="98">
        <f t="shared" si="15"/>
        <v>5.2081335449832045</v>
      </c>
    </row>
    <row r="143" spans="1:14" x14ac:dyDescent="0.5">
      <c r="B143" s="8" t="s">
        <v>121</v>
      </c>
      <c r="C143" s="29" t="s">
        <v>102</v>
      </c>
      <c r="D143" s="29" t="s">
        <v>103</v>
      </c>
      <c r="E143" s="51" t="s">
        <v>119</v>
      </c>
      <c r="F143" s="98">
        <f>Baseline!H36</f>
        <v>5.4366067539086433</v>
      </c>
      <c r="G143" s="98">
        <f t="shared" ref="G143:M143" si="16">F143*(1+G21)*(1+G60)*(1+G99)</f>
        <v>5.4469955324356985</v>
      </c>
      <c r="H143" s="98">
        <f t="shared" si="16"/>
        <v>5.4678635556186128</v>
      </c>
      <c r="I143" s="98">
        <f t="shared" si="16"/>
        <v>5.4744140272518012</v>
      </c>
      <c r="J143" s="98">
        <f t="shared" si="16"/>
        <v>5.4909822239342807</v>
      </c>
      <c r="K143" s="98">
        <f t="shared" si="16"/>
        <v>5.5090746712390883</v>
      </c>
      <c r="L143" s="98">
        <f t="shared" si="16"/>
        <v>5.5265740283304625</v>
      </c>
      <c r="M143" s="98">
        <f t="shared" si="16"/>
        <v>5.5414461828386141</v>
      </c>
    </row>
    <row r="144" spans="1:14" x14ac:dyDescent="0.5">
      <c r="B144" s="8" t="s">
        <v>122</v>
      </c>
      <c r="C144" s="29" t="s">
        <v>102</v>
      </c>
      <c r="D144" s="29" t="s">
        <v>103</v>
      </c>
      <c r="E144" s="51" t="s">
        <v>119</v>
      </c>
      <c r="F144" s="98">
        <f>Baseline!H37</f>
        <v>5.465301060181778</v>
      </c>
      <c r="G144" s="98">
        <f t="shared" ref="G144:M144" si="17">F144*(1+G22)*(1+G61)*(1+G100)</f>
        <v>5.4757446704828334</v>
      </c>
      <c r="H144" s="98">
        <f t="shared" si="17"/>
        <v>5.4967228346922434</v>
      </c>
      <c r="I144" s="98">
        <f t="shared" si="17"/>
        <v>5.5033078795891948</v>
      </c>
      <c r="J144" s="98">
        <f t="shared" si="17"/>
        <v>5.5199635228962922</v>
      </c>
      <c r="K144" s="98">
        <f t="shared" si="17"/>
        <v>5.538151461791295</v>
      </c>
      <c r="L144" s="98">
        <f t="shared" si="17"/>
        <v>5.5557431801540824</v>
      </c>
      <c r="M144" s="98">
        <f t="shared" si="17"/>
        <v>5.5706938296087536</v>
      </c>
    </row>
    <row r="145" spans="2:35" x14ac:dyDescent="0.5">
      <c r="B145" s="8" t="s">
        <v>123</v>
      </c>
      <c r="C145" s="29" t="s">
        <v>102</v>
      </c>
      <c r="D145" s="29" t="s">
        <v>103</v>
      </c>
      <c r="E145" s="51" t="s">
        <v>119</v>
      </c>
      <c r="F145" s="98">
        <f>Baseline!H38</f>
        <v>3.5738955831432722</v>
      </c>
      <c r="G145" s="98">
        <f t="shared" ref="G145:M145" si="18">F145*(1+G23)*(1+G62)*(1+G101)</f>
        <v>3.5807249183099921</v>
      </c>
      <c r="H145" s="98">
        <f t="shared" si="18"/>
        <v>3.5944430589183285</v>
      </c>
      <c r="I145" s="98">
        <f t="shared" si="18"/>
        <v>3.5987491827005069</v>
      </c>
      <c r="J145" s="98">
        <f t="shared" si="18"/>
        <v>3.6096407199450562</v>
      </c>
      <c r="K145" s="98">
        <f t="shared" si="18"/>
        <v>3.6215342631858687</v>
      </c>
      <c r="L145" s="98">
        <f t="shared" si="18"/>
        <v>3.6330379230692595</v>
      </c>
      <c r="M145" s="98">
        <f t="shared" si="18"/>
        <v>3.6428145226495574</v>
      </c>
    </row>
    <row r="146" spans="2:35" x14ac:dyDescent="0.5">
      <c r="B146" s="8" t="s">
        <v>124</v>
      </c>
      <c r="C146" s="29" t="s">
        <v>102</v>
      </c>
      <c r="D146" s="29" t="s">
        <v>103</v>
      </c>
      <c r="E146" s="51" t="s">
        <v>124</v>
      </c>
      <c r="F146" s="98">
        <f>Baseline!H39</f>
        <v>33.119999999999997</v>
      </c>
      <c r="G146" s="98">
        <f t="shared" ref="G146:M146" si="19">F146*(1+G24)*(1+G63)*(1+G102)</f>
        <v>33.399790064839365</v>
      </c>
      <c r="H146" s="98">
        <f t="shared" si="19"/>
        <v>33.801085904569277</v>
      </c>
      <c r="I146" s="98">
        <f t="shared" si="19"/>
        <v>34.169868364924135</v>
      </c>
      <c r="J146" s="98">
        <f t="shared" si="19"/>
        <v>34.449484646929392</v>
      </c>
      <c r="K146" s="98">
        <f t="shared" si="19"/>
        <v>34.742141863007546</v>
      </c>
      <c r="L146" s="98">
        <f t="shared" si="19"/>
        <v>34.846978671986669</v>
      </c>
      <c r="M146" s="98">
        <f t="shared" si="19"/>
        <v>34.952131833266705</v>
      </c>
    </row>
    <row r="147" spans="2:35" x14ac:dyDescent="0.5">
      <c r="B147" s="8" t="s">
        <v>125</v>
      </c>
      <c r="C147" s="29" t="s">
        <v>102</v>
      </c>
      <c r="D147" s="29" t="s">
        <v>103</v>
      </c>
      <c r="E147" s="51" t="s">
        <v>125</v>
      </c>
      <c r="F147" s="98">
        <f>Baseline!H40</f>
        <v>25.64</v>
      </c>
      <c r="G147" s="98">
        <f t="shared" ref="G147:M147" si="20">F147*(1+G25)*(1+G64)*(1+G103)</f>
        <v>25.383600000000001</v>
      </c>
      <c r="H147" s="98">
        <f t="shared" si="20"/>
        <v>25.129764000000002</v>
      </c>
      <c r="I147" s="98">
        <f t="shared" si="20"/>
        <v>24.878466360000001</v>
      </c>
      <c r="J147" s="98">
        <f t="shared" si="20"/>
        <v>24.629681696400002</v>
      </c>
      <c r="K147" s="98">
        <f t="shared" si="20"/>
        <v>24.383384879436001</v>
      </c>
      <c r="L147" s="98">
        <f t="shared" si="20"/>
        <v>24.139551030641641</v>
      </c>
      <c r="M147" s="98">
        <f t="shared" si="20"/>
        <v>23.898155520335223</v>
      </c>
    </row>
    <row r="148" spans="2:35" x14ac:dyDescent="0.5">
      <c r="B148" s="8" t="s">
        <v>126</v>
      </c>
      <c r="C148" s="29" t="s">
        <v>102</v>
      </c>
      <c r="D148" s="29" t="s">
        <v>103</v>
      </c>
      <c r="E148" s="51" t="s">
        <v>127</v>
      </c>
      <c r="F148" s="98">
        <f>Baseline!H41</f>
        <v>46.830990901617803</v>
      </c>
      <c r="G148" s="98">
        <f t="shared" ref="G148:M148" si="21">F148*(1+G26)*(1+G65)*(1+G104)</f>
        <v>46.436509461742226</v>
      </c>
      <c r="H148" s="98">
        <f t="shared" si="21"/>
        <v>46.118914540502757</v>
      </c>
      <c r="I148" s="98">
        <f t="shared" si="21"/>
        <v>45.703306823138483</v>
      </c>
      <c r="J148" s="98">
        <f t="shared" si="21"/>
        <v>45.360387819442721</v>
      </c>
      <c r="K148" s="98">
        <f t="shared" si="21"/>
        <v>45.030088174284536</v>
      </c>
      <c r="L148" s="98">
        <f t="shared" si="21"/>
        <v>44.697792230370666</v>
      </c>
      <c r="M148" s="98">
        <f t="shared" si="21"/>
        <v>44.350047718634322</v>
      </c>
    </row>
    <row r="149" spans="2:35" x14ac:dyDescent="0.5">
      <c r="B149" s="8" t="s">
        <v>128</v>
      </c>
      <c r="C149" s="29" t="s">
        <v>102</v>
      </c>
      <c r="D149" s="29" t="s">
        <v>103</v>
      </c>
      <c r="E149" s="51" t="s">
        <v>127</v>
      </c>
      <c r="F149" s="98">
        <f>Baseline!H42</f>
        <v>41.886894598514523</v>
      </c>
      <c r="G149" s="98">
        <f t="shared" ref="G149:M149" si="22">F149*(1+G27)*(1+G66)*(1+G105)</f>
        <v>41.534059815926831</v>
      </c>
      <c r="H149" s="98">
        <f t="shared" si="22"/>
        <v>41.249994398243743</v>
      </c>
      <c r="I149" s="98">
        <f t="shared" si="22"/>
        <v>40.87826370631501</v>
      </c>
      <c r="J149" s="98">
        <f t="shared" si="22"/>
        <v>40.57154774991325</v>
      </c>
      <c r="K149" s="98">
        <f t="shared" si="22"/>
        <v>40.276118886327325</v>
      </c>
      <c r="L149" s="98">
        <f t="shared" si="22"/>
        <v>39.978904479579562</v>
      </c>
      <c r="M149" s="98">
        <f t="shared" si="22"/>
        <v>39.667872459332287</v>
      </c>
    </row>
    <row r="150" spans="2:35" x14ac:dyDescent="0.5">
      <c r="B150" s="8" t="s">
        <v>129</v>
      </c>
      <c r="C150" s="29" t="s">
        <v>102</v>
      </c>
      <c r="D150" s="29" t="s">
        <v>103</v>
      </c>
      <c r="E150" s="51" t="s">
        <v>127</v>
      </c>
      <c r="F150" s="98">
        <f>Baseline!H43</f>
        <v>46.529227232190962</v>
      </c>
      <c r="G150" s="98">
        <f t="shared" ref="G150:M150" si="23">F150*(1+G28)*(1+G67)*(1+G106)</f>
        <v>46.351477119669767</v>
      </c>
      <c r="H150" s="98">
        <f t="shared" si="23"/>
        <v>46.141047420236696</v>
      </c>
      <c r="I150" s="98">
        <f t="shared" si="23"/>
        <v>45.754866296106819</v>
      </c>
      <c r="J150" s="98">
        <f t="shared" si="23"/>
        <v>45.419197779979314</v>
      </c>
      <c r="K150" s="98">
        <f t="shared" si="23"/>
        <v>45.109168007063843</v>
      </c>
      <c r="L150" s="98">
        <f t="shared" si="23"/>
        <v>44.815590385237414</v>
      </c>
      <c r="M150" s="98">
        <f t="shared" si="23"/>
        <v>44.505959764156046</v>
      </c>
    </row>
    <row r="151" spans="2:35" x14ac:dyDescent="0.5">
      <c r="B151" s="8" t="s">
        <v>130</v>
      </c>
      <c r="C151" s="29" t="s">
        <v>102</v>
      </c>
      <c r="D151" s="29" t="s">
        <v>103</v>
      </c>
      <c r="E151" s="51" t="s">
        <v>127</v>
      </c>
      <c r="F151" s="98">
        <f>Baseline!H44</f>
        <v>15.365470678206</v>
      </c>
      <c r="G151" s="98">
        <f t="shared" ref="G151:M151" si="24">F151*(1+G29)*(1+G68)*(1+G107)</f>
        <v>15.306771784962772</v>
      </c>
      <c r="H151" s="98">
        <f t="shared" si="24"/>
        <v>15.237281024664361</v>
      </c>
      <c r="I151" s="98">
        <f t="shared" si="24"/>
        <v>15.109751403128136</v>
      </c>
      <c r="J151" s="98">
        <f t="shared" si="24"/>
        <v>14.998902694714907</v>
      </c>
      <c r="K151" s="98">
        <f t="shared" si="24"/>
        <v>14.896520736782719</v>
      </c>
      <c r="L151" s="98">
        <f t="shared" si="24"/>
        <v>14.799571816538661</v>
      </c>
      <c r="M151" s="98">
        <f t="shared" si="24"/>
        <v>14.69732167158012</v>
      </c>
    </row>
    <row r="152" spans="2:35" x14ac:dyDescent="0.5">
      <c r="B152" s="8" t="s">
        <v>131</v>
      </c>
      <c r="C152" s="29" t="s">
        <v>102</v>
      </c>
      <c r="D152" s="29" t="s">
        <v>103</v>
      </c>
      <c r="E152" s="51" t="s">
        <v>127</v>
      </c>
      <c r="F152" s="98">
        <f>Baseline!H45</f>
        <v>19.939342353953492</v>
      </c>
      <c r="G152" s="98">
        <f t="shared" ref="G152:M152" si="25">F152*(1+G30)*(1+G69)*(1+G108)</f>
        <v>19.863170438840278</v>
      </c>
      <c r="H152" s="98">
        <f t="shared" si="25"/>
        <v>19.772994219117191</v>
      </c>
      <c r="I152" s="98">
        <f t="shared" si="25"/>
        <v>19.607502589388751</v>
      </c>
      <c r="J152" s="98">
        <f t="shared" si="25"/>
        <v>19.463657314952744</v>
      </c>
      <c r="K152" s="98">
        <f t="shared" si="25"/>
        <v>19.330799106256705</v>
      </c>
      <c r="L152" s="98">
        <f t="shared" si="25"/>
        <v>19.204991198898924</v>
      </c>
      <c r="M152" s="98">
        <f t="shared" si="25"/>
        <v>19.07230404021907</v>
      </c>
    </row>
    <row r="153" spans="2:35" x14ac:dyDescent="0.5">
      <c r="B153" s="8" t="s">
        <v>132</v>
      </c>
      <c r="C153" s="29" t="s">
        <v>102</v>
      </c>
      <c r="D153" s="29" t="s">
        <v>103</v>
      </c>
      <c r="E153" s="51" t="s">
        <v>127</v>
      </c>
      <c r="F153" s="98">
        <f>Baseline!H46</f>
        <v>52.15</v>
      </c>
      <c r="G153" s="98">
        <f t="shared" ref="G153:M153" si="26">F153*(1+G31)*(1+G70)*(1+G109)</f>
        <v>51.710713820198052</v>
      </c>
      <c r="H153" s="98">
        <f t="shared" si="26"/>
        <v>51.357046839769808</v>
      </c>
      <c r="I153" s="98">
        <f t="shared" si="26"/>
        <v>50.894234884624986</v>
      </c>
      <c r="J153" s="98">
        <f t="shared" si="26"/>
        <v>50.51236754211449</v>
      </c>
      <c r="K153" s="98">
        <f t="shared" si="26"/>
        <v>50.144552850104539</v>
      </c>
      <c r="L153" s="98">
        <f t="shared" si="26"/>
        <v>49.774515122064287</v>
      </c>
      <c r="M153" s="98">
        <f t="shared" si="26"/>
        <v>49.387274195961574</v>
      </c>
      <c r="N153" s="119"/>
      <c r="O153" s="119"/>
      <c r="P153" s="119"/>
      <c r="Q153" s="119"/>
      <c r="R153" s="119"/>
      <c r="S153" s="119"/>
      <c r="T153" s="119"/>
      <c r="U153" s="119"/>
      <c r="V153" s="119"/>
      <c r="W153" s="119"/>
      <c r="X153" s="119"/>
      <c r="Y153" s="119"/>
      <c r="Z153" s="119"/>
      <c r="AA153" s="119"/>
      <c r="AB153" s="119"/>
      <c r="AC153" s="119"/>
      <c r="AD153" s="119"/>
      <c r="AE153" s="119"/>
      <c r="AF153" s="119"/>
      <c r="AG153" s="119"/>
      <c r="AH153" s="119"/>
      <c r="AI153" s="119"/>
    </row>
    <row r="154" spans="2:35" x14ac:dyDescent="0.5">
      <c r="B154" s="8" t="s">
        <v>133</v>
      </c>
      <c r="C154" s="29" t="s">
        <v>102</v>
      </c>
      <c r="D154" s="29" t="s">
        <v>103</v>
      </c>
      <c r="E154" s="51" t="s">
        <v>127</v>
      </c>
      <c r="F154" s="98">
        <f>Baseline!H47</f>
        <v>40.697370387817642</v>
      </c>
      <c r="G154" s="98">
        <f t="shared" ref="G154:M154" si="27">F154*(1+G32)*(1+G71)*(1+G110)</f>
        <v>40.541899029360465</v>
      </c>
      <c r="H154" s="98">
        <f t="shared" si="27"/>
        <v>40.357844061593887</v>
      </c>
      <c r="I154" s="98">
        <f t="shared" si="27"/>
        <v>40.020065912666794</v>
      </c>
      <c r="J154" s="98">
        <f t="shared" si="27"/>
        <v>39.726469247925301</v>
      </c>
      <c r="K154" s="98">
        <f t="shared" si="27"/>
        <v>39.455297830514304</v>
      </c>
      <c r="L154" s="98">
        <f t="shared" si="27"/>
        <v>39.198516492766693</v>
      </c>
      <c r="M154" s="98">
        <f t="shared" si="27"/>
        <v>38.927694198498273</v>
      </c>
    </row>
    <row r="155" spans="2:35" x14ac:dyDescent="0.5">
      <c r="B155" s="8" t="s">
        <v>134</v>
      </c>
      <c r="C155" s="29" t="s">
        <v>102</v>
      </c>
      <c r="D155" s="29" t="s">
        <v>103</v>
      </c>
      <c r="E155" s="51" t="s">
        <v>127</v>
      </c>
      <c r="F155" s="98">
        <f>Baseline!H48</f>
        <v>72.77</v>
      </c>
      <c r="G155" s="98">
        <f t="shared" ref="G155:M155" si="28">F155*(1+G33)*(1+G72)*(1+G111)</f>
        <v>72.492005361842345</v>
      </c>
      <c r="H155" s="98">
        <f t="shared" si="28"/>
        <v>72.162901051742168</v>
      </c>
      <c r="I155" s="98">
        <f t="shared" si="28"/>
        <v>71.558927977727976</v>
      </c>
      <c r="J155" s="98">
        <f t="shared" si="28"/>
        <v>71.033954764725664</v>
      </c>
      <c r="K155" s="98">
        <f t="shared" si="28"/>
        <v>70.549079603088558</v>
      </c>
      <c r="L155" s="98">
        <f t="shared" si="28"/>
        <v>70.089935000628259</v>
      </c>
      <c r="M155" s="98">
        <f t="shared" si="28"/>
        <v>69.605684097778465</v>
      </c>
    </row>
    <row r="156" spans="2:35" x14ac:dyDescent="0.5">
      <c r="B156" s="8" t="s">
        <v>135</v>
      </c>
      <c r="C156" s="29" t="s">
        <v>102</v>
      </c>
      <c r="D156" s="29" t="s">
        <v>103</v>
      </c>
      <c r="E156" s="51" t="s">
        <v>127</v>
      </c>
      <c r="F156" s="98">
        <f>Baseline!H49</f>
        <v>9.1998842842854547</v>
      </c>
      <c r="G156" s="98">
        <f t="shared" ref="G156:M156" si="29">F156*(1+G34)*(1+G73)*(1+G112)</f>
        <v>9.1647390526968575</v>
      </c>
      <c r="H156" s="98">
        <f t="shared" si="29"/>
        <v>9.1231323250566039</v>
      </c>
      <c r="I156" s="98">
        <f t="shared" si="29"/>
        <v>9.0467755517742798</v>
      </c>
      <c r="J156" s="98">
        <f t="shared" si="29"/>
        <v>8.9804062675641543</v>
      </c>
      <c r="K156" s="98">
        <f t="shared" si="29"/>
        <v>8.9191063448022252</v>
      </c>
      <c r="L156" s="98">
        <f t="shared" si="29"/>
        <v>8.8610593857203384</v>
      </c>
      <c r="M156" s="98">
        <f t="shared" si="29"/>
        <v>8.7998383843354446</v>
      </c>
    </row>
    <row r="157" spans="2:35" x14ac:dyDescent="0.5">
      <c r="B157" s="8" t="s">
        <v>136</v>
      </c>
      <c r="C157" s="29" t="s">
        <v>102</v>
      </c>
      <c r="D157" s="29" t="s">
        <v>103</v>
      </c>
      <c r="E157" s="51" t="s">
        <v>127</v>
      </c>
      <c r="F157" s="98">
        <f>Baseline!H50</f>
        <v>36.398086173898001</v>
      </c>
      <c r="G157" s="98">
        <f t="shared" ref="G157:M157" si="30">F157*(1+G35)*(1+G74)*(1+G113)</f>
        <v>36.259038863254283</v>
      </c>
      <c r="H157" s="98">
        <f t="shared" si="30"/>
        <v>36.094427525625761</v>
      </c>
      <c r="I157" s="98">
        <f t="shared" si="30"/>
        <v>35.792332376598921</v>
      </c>
      <c r="J157" s="98">
        <f t="shared" si="30"/>
        <v>35.529751364563104</v>
      </c>
      <c r="K157" s="98">
        <f t="shared" si="30"/>
        <v>35.287226589012043</v>
      </c>
      <c r="L157" s="98">
        <f t="shared" si="30"/>
        <v>35.057571720156332</v>
      </c>
      <c r="M157" s="98">
        <f t="shared" si="30"/>
        <v>34.815359186258931</v>
      </c>
    </row>
    <row r="158" spans="2:35" x14ac:dyDescent="0.5">
      <c r="B158" s="8" t="s">
        <v>137</v>
      </c>
      <c r="C158" s="29" t="s">
        <v>102</v>
      </c>
      <c r="D158" s="29" t="s">
        <v>103</v>
      </c>
      <c r="E158" s="51" t="s">
        <v>127</v>
      </c>
      <c r="F158" s="98">
        <f>Baseline!H51</f>
        <v>6.5094499466848186</v>
      </c>
      <c r="G158" s="98">
        <f t="shared" ref="G158:M158" si="31">F158*(1+G36)*(1+G75)*(1+G114)</f>
        <v>6.4845826637037289</v>
      </c>
      <c r="H158" s="98">
        <f t="shared" si="31"/>
        <v>6.4551434987479048</v>
      </c>
      <c r="I158" s="98">
        <f t="shared" si="31"/>
        <v>6.4011166677125777</v>
      </c>
      <c r="J158" s="98">
        <f t="shared" si="31"/>
        <v>6.3541565625402692</v>
      </c>
      <c r="K158" s="98">
        <f t="shared" si="31"/>
        <v>6.3107833236359481</v>
      </c>
      <c r="L158" s="98">
        <f t="shared" si="31"/>
        <v>6.2697117445785659</v>
      </c>
      <c r="M158" s="98">
        <f t="shared" si="31"/>
        <v>6.226394347110686</v>
      </c>
    </row>
    <row r="159" spans="2:35" x14ac:dyDescent="0.5">
      <c r="B159" s="8" t="s">
        <v>138</v>
      </c>
      <c r="C159" s="29" t="s">
        <v>102</v>
      </c>
      <c r="D159" s="29" t="s">
        <v>103</v>
      </c>
      <c r="E159" s="51" t="s">
        <v>127</v>
      </c>
      <c r="F159" s="98">
        <f>Baseline!H52</f>
        <v>19.313214992805968</v>
      </c>
      <c r="G159" s="98">
        <f t="shared" ref="G159:M159" si="32">F159*(1+G37)*(1+G76)*(1+G115)</f>
        <v>19.239434998116046</v>
      </c>
      <c r="H159" s="98">
        <f t="shared" si="32"/>
        <v>19.152090456463942</v>
      </c>
      <c r="I159" s="98">
        <f t="shared" si="32"/>
        <v>18.991795529594324</v>
      </c>
      <c r="J159" s="98">
        <f t="shared" si="32"/>
        <v>18.852467227709234</v>
      </c>
      <c r="K159" s="98">
        <f t="shared" si="32"/>
        <v>18.723780980060901</v>
      </c>
      <c r="L159" s="98">
        <f t="shared" si="32"/>
        <v>18.601923642970039</v>
      </c>
      <c r="M159" s="98">
        <f t="shared" si="32"/>
        <v>18.473403074092779</v>
      </c>
    </row>
    <row r="160" spans="2:35" x14ac:dyDescent="0.5">
      <c r="B160" s="8" t="s">
        <v>139</v>
      </c>
      <c r="C160" s="29" t="s">
        <v>102</v>
      </c>
      <c r="D160" s="29" t="s">
        <v>103</v>
      </c>
      <c r="E160" s="51" t="s">
        <v>127</v>
      </c>
      <c r="F160" s="98">
        <f>Baseline!H53</f>
        <v>26.563728097632794</v>
      </c>
      <c r="G160" s="98">
        <f t="shared" ref="G160:M160" si="33">F160*(1+G38)*(1+G77)*(1+G116)</f>
        <v>26.593265848978195</v>
      </c>
      <c r="H160" s="98">
        <f t="shared" si="33"/>
        <v>26.538054065177167</v>
      </c>
      <c r="I160" s="98">
        <f t="shared" si="33"/>
        <v>26.334198278744154</v>
      </c>
      <c r="J160" s="98">
        <f t="shared" si="33"/>
        <v>26.145714023198334</v>
      </c>
      <c r="K160" s="98">
        <f t="shared" si="33"/>
        <v>25.980010343182485</v>
      </c>
      <c r="L160" s="98">
        <f t="shared" si="33"/>
        <v>25.835180512537683</v>
      </c>
      <c r="M160" s="98">
        <f t="shared" si="33"/>
        <v>25.680792689423274</v>
      </c>
    </row>
    <row r="161" spans="1:14" x14ac:dyDescent="0.5">
      <c r="B161" s="8" t="s">
        <v>140</v>
      </c>
      <c r="C161" s="29" t="s">
        <v>102</v>
      </c>
      <c r="D161" s="29" t="s">
        <v>103</v>
      </c>
      <c r="E161" s="51" t="s">
        <v>127</v>
      </c>
      <c r="F161" s="98">
        <f>Baseline!H54</f>
        <v>31.831154364883361</v>
      </c>
      <c r="G161" s="98">
        <f t="shared" ref="G161:M161" si="34">F161*(1+G39)*(1+G78)*(1+G117)</f>
        <v>31.709553564556231</v>
      </c>
      <c r="H161" s="98">
        <f t="shared" si="34"/>
        <v>31.565596300615773</v>
      </c>
      <c r="I161" s="98">
        <f t="shared" si="34"/>
        <v>31.301405560596823</v>
      </c>
      <c r="J161" s="98">
        <f t="shared" si="34"/>
        <v>31.071771049390204</v>
      </c>
      <c r="K161" s="98">
        <f t="shared" si="34"/>
        <v>30.859676283445875</v>
      </c>
      <c r="L161" s="98">
        <f t="shared" si="34"/>
        <v>30.658836614396588</v>
      </c>
      <c r="M161" s="98">
        <f t="shared" si="34"/>
        <v>30.447014912597144</v>
      </c>
    </row>
    <row r="162" spans="1:14" x14ac:dyDescent="0.5">
      <c r="B162" s="8" t="s">
        <v>141</v>
      </c>
      <c r="C162" s="29" t="s">
        <v>102</v>
      </c>
      <c r="D162" s="29" t="s">
        <v>103</v>
      </c>
      <c r="E162" s="51" t="s">
        <v>127</v>
      </c>
      <c r="F162" s="98">
        <f>Baseline!H55</f>
        <v>11.440617504831115</v>
      </c>
      <c r="G162" s="98">
        <f t="shared" ref="G162:M162" si="35">F162*(1+G40)*(1+G79)*(1+G118)</f>
        <v>11.344247319629341</v>
      </c>
      <c r="H162" s="98">
        <f t="shared" si="35"/>
        <v>11.266660193125636</v>
      </c>
      <c r="I162" s="98">
        <f t="shared" si="35"/>
        <v>11.165128945657276</v>
      </c>
      <c r="J162" s="98">
        <f t="shared" si="35"/>
        <v>11.081355250484718</v>
      </c>
      <c r="K162" s="98">
        <f t="shared" si="35"/>
        <v>11.000664412441704</v>
      </c>
      <c r="L162" s="98">
        <f t="shared" si="35"/>
        <v>10.919485886864232</v>
      </c>
      <c r="M162" s="98">
        <f t="shared" si="35"/>
        <v>10.834533340023238</v>
      </c>
    </row>
    <row r="163" spans="1:14" x14ac:dyDescent="0.5">
      <c r="B163" s="8" t="s">
        <v>142</v>
      </c>
      <c r="C163" s="29" t="s">
        <v>102</v>
      </c>
      <c r="D163" s="29" t="s">
        <v>103</v>
      </c>
      <c r="E163" s="51" t="s">
        <v>127</v>
      </c>
      <c r="F163" s="98">
        <f>Baseline!H56</f>
        <v>76.80292391608404</v>
      </c>
      <c r="G163" s="98">
        <f t="shared" ref="G163:M163" si="36">F163*(1+G41)*(1+G80)*(1+G119)</f>
        <v>76.155973522129756</v>
      </c>
      <c r="H163" s="98">
        <f t="shared" si="36"/>
        <v>75.635117181008724</v>
      </c>
      <c r="I163" s="98">
        <f t="shared" si="36"/>
        <v>74.953519647385676</v>
      </c>
      <c r="J163" s="98">
        <f t="shared" si="36"/>
        <v>74.391131757589491</v>
      </c>
      <c r="K163" s="98">
        <f t="shared" si="36"/>
        <v>73.849439642428266</v>
      </c>
      <c r="L163" s="98">
        <f t="shared" si="36"/>
        <v>73.3044735930945</v>
      </c>
      <c r="M163" s="98">
        <f t="shared" si="36"/>
        <v>72.734171859927471</v>
      </c>
    </row>
    <row r="164" spans="1:14" ht="17" thickBot="1" x14ac:dyDescent="0.55000000000000004">
      <c r="B164" s="48" t="s">
        <v>191</v>
      </c>
      <c r="C164" s="37" t="s">
        <v>102</v>
      </c>
      <c r="D164" s="37" t="s">
        <v>103</v>
      </c>
      <c r="E164" s="52" t="s">
        <v>127</v>
      </c>
      <c r="F164" s="121"/>
      <c r="G164" s="99">
        <f>G124</f>
        <v>0</v>
      </c>
      <c r="H164" s="99">
        <f t="shared" ref="H164:M164" si="37">H124</f>
        <v>0</v>
      </c>
      <c r="I164" s="99">
        <f t="shared" si="37"/>
        <v>7.5450657348082402</v>
      </c>
      <c r="J164" s="99">
        <f t="shared" si="37"/>
        <v>8.118300254097667</v>
      </c>
      <c r="K164" s="99">
        <f t="shared" si="37"/>
        <v>8.118300254097667</v>
      </c>
      <c r="L164" s="99">
        <f t="shared" si="37"/>
        <v>3.1596573447640015</v>
      </c>
      <c r="M164" s="99">
        <f t="shared" si="37"/>
        <v>3.1596573447640015</v>
      </c>
    </row>
    <row r="165" spans="1:14" x14ac:dyDescent="0.5">
      <c r="B165" s="8" t="s">
        <v>192</v>
      </c>
      <c r="C165" s="29" t="s">
        <v>102</v>
      </c>
      <c r="D165" s="8"/>
      <c r="E165" s="8"/>
      <c r="F165" s="98">
        <f>SUM(F129:F164)</f>
        <v>1403.3283554334062</v>
      </c>
      <c r="G165" s="98">
        <f t="shared" ref="G165:M165" si="38">SUM(G129:G164)</f>
        <v>1402.3626139700214</v>
      </c>
      <c r="H165" s="98">
        <f t="shared" si="38"/>
        <v>1398.7773285530677</v>
      </c>
      <c r="I165" s="98">
        <f t="shared" si="38"/>
        <v>1396.6733832882426</v>
      </c>
      <c r="J165" s="98">
        <f t="shared" si="38"/>
        <v>1388.4506067592679</v>
      </c>
      <c r="K165" s="98">
        <f t="shared" si="38"/>
        <v>1380.5965725201238</v>
      </c>
      <c r="L165" s="98">
        <f t="shared" si="38"/>
        <v>1368.3827741077819</v>
      </c>
      <c r="M165" s="98">
        <f t="shared" si="38"/>
        <v>1360.7040094504712</v>
      </c>
    </row>
    <row r="166" spans="1:14" x14ac:dyDescent="0.5">
      <c r="G166" s="97"/>
      <c r="H166" s="97"/>
      <c r="I166" s="97"/>
      <c r="J166" s="97"/>
      <c r="K166" s="97"/>
      <c r="L166" s="97"/>
      <c r="M166" s="97"/>
    </row>
    <row r="167" spans="1:14" s="149" customFormat="1" ht="24.5" thickBot="1" x14ac:dyDescent="0.75">
      <c r="A167" s="151" t="s">
        <v>391</v>
      </c>
      <c r="G167" s="150"/>
      <c r="H167" s="150"/>
      <c r="I167" s="150"/>
      <c r="J167" s="150"/>
      <c r="K167" s="150"/>
      <c r="L167" s="150"/>
      <c r="M167" s="150"/>
    </row>
    <row r="168" spans="1:14" ht="17" thickTop="1" x14ac:dyDescent="0.5">
      <c r="G168" s="97"/>
      <c r="H168" s="97"/>
      <c r="I168" s="97"/>
      <c r="J168" s="97"/>
      <c r="K168" s="97"/>
      <c r="L168" s="97"/>
      <c r="M168" s="97"/>
    </row>
    <row r="169" spans="1:14" ht="19" thickBot="1" x14ac:dyDescent="0.55000000000000004">
      <c r="A169" s="14" t="s">
        <v>392</v>
      </c>
    </row>
    <row r="170" spans="1:14" ht="19" thickTop="1" x14ac:dyDescent="0.5">
      <c r="A170" s="23"/>
    </row>
    <row r="171" spans="1:14" ht="17" thickBot="1" x14ac:dyDescent="0.55000000000000004">
      <c r="B171" s="27" t="s">
        <v>302</v>
      </c>
      <c r="C171" s="27" t="s">
        <v>96</v>
      </c>
      <c r="D171" s="27" t="s">
        <v>97</v>
      </c>
      <c r="E171" s="50" t="s">
        <v>98</v>
      </c>
      <c r="F171" s="12">
        <v>2024</v>
      </c>
      <c r="G171" s="12">
        <v>2025</v>
      </c>
      <c r="H171" s="12">
        <v>2026</v>
      </c>
      <c r="I171" s="12">
        <v>2027</v>
      </c>
      <c r="J171" s="12">
        <v>2028</v>
      </c>
      <c r="K171" s="12">
        <v>2029</v>
      </c>
      <c r="L171" s="12">
        <v>2030</v>
      </c>
      <c r="M171" s="12">
        <v>2031</v>
      </c>
      <c r="N171" s="12" t="s">
        <v>57</v>
      </c>
    </row>
    <row r="172" spans="1:14" x14ac:dyDescent="0.5">
      <c r="B172" s="8" t="s">
        <v>101</v>
      </c>
      <c r="C172" s="29" t="s">
        <v>102</v>
      </c>
      <c r="D172" s="29" t="s">
        <v>103</v>
      </c>
      <c r="E172" s="51" t="s">
        <v>104</v>
      </c>
      <c r="F172" s="64"/>
      <c r="G172" s="93">
        <f t="shared" ref="G172:M181" si="39">F129*G7</f>
        <v>0.33176939394605715</v>
      </c>
      <c r="H172" s="93">
        <f t="shared" si="39"/>
        <v>0.67070254337753177</v>
      </c>
      <c r="I172" s="93">
        <f t="shared" si="39"/>
        <v>0.21015164486797835</v>
      </c>
      <c r="J172" s="93">
        <f t="shared" si="39"/>
        <v>0.52744168164105421</v>
      </c>
      <c r="K172" s="93">
        <f t="shared" si="39"/>
        <v>0.57054840488189973</v>
      </c>
      <c r="L172" s="93">
        <f t="shared" si="39"/>
        <v>0.5472224458331072</v>
      </c>
      <c r="M172" s="93">
        <f t="shared" si="39"/>
        <v>0.46185981957587469</v>
      </c>
      <c r="N172" s="119">
        <f t="shared" ref="N172:N206" si="40">SUM(G172:M172)</f>
        <v>3.3196959341235028</v>
      </c>
    </row>
    <row r="173" spans="1:14" x14ac:dyDescent="0.5">
      <c r="B173" s="8" t="s">
        <v>105</v>
      </c>
      <c r="C173" s="29" t="s">
        <v>102</v>
      </c>
      <c r="D173" s="29" t="s">
        <v>103</v>
      </c>
      <c r="E173" s="51" t="s">
        <v>104</v>
      </c>
      <c r="F173" s="64"/>
      <c r="G173" s="93">
        <f t="shared" si="39"/>
        <v>4.9379101106934796E-2</v>
      </c>
      <c r="H173" s="93">
        <f t="shared" si="39"/>
        <v>9.9824424152585578E-2</v>
      </c>
      <c r="I173" s="93">
        <f t="shared" si="39"/>
        <v>3.1278048876961166E-2</v>
      </c>
      <c r="J173" s="93">
        <f t="shared" si="39"/>
        <v>7.8502105983893039E-2</v>
      </c>
      <c r="K173" s="93">
        <f t="shared" si="39"/>
        <v>8.4917921559830259E-2</v>
      </c>
      <c r="L173" s="93">
        <f t="shared" si="39"/>
        <v>8.1446188147091689E-2</v>
      </c>
      <c r="M173" s="93">
        <f t="shared" si="39"/>
        <v>6.8741189344837167E-2</v>
      </c>
      <c r="N173" s="119">
        <f t="shared" si="40"/>
        <v>0.49408897917213368</v>
      </c>
    </row>
    <row r="174" spans="1:14" x14ac:dyDescent="0.5">
      <c r="B174" s="8" t="s">
        <v>106</v>
      </c>
      <c r="C174" s="29" t="s">
        <v>102</v>
      </c>
      <c r="D174" s="29" t="s">
        <v>103</v>
      </c>
      <c r="E174" s="51" t="s">
        <v>104</v>
      </c>
      <c r="F174" s="64"/>
      <c r="G174" s="93">
        <f t="shared" si="39"/>
        <v>3.8897204892028275E-2</v>
      </c>
      <c r="H174" s="93">
        <f t="shared" si="39"/>
        <v>7.8634300593749443E-2</v>
      </c>
      <c r="I174" s="93">
        <f t="shared" si="39"/>
        <v>2.4638534289138168E-2</v>
      </c>
      <c r="J174" s="93">
        <f t="shared" si="39"/>
        <v>6.1838154856212468E-2</v>
      </c>
      <c r="K174" s="93">
        <f t="shared" si="39"/>
        <v>6.6892059998516676E-2</v>
      </c>
      <c r="L174" s="93">
        <f t="shared" si="39"/>
        <v>6.415728510673907E-2</v>
      </c>
      <c r="M174" s="93">
        <f t="shared" si="39"/>
        <v>5.4149226424300569E-2</v>
      </c>
      <c r="N174" s="119">
        <f t="shared" si="40"/>
        <v>0.38920676616068467</v>
      </c>
    </row>
    <row r="175" spans="1:14" x14ac:dyDescent="0.5">
      <c r="B175" s="8" t="s">
        <v>107</v>
      </c>
      <c r="C175" s="29" t="s">
        <v>102</v>
      </c>
      <c r="D175" s="29" t="s">
        <v>103</v>
      </c>
      <c r="E175" s="51" t="s">
        <v>104</v>
      </c>
      <c r="F175" s="64"/>
      <c r="G175" s="93">
        <f t="shared" si="39"/>
        <v>0.10592952508375224</v>
      </c>
      <c r="H175" s="93">
        <f t="shared" si="39"/>
        <v>0.21414634137107397</v>
      </c>
      <c r="I175" s="93">
        <f t="shared" si="39"/>
        <v>6.7098606268828395E-2</v>
      </c>
      <c r="J175" s="93">
        <f t="shared" si="39"/>
        <v>0.16840506648632206</v>
      </c>
      <c r="K175" s="93">
        <f t="shared" si="39"/>
        <v>0.18216846601666556</v>
      </c>
      <c r="L175" s="93">
        <f t="shared" si="39"/>
        <v>0.17472079962775386</v>
      </c>
      <c r="M175" s="93">
        <f t="shared" si="39"/>
        <v>0.14746565607222537</v>
      </c>
      <c r="N175" s="119">
        <f t="shared" si="40"/>
        <v>1.0599344609266215</v>
      </c>
    </row>
    <row r="176" spans="1:14" x14ac:dyDescent="0.5">
      <c r="B176" s="8" t="s">
        <v>108</v>
      </c>
      <c r="C176" s="29" t="s">
        <v>102</v>
      </c>
      <c r="D176" s="29" t="s">
        <v>103</v>
      </c>
      <c r="E176" s="51" t="s">
        <v>104</v>
      </c>
      <c r="F176" s="64"/>
      <c r="G176" s="93">
        <f t="shared" si="39"/>
        <v>4.0585698891665793E-2</v>
      </c>
      <c r="H176" s="93">
        <f t="shared" si="39"/>
        <v>8.2047747526165157E-2</v>
      </c>
      <c r="I176" s="93">
        <f t="shared" si="39"/>
        <v>2.5708071738488398E-2</v>
      </c>
      <c r="J176" s="93">
        <f t="shared" si="39"/>
        <v>6.4522495638878061E-2</v>
      </c>
      <c r="K176" s="93">
        <f t="shared" si="39"/>
        <v>6.9795786429359422E-2</v>
      </c>
      <c r="L176" s="93">
        <f t="shared" si="39"/>
        <v>6.6942297326420819E-2</v>
      </c>
      <c r="M176" s="93">
        <f t="shared" si="39"/>
        <v>5.6499797478345201E-2</v>
      </c>
      <c r="N176" s="119">
        <f t="shared" si="40"/>
        <v>0.40610189502932287</v>
      </c>
    </row>
    <row r="177" spans="2:14" x14ac:dyDescent="0.5">
      <c r="B177" s="8" t="s">
        <v>109</v>
      </c>
      <c r="C177" s="29" t="s">
        <v>102</v>
      </c>
      <c r="D177" s="29" t="s">
        <v>103</v>
      </c>
      <c r="E177" s="51" t="s">
        <v>104</v>
      </c>
      <c r="F177" s="64"/>
      <c r="G177" s="93">
        <f t="shared" si="39"/>
        <v>0.28476140471052552</v>
      </c>
      <c r="H177" s="93">
        <f t="shared" si="39"/>
        <v>0.57567154137841137</v>
      </c>
      <c r="I177" s="93">
        <f t="shared" si="39"/>
        <v>0.18037552193425951</v>
      </c>
      <c r="J177" s="93">
        <f t="shared" si="39"/>
        <v>0.45270913142581454</v>
      </c>
      <c r="K177" s="93">
        <f t="shared" si="39"/>
        <v>0.48970811712648726</v>
      </c>
      <c r="L177" s="93">
        <f t="shared" si="39"/>
        <v>0.46968718395374753</v>
      </c>
      <c r="M177" s="93">
        <f t="shared" si="39"/>
        <v>0.39641948112658032</v>
      </c>
      <c r="N177" s="119">
        <f t="shared" si="40"/>
        <v>2.8493323816558256</v>
      </c>
    </row>
    <row r="178" spans="2:14" x14ac:dyDescent="0.5">
      <c r="B178" s="8" t="s">
        <v>110</v>
      </c>
      <c r="C178" s="29" t="s">
        <v>102</v>
      </c>
      <c r="D178" s="29" t="s">
        <v>103</v>
      </c>
      <c r="E178" s="51" t="s">
        <v>104</v>
      </c>
      <c r="F178" s="64"/>
      <c r="G178" s="93">
        <f t="shared" si="39"/>
        <v>0</v>
      </c>
      <c r="H178" s="93">
        <f t="shared" si="39"/>
        <v>0</v>
      </c>
      <c r="I178" s="93">
        <f t="shared" si="39"/>
        <v>0</v>
      </c>
      <c r="J178" s="93">
        <f t="shared" si="39"/>
        <v>0</v>
      </c>
      <c r="K178" s="93">
        <f t="shared" si="39"/>
        <v>0</v>
      </c>
      <c r="L178" s="93">
        <f t="shared" si="39"/>
        <v>0</v>
      </c>
      <c r="M178" s="93">
        <f t="shared" si="39"/>
        <v>0</v>
      </c>
      <c r="N178" s="119">
        <f t="shared" si="40"/>
        <v>0</v>
      </c>
    </row>
    <row r="179" spans="2:14" x14ac:dyDescent="0.5">
      <c r="B179" s="8" t="s">
        <v>111</v>
      </c>
      <c r="C179" s="29" t="s">
        <v>102</v>
      </c>
      <c r="D179" s="29" t="s">
        <v>103</v>
      </c>
      <c r="E179" s="51" t="s">
        <v>112</v>
      </c>
      <c r="F179" s="64"/>
      <c r="G179" s="93">
        <f t="shared" si="39"/>
        <v>0</v>
      </c>
      <c r="H179" s="93">
        <f t="shared" si="39"/>
        <v>0</v>
      </c>
      <c r="I179" s="93">
        <f t="shared" si="39"/>
        <v>0</v>
      </c>
      <c r="J179" s="93">
        <f t="shared" si="39"/>
        <v>0</v>
      </c>
      <c r="K179" s="93">
        <f t="shared" si="39"/>
        <v>0</v>
      </c>
      <c r="L179" s="93">
        <f t="shared" si="39"/>
        <v>0</v>
      </c>
      <c r="M179" s="93">
        <f t="shared" si="39"/>
        <v>0</v>
      </c>
      <c r="N179" s="119">
        <f t="shared" si="40"/>
        <v>0</v>
      </c>
    </row>
    <row r="180" spans="2:14" x14ac:dyDescent="0.5">
      <c r="B180" s="8" t="s">
        <v>113</v>
      </c>
      <c r="C180" s="29" t="s">
        <v>102</v>
      </c>
      <c r="D180" s="29" t="s">
        <v>103</v>
      </c>
      <c r="E180" s="51" t="s">
        <v>112</v>
      </c>
      <c r="F180" s="64"/>
      <c r="G180" s="93">
        <f t="shared" si="39"/>
        <v>0</v>
      </c>
      <c r="H180" s="93">
        <f t="shared" si="39"/>
        <v>0</v>
      </c>
      <c r="I180" s="93">
        <f t="shared" si="39"/>
        <v>0</v>
      </c>
      <c r="J180" s="93">
        <f t="shared" si="39"/>
        <v>0</v>
      </c>
      <c r="K180" s="93">
        <f t="shared" si="39"/>
        <v>0</v>
      </c>
      <c r="L180" s="93">
        <f t="shared" si="39"/>
        <v>0</v>
      </c>
      <c r="M180" s="93">
        <f t="shared" si="39"/>
        <v>0</v>
      </c>
      <c r="N180" s="119">
        <f t="shared" si="40"/>
        <v>0</v>
      </c>
    </row>
    <row r="181" spans="2:14" x14ac:dyDescent="0.5">
      <c r="B181" s="8" t="s">
        <v>114</v>
      </c>
      <c r="C181" s="29" t="s">
        <v>102</v>
      </c>
      <c r="D181" s="29" t="s">
        <v>103</v>
      </c>
      <c r="E181" s="51" t="s">
        <v>112</v>
      </c>
      <c r="F181" s="64"/>
      <c r="G181" s="93">
        <f t="shared" si="39"/>
        <v>0</v>
      </c>
      <c r="H181" s="93">
        <f t="shared" si="39"/>
        <v>0</v>
      </c>
      <c r="I181" s="93">
        <f t="shared" si="39"/>
        <v>0</v>
      </c>
      <c r="J181" s="93">
        <f t="shared" si="39"/>
        <v>0</v>
      </c>
      <c r="K181" s="93">
        <f t="shared" si="39"/>
        <v>0</v>
      </c>
      <c r="L181" s="93">
        <f t="shared" si="39"/>
        <v>0</v>
      </c>
      <c r="M181" s="93">
        <f t="shared" si="39"/>
        <v>0</v>
      </c>
      <c r="N181" s="119">
        <f t="shared" si="40"/>
        <v>0</v>
      </c>
    </row>
    <row r="182" spans="2:14" x14ac:dyDescent="0.5">
      <c r="B182" s="8" t="s">
        <v>115</v>
      </c>
      <c r="C182" s="29" t="s">
        <v>102</v>
      </c>
      <c r="D182" s="29" t="s">
        <v>103</v>
      </c>
      <c r="E182" s="51" t="s">
        <v>112</v>
      </c>
      <c r="F182" s="64"/>
      <c r="G182" s="93">
        <f t="shared" ref="G182:M191" si="41">F139*G17</f>
        <v>0</v>
      </c>
      <c r="H182" s="93">
        <f t="shared" si="41"/>
        <v>0</v>
      </c>
      <c r="I182" s="93">
        <f t="shared" si="41"/>
        <v>0</v>
      </c>
      <c r="J182" s="93">
        <f t="shared" si="41"/>
        <v>0</v>
      </c>
      <c r="K182" s="93">
        <f t="shared" si="41"/>
        <v>0</v>
      </c>
      <c r="L182" s="93">
        <f t="shared" si="41"/>
        <v>0</v>
      </c>
      <c r="M182" s="93">
        <f t="shared" si="41"/>
        <v>0</v>
      </c>
      <c r="N182" s="119">
        <f t="shared" si="40"/>
        <v>0</v>
      </c>
    </row>
    <row r="183" spans="2:14" x14ac:dyDescent="0.5">
      <c r="B183" s="8" t="s">
        <v>116</v>
      </c>
      <c r="C183" s="29" t="s">
        <v>102</v>
      </c>
      <c r="D183" s="29" t="s">
        <v>103</v>
      </c>
      <c r="E183" s="51" t="s">
        <v>117</v>
      </c>
      <c r="F183" s="64"/>
      <c r="G183" s="201"/>
      <c r="H183" s="201"/>
      <c r="I183" s="201"/>
      <c r="J183" s="201"/>
      <c r="K183" s="201"/>
      <c r="L183" s="201"/>
      <c r="M183" s="201"/>
      <c r="N183" s="119"/>
    </row>
    <row r="184" spans="2:14" x14ac:dyDescent="0.5">
      <c r="B184" s="8" t="s">
        <v>118</v>
      </c>
      <c r="C184" s="29" t="s">
        <v>102</v>
      </c>
      <c r="D184" s="29" t="s">
        <v>103</v>
      </c>
      <c r="E184" s="51" t="s">
        <v>119</v>
      </c>
      <c r="F184" s="64"/>
      <c r="G184" s="93">
        <f t="shared" si="41"/>
        <v>0.17164527094240484</v>
      </c>
      <c r="H184" s="93">
        <f t="shared" si="41"/>
        <v>0.34478523956743518</v>
      </c>
      <c r="I184" s="93">
        <f t="shared" si="41"/>
        <v>0.10822807275668307</v>
      </c>
      <c r="J184" s="93">
        <f t="shared" si="41"/>
        <v>0.27374273127348314</v>
      </c>
      <c r="K184" s="93">
        <f t="shared" si="41"/>
        <v>0.29892667473442036</v>
      </c>
      <c r="L184" s="93">
        <f t="shared" si="41"/>
        <v>0.28912753134975572</v>
      </c>
      <c r="M184" s="93">
        <f t="shared" si="41"/>
        <v>0.24572041683253992</v>
      </c>
      <c r="N184" s="119">
        <f t="shared" si="40"/>
        <v>1.7321759374567223</v>
      </c>
    </row>
    <row r="185" spans="2:14" x14ac:dyDescent="0.5">
      <c r="B185" s="8" t="s">
        <v>120</v>
      </c>
      <c r="C185" s="29" t="s">
        <v>102</v>
      </c>
      <c r="D185" s="29" t="s">
        <v>103</v>
      </c>
      <c r="E185" s="51" t="s">
        <v>119</v>
      </c>
      <c r="F185" s="64"/>
      <c r="G185" s="93">
        <f t="shared" si="41"/>
        <v>9.7639035285985686E-3</v>
      </c>
      <c r="H185" s="93">
        <f t="shared" si="41"/>
        <v>1.961283173569511E-2</v>
      </c>
      <c r="I185" s="93">
        <f t="shared" si="41"/>
        <v>6.1564670886679034E-3</v>
      </c>
      <c r="J185" s="93">
        <f t="shared" si="41"/>
        <v>1.5571635647953407E-2</v>
      </c>
      <c r="K185" s="93">
        <f t="shared" si="41"/>
        <v>1.7004204066950402E-2</v>
      </c>
      <c r="L185" s="93">
        <f t="shared" si="41"/>
        <v>1.6446787657249988E-2</v>
      </c>
      <c r="M185" s="93">
        <f t="shared" si="41"/>
        <v>1.3977608772950062E-2</v>
      </c>
      <c r="N185" s="119">
        <f t="shared" si="40"/>
        <v>9.8533438498065451E-2</v>
      </c>
    </row>
    <row r="186" spans="2:14" x14ac:dyDescent="0.5">
      <c r="B186" s="8" t="s">
        <v>121</v>
      </c>
      <c r="C186" s="29" t="s">
        <v>102</v>
      </c>
      <c r="D186" s="29" t="s">
        <v>103</v>
      </c>
      <c r="E186" s="51" t="s">
        <v>119</v>
      </c>
      <c r="F186" s="64"/>
      <c r="G186" s="93">
        <f t="shared" si="41"/>
        <v>1.038877852705513E-2</v>
      </c>
      <c r="H186" s="93">
        <f t="shared" si="41"/>
        <v>2.0868023182914412E-2</v>
      </c>
      <c r="I186" s="93">
        <f t="shared" si="41"/>
        <v>6.5504716331885714E-3</v>
      </c>
      <c r="J186" s="93">
        <f t="shared" si="41"/>
        <v>1.6568196682480302E-2</v>
      </c>
      <c r="K186" s="93">
        <f t="shared" si="41"/>
        <v>1.809244730480793E-2</v>
      </c>
      <c r="L186" s="93">
        <f t="shared" si="41"/>
        <v>1.7499357091374103E-2</v>
      </c>
      <c r="M186" s="93">
        <f t="shared" si="41"/>
        <v>1.4872154508151237E-2</v>
      </c>
      <c r="N186" s="119">
        <f t="shared" si="40"/>
        <v>0.1048394289299717</v>
      </c>
    </row>
    <row r="187" spans="2:14" x14ac:dyDescent="0.5">
      <c r="B187" s="8" t="s">
        <v>122</v>
      </c>
      <c r="C187" s="29" t="s">
        <v>102</v>
      </c>
      <c r="D187" s="29" t="s">
        <v>103</v>
      </c>
      <c r="E187" s="51" t="s">
        <v>119</v>
      </c>
      <c r="F187" s="64"/>
      <c r="G187" s="93">
        <f t="shared" si="41"/>
        <v>1.0443610301055478E-2</v>
      </c>
      <c r="H187" s="93">
        <f t="shared" si="41"/>
        <v>2.0978164209409463E-2</v>
      </c>
      <c r="I187" s="93">
        <f t="shared" si="41"/>
        <v>6.5850448969511314E-3</v>
      </c>
      <c r="J187" s="93">
        <f t="shared" si="41"/>
        <v>1.665564330709755E-2</v>
      </c>
      <c r="K187" s="93">
        <f t="shared" si="41"/>
        <v>1.8187938895002771E-2</v>
      </c>
      <c r="L187" s="93">
        <f t="shared" si="41"/>
        <v>1.7591718362786987E-2</v>
      </c>
      <c r="M187" s="93">
        <f t="shared" si="41"/>
        <v>1.4950649454671233E-2</v>
      </c>
      <c r="N187" s="119">
        <f t="shared" si="40"/>
        <v>0.10539276942697461</v>
      </c>
    </row>
    <row r="188" spans="2:14" x14ac:dyDescent="0.5">
      <c r="B188" s="8" t="s">
        <v>123</v>
      </c>
      <c r="C188" s="29" t="s">
        <v>102</v>
      </c>
      <c r="D188" s="29" t="s">
        <v>103</v>
      </c>
      <c r="E188" s="51" t="s">
        <v>119</v>
      </c>
      <c r="F188" s="64"/>
      <c r="G188" s="93">
        <f t="shared" si="41"/>
        <v>6.8293351667200429E-3</v>
      </c>
      <c r="H188" s="93">
        <f t="shared" si="41"/>
        <v>1.3718140608336239E-2</v>
      </c>
      <c r="I188" s="93">
        <f t="shared" si="41"/>
        <v>4.3061237821784386E-3</v>
      </c>
      <c r="J188" s="93">
        <f t="shared" si="41"/>
        <v>1.0891537244549505E-2</v>
      </c>
      <c r="K188" s="93">
        <f t="shared" si="41"/>
        <v>1.1893543240812453E-2</v>
      </c>
      <c r="L188" s="93">
        <f t="shared" si="41"/>
        <v>1.150365988339052E-2</v>
      </c>
      <c r="M188" s="93">
        <f t="shared" si="41"/>
        <v>9.7765995802975413E-3</v>
      </c>
      <c r="N188" s="119">
        <f t="shared" si="40"/>
        <v>6.8918939506284735E-2</v>
      </c>
    </row>
    <row r="189" spans="2:14" x14ac:dyDescent="0.5">
      <c r="B189" s="8" t="s">
        <v>124</v>
      </c>
      <c r="C189" s="29" t="s">
        <v>102</v>
      </c>
      <c r="D189" s="29" t="s">
        <v>103</v>
      </c>
      <c r="E189" s="51" t="s">
        <v>124</v>
      </c>
      <c r="F189" s="64"/>
      <c r="G189" s="93">
        <f t="shared" si="41"/>
        <v>0</v>
      </c>
      <c r="H189" s="93">
        <f t="shared" si="41"/>
        <v>0</v>
      </c>
      <c r="I189" s="93">
        <f t="shared" si="41"/>
        <v>0</v>
      </c>
      <c r="J189" s="93">
        <f t="shared" si="41"/>
        <v>0</v>
      </c>
      <c r="K189" s="93">
        <f t="shared" si="41"/>
        <v>0</v>
      </c>
      <c r="L189" s="93">
        <f t="shared" si="41"/>
        <v>0</v>
      </c>
      <c r="M189" s="93">
        <f t="shared" si="41"/>
        <v>0</v>
      </c>
      <c r="N189" s="119">
        <f t="shared" si="40"/>
        <v>0</v>
      </c>
    </row>
    <row r="190" spans="2:14" x14ac:dyDescent="0.5">
      <c r="B190" s="8" t="s">
        <v>125</v>
      </c>
      <c r="C190" s="29" t="s">
        <v>102</v>
      </c>
      <c r="D190" s="29" t="s">
        <v>103</v>
      </c>
      <c r="E190" s="51" t="s">
        <v>125</v>
      </c>
      <c r="F190" s="64"/>
      <c r="G190" s="93">
        <f t="shared" si="41"/>
        <v>0</v>
      </c>
      <c r="H190" s="93">
        <f t="shared" si="41"/>
        <v>0</v>
      </c>
      <c r="I190" s="93">
        <f t="shared" si="41"/>
        <v>0</v>
      </c>
      <c r="J190" s="93">
        <f t="shared" si="41"/>
        <v>0</v>
      </c>
      <c r="K190" s="93">
        <f t="shared" si="41"/>
        <v>0</v>
      </c>
      <c r="L190" s="93">
        <f t="shared" si="41"/>
        <v>0</v>
      </c>
      <c r="M190" s="93">
        <f t="shared" si="41"/>
        <v>0</v>
      </c>
      <c r="N190" s="119">
        <f t="shared" si="40"/>
        <v>0</v>
      </c>
    </row>
    <row r="191" spans="2:14" x14ac:dyDescent="0.5">
      <c r="B191" s="8" t="s">
        <v>126</v>
      </c>
      <c r="C191" s="29" t="s">
        <v>102</v>
      </c>
      <c r="D191" s="29" t="s">
        <v>103</v>
      </c>
      <c r="E191" s="51" t="s">
        <v>127</v>
      </c>
      <c r="F191" s="64"/>
      <c r="G191" s="93">
        <f t="shared" si="41"/>
        <v>7.4574211253134501E-2</v>
      </c>
      <c r="H191" s="93">
        <f t="shared" si="41"/>
        <v>0.14825270038177399</v>
      </c>
      <c r="I191" s="93">
        <f t="shared" si="41"/>
        <v>4.6041846505810863E-2</v>
      </c>
      <c r="J191" s="93">
        <f t="shared" si="41"/>
        <v>0.11526673185416607</v>
      </c>
      <c r="K191" s="93">
        <f t="shared" si="41"/>
        <v>0.12454973033963898</v>
      </c>
      <c r="L191" s="93">
        <f t="shared" si="41"/>
        <v>0.11919690689795288</v>
      </c>
      <c r="M191" s="93">
        <f t="shared" si="41"/>
        <v>0.10023576824986022</v>
      </c>
      <c r="N191" s="119">
        <f t="shared" si="40"/>
        <v>0.72811789548233752</v>
      </c>
    </row>
    <row r="192" spans="2:14" x14ac:dyDescent="0.5">
      <c r="B192" s="8" t="s">
        <v>128</v>
      </c>
      <c r="C192" s="29" t="s">
        <v>102</v>
      </c>
      <c r="D192" s="29" t="s">
        <v>103</v>
      </c>
      <c r="E192" s="51" t="s">
        <v>127</v>
      </c>
      <c r="F192" s="64"/>
      <c r="G192" s="93">
        <f t="shared" ref="G192:M201" si="42">F149*G27</f>
        <v>6.6701175148943762E-2</v>
      </c>
      <c r="H192" s="93">
        <f t="shared" si="42"/>
        <v>0.13260119240018042</v>
      </c>
      <c r="I192" s="93">
        <f t="shared" si="42"/>
        <v>4.1181062680509313E-2</v>
      </c>
      <c r="J192" s="93">
        <f t="shared" si="42"/>
        <v>0.1030976572337251</v>
      </c>
      <c r="K192" s="93">
        <f t="shared" si="42"/>
        <v>0.11140062011435339</v>
      </c>
      <c r="L192" s="93">
        <f t="shared" si="42"/>
        <v>0.10661291122778747</v>
      </c>
      <c r="M192" s="93">
        <f t="shared" si="42"/>
        <v>8.9653560150015577E-2</v>
      </c>
      <c r="N192" s="119">
        <f t="shared" si="40"/>
        <v>0.65124817895551501</v>
      </c>
    </row>
    <row r="193" spans="2:23" x14ac:dyDescent="0.5">
      <c r="B193" s="8" t="s">
        <v>129</v>
      </c>
      <c r="C193" s="29" t="s">
        <v>102</v>
      </c>
      <c r="D193" s="29" t="s">
        <v>103</v>
      </c>
      <c r="E193" s="51" t="s">
        <v>127</v>
      </c>
      <c r="F193" s="64"/>
      <c r="G193" s="93">
        <f t="shared" si="42"/>
        <v>7.4093679297711351E-2</v>
      </c>
      <c r="H193" s="93">
        <f t="shared" si="42"/>
        <v>0.1479812270415477</v>
      </c>
      <c r="I193" s="93">
        <f t="shared" si="42"/>
        <v>4.606394239990539E-2</v>
      </c>
      <c r="J193" s="93">
        <f t="shared" si="42"/>
        <v>0.11539676822042248</v>
      </c>
      <c r="K193" s="93">
        <f t="shared" si="42"/>
        <v>0.1247112096628598</v>
      </c>
      <c r="L193" s="93">
        <f t="shared" si="42"/>
        <v>0.11940623519037856</v>
      </c>
      <c r="M193" s="93">
        <f t="shared" si="42"/>
        <v>0.10049993316634263</v>
      </c>
      <c r="N193" s="119">
        <f t="shared" si="40"/>
        <v>0.72815299497916786</v>
      </c>
    </row>
    <row r="194" spans="2:23" x14ac:dyDescent="0.5">
      <c r="B194" s="8" t="s">
        <v>130</v>
      </c>
      <c r="C194" s="29" t="s">
        <v>102</v>
      </c>
      <c r="D194" s="29" t="s">
        <v>103</v>
      </c>
      <c r="E194" s="51" t="s">
        <v>127</v>
      </c>
      <c r="F194" s="64"/>
      <c r="G194" s="93">
        <f t="shared" si="42"/>
        <v>2.4468153124660736E-2</v>
      </c>
      <c r="H194" s="93">
        <f t="shared" si="42"/>
        <v>4.8868234877082382E-2</v>
      </c>
      <c r="I194" s="93">
        <f t="shared" si="42"/>
        <v>1.5211818428366964E-2</v>
      </c>
      <c r="J194" s="93">
        <f t="shared" si="42"/>
        <v>3.8107782224758496E-2</v>
      </c>
      <c r="K194" s="93">
        <f t="shared" si="42"/>
        <v>4.1183715039061077E-2</v>
      </c>
      <c r="L194" s="93">
        <f t="shared" si="42"/>
        <v>3.9431839184799158E-2</v>
      </c>
      <c r="M194" s="93">
        <f t="shared" si="42"/>
        <v>3.3188360694732015E-2</v>
      </c>
      <c r="N194" s="119">
        <f t="shared" si="40"/>
        <v>0.24045990357346086</v>
      </c>
    </row>
    <row r="195" spans="2:23" x14ac:dyDescent="0.5">
      <c r="B195" s="8" t="s">
        <v>131</v>
      </c>
      <c r="C195" s="29" t="s">
        <v>102</v>
      </c>
      <c r="D195" s="29" t="s">
        <v>103</v>
      </c>
      <c r="E195" s="51" t="s">
        <v>127</v>
      </c>
      <c r="F195" s="64"/>
      <c r="G195" s="93">
        <f t="shared" si="42"/>
        <v>3.1751639252649941E-2</v>
      </c>
      <c r="H195" s="93">
        <f t="shared" si="42"/>
        <v>6.3414944185837499E-2</v>
      </c>
      <c r="I195" s="93">
        <f t="shared" si="42"/>
        <v>1.973995211872033E-2</v>
      </c>
      <c r="J195" s="93">
        <f t="shared" si="42"/>
        <v>4.9451405169586314E-2</v>
      </c>
      <c r="K195" s="93">
        <f t="shared" si="42"/>
        <v>5.3442957314430842E-2</v>
      </c>
      <c r="L195" s="93">
        <f t="shared" si="42"/>
        <v>5.1169596924026485E-2</v>
      </c>
      <c r="M195" s="93">
        <f t="shared" si="42"/>
        <v>4.3067609181498802E-2</v>
      </c>
      <c r="N195" s="119">
        <f t="shared" si="40"/>
        <v>0.31203810414675026</v>
      </c>
    </row>
    <row r="196" spans="2:23" x14ac:dyDescent="0.5">
      <c r="B196" s="8" t="s">
        <v>132</v>
      </c>
      <c r="C196" s="29" t="s">
        <v>102</v>
      </c>
      <c r="D196" s="29" t="s">
        <v>103</v>
      </c>
      <c r="E196" s="51" t="s">
        <v>127</v>
      </c>
      <c r="F196" s="64"/>
      <c r="G196" s="93">
        <f t="shared" si="42"/>
        <v>8.3044262826320325E-2</v>
      </c>
      <c r="H196" s="93">
        <f t="shared" si="42"/>
        <v>0.16509106845831076</v>
      </c>
      <c r="I196" s="93">
        <f t="shared" si="42"/>
        <v>5.127122550795931E-2</v>
      </c>
      <c r="J196" s="93">
        <f t="shared" si="42"/>
        <v>0.12835859225833937</v>
      </c>
      <c r="K196" s="93">
        <f t="shared" si="42"/>
        <v>0.13869594283959066</v>
      </c>
      <c r="L196" s="93">
        <f t="shared" si="42"/>
        <v>0.13273515198059804</v>
      </c>
      <c r="M196" s="93">
        <f t="shared" si="42"/>
        <v>0.11162042941204627</v>
      </c>
      <c r="N196" s="119">
        <f t="shared" si="40"/>
        <v>0.81081667328316476</v>
      </c>
      <c r="O196" s="152"/>
      <c r="P196" s="152"/>
      <c r="Q196" s="152"/>
      <c r="R196" s="152"/>
      <c r="S196" s="152"/>
      <c r="T196" s="152"/>
      <c r="U196" s="152"/>
      <c r="V196" s="152"/>
      <c r="W196" s="152"/>
    </row>
    <row r="197" spans="2:23" x14ac:dyDescent="0.5">
      <c r="B197" s="8" t="s">
        <v>133</v>
      </c>
      <c r="C197" s="29" t="s">
        <v>102</v>
      </c>
      <c r="D197" s="29" t="s">
        <v>103</v>
      </c>
      <c r="E197" s="51" t="s">
        <v>127</v>
      </c>
      <c r="F197" s="64"/>
      <c r="G197" s="93">
        <f t="shared" si="42"/>
        <v>6.4806963045561536E-2</v>
      </c>
      <c r="H197" s="93">
        <f t="shared" si="42"/>
        <v>0.12943363055011173</v>
      </c>
      <c r="I197" s="93">
        <f t="shared" si="42"/>
        <v>4.0290403191460281E-2</v>
      </c>
      <c r="J197" s="93">
        <f t="shared" si="42"/>
        <v>0.10093322621473799</v>
      </c>
      <c r="K197" s="93">
        <f t="shared" si="42"/>
        <v>0.10908021888768421</v>
      </c>
      <c r="L197" s="93">
        <f t="shared" si="42"/>
        <v>0.10444015663332729</v>
      </c>
      <c r="M197" s="93">
        <f t="shared" si="42"/>
        <v>8.7903523168591693E-2</v>
      </c>
      <c r="N197" s="119">
        <f t="shared" si="40"/>
        <v>0.63688812169147468</v>
      </c>
    </row>
    <row r="198" spans="2:23" x14ac:dyDescent="0.5">
      <c r="B198" s="8" t="s">
        <v>134</v>
      </c>
      <c r="C198" s="29" t="s">
        <v>102</v>
      </c>
      <c r="D198" s="29" t="s">
        <v>103</v>
      </c>
      <c r="E198" s="51" t="s">
        <v>127</v>
      </c>
      <c r="F198" s="64"/>
      <c r="G198" s="93">
        <f t="shared" si="42"/>
        <v>0.11587978918257583</v>
      </c>
      <c r="H198" s="93">
        <f t="shared" si="42"/>
        <v>0.23143719619661418</v>
      </c>
      <c r="I198" s="93">
        <f t="shared" si="42"/>
        <v>7.2042311635943157E-2</v>
      </c>
      <c r="J198" s="93">
        <f t="shared" si="42"/>
        <v>0.18047630108910204</v>
      </c>
      <c r="K198" s="93">
        <f t="shared" si="42"/>
        <v>0.19504374491067542</v>
      </c>
      <c r="L198" s="93">
        <f t="shared" si="42"/>
        <v>0.1867469599579398</v>
      </c>
      <c r="M198" s="93">
        <f t="shared" si="42"/>
        <v>0.15717819898489604</v>
      </c>
      <c r="N198" s="119">
        <f t="shared" si="40"/>
        <v>1.1388045019577464</v>
      </c>
    </row>
    <row r="199" spans="2:23" x14ac:dyDescent="0.5">
      <c r="B199" s="8" t="s">
        <v>135</v>
      </c>
      <c r="C199" s="29" t="s">
        <v>102</v>
      </c>
      <c r="D199" s="29" t="s">
        <v>103</v>
      </c>
      <c r="E199" s="51" t="s">
        <v>127</v>
      </c>
      <c r="F199" s="64"/>
      <c r="G199" s="93">
        <f t="shared" si="42"/>
        <v>1.4650002080075457E-2</v>
      </c>
      <c r="H199" s="93">
        <f t="shared" si="42"/>
        <v>2.9259247273441258E-2</v>
      </c>
      <c r="I199" s="93">
        <f t="shared" si="42"/>
        <v>9.1078869125066457E-3</v>
      </c>
      <c r="J199" s="93">
        <f t="shared" si="42"/>
        <v>2.2816560204419401E-2</v>
      </c>
      <c r="K199" s="93">
        <f t="shared" si="42"/>
        <v>2.4658236684786367E-2</v>
      </c>
      <c r="L199" s="93">
        <f t="shared" si="42"/>
        <v>2.3609322826097782E-2</v>
      </c>
      <c r="M199" s="93">
        <f t="shared" si="42"/>
        <v>1.9871117805049295E-2</v>
      </c>
      <c r="N199" s="119">
        <f t="shared" si="40"/>
        <v>0.1439723737863762</v>
      </c>
    </row>
    <row r="200" spans="2:23" x14ac:dyDescent="0.5">
      <c r="B200" s="8" t="s">
        <v>136</v>
      </c>
      <c r="C200" s="29" t="s">
        <v>102</v>
      </c>
      <c r="D200" s="29" t="s">
        <v>103</v>
      </c>
      <c r="E200" s="51" t="s">
        <v>127</v>
      </c>
      <c r="F200" s="64"/>
      <c r="G200" s="93">
        <f t="shared" si="42"/>
        <v>5.7960733165872316E-2</v>
      </c>
      <c r="H200" s="93">
        <f t="shared" si="42"/>
        <v>0.1157602172737351</v>
      </c>
      <c r="I200" s="93">
        <f t="shared" si="42"/>
        <v>3.6034111132223094E-2</v>
      </c>
      <c r="J200" s="93">
        <f t="shared" si="42"/>
        <v>9.0270605460869832E-2</v>
      </c>
      <c r="K200" s="93">
        <f t="shared" si="42"/>
        <v>9.7556947024028354E-2</v>
      </c>
      <c r="L200" s="93">
        <f t="shared" si="42"/>
        <v>9.3407062543116273E-2</v>
      </c>
      <c r="M200" s="93">
        <f t="shared" si="42"/>
        <v>7.8617364728738925E-2</v>
      </c>
      <c r="N200" s="119">
        <f t="shared" si="40"/>
        <v>0.56960704132858386</v>
      </c>
    </row>
    <row r="201" spans="2:23" x14ac:dyDescent="0.5">
      <c r="B201" s="8" t="s">
        <v>137</v>
      </c>
      <c r="C201" s="29" t="s">
        <v>102</v>
      </c>
      <c r="D201" s="29" t="s">
        <v>103</v>
      </c>
      <c r="E201" s="51" t="s">
        <v>127</v>
      </c>
      <c r="F201" s="64"/>
      <c r="G201" s="93">
        <f t="shared" si="42"/>
        <v>1.0365723340887265E-2</v>
      </c>
      <c r="H201" s="93">
        <f t="shared" si="42"/>
        <v>2.0702608828403662E-2</v>
      </c>
      <c r="I201" s="93">
        <f t="shared" si="42"/>
        <v>6.4443564880808223E-3</v>
      </c>
      <c r="J201" s="93">
        <f t="shared" si="42"/>
        <v>1.6144035296170523E-2</v>
      </c>
      <c r="K201" s="93">
        <f t="shared" si="42"/>
        <v>1.7447127867390458E-2</v>
      </c>
      <c r="L201" s="93">
        <f t="shared" si="42"/>
        <v>1.6704960678050895E-2</v>
      </c>
      <c r="M201" s="93">
        <f t="shared" si="42"/>
        <v>1.4059964532118288E-2</v>
      </c>
      <c r="N201" s="119">
        <f t="shared" si="40"/>
        <v>0.10186877703110192</v>
      </c>
    </row>
    <row r="202" spans="2:23" x14ac:dyDescent="0.5">
      <c r="B202" s="8" t="s">
        <v>138</v>
      </c>
      <c r="C202" s="29" t="s">
        <v>102</v>
      </c>
      <c r="D202" s="29" t="s">
        <v>103</v>
      </c>
      <c r="E202" s="51" t="s">
        <v>127</v>
      </c>
      <c r="F202" s="64"/>
      <c r="G202" s="93">
        <f t="shared" ref="G202:M206" si="43">F159*G37</f>
        <v>3.0754586805058656E-2</v>
      </c>
      <c r="H202" s="93">
        <f t="shared" si="43"/>
        <v>6.1423613130100689E-2</v>
      </c>
      <c r="I202" s="93">
        <f t="shared" si="43"/>
        <v>1.9120085931066347E-2</v>
      </c>
      <c r="J202" s="93">
        <f t="shared" si="43"/>
        <v>4.7898551656454735E-2</v>
      </c>
      <c r="K202" s="93">
        <f t="shared" si="43"/>
        <v>5.1764762655790574E-2</v>
      </c>
      <c r="L202" s="93">
        <f t="shared" si="43"/>
        <v>4.956278943136759E-2</v>
      </c>
      <c r="M202" s="93">
        <f t="shared" si="43"/>
        <v>4.1715217111135558E-2</v>
      </c>
      <c r="N202" s="119">
        <f t="shared" si="40"/>
        <v>0.30223960672097416</v>
      </c>
    </row>
    <row r="203" spans="2:23" x14ac:dyDescent="0.5">
      <c r="B203" s="8" t="s">
        <v>139</v>
      </c>
      <c r="C203" s="29" t="s">
        <v>102</v>
      </c>
      <c r="D203" s="29" t="s">
        <v>103</v>
      </c>
      <c r="E203" s="51" t="s">
        <v>127</v>
      </c>
      <c r="F203" s="64"/>
      <c r="G203" s="93">
        <f t="shared" si="43"/>
        <v>4.2300387685268025E-2</v>
      </c>
      <c r="H203" s="93">
        <f t="shared" si="43"/>
        <v>8.4901374366425295E-2</v>
      </c>
      <c r="I203" s="93">
        <f t="shared" si="43"/>
        <v>2.6493707061529582E-2</v>
      </c>
      <c r="J203" s="93">
        <f t="shared" si="43"/>
        <v>6.6416572072935109E-2</v>
      </c>
      <c r="K203" s="93">
        <f t="shared" si="43"/>
        <v>7.1790427455976649E-2</v>
      </c>
      <c r="L203" s="93">
        <f t="shared" si="43"/>
        <v>6.8770393300109908E-2</v>
      </c>
      <c r="M203" s="93">
        <f t="shared" si="43"/>
        <v>5.7935952478397328E-2</v>
      </c>
      <c r="N203" s="119">
        <f t="shared" si="40"/>
        <v>0.41860881442064191</v>
      </c>
    </row>
    <row r="204" spans="2:23" x14ac:dyDescent="0.5">
      <c r="B204" s="8" t="s">
        <v>140</v>
      </c>
      <c r="C204" s="29" t="s">
        <v>102</v>
      </c>
      <c r="D204" s="29" t="s">
        <v>103</v>
      </c>
      <c r="E204" s="51" t="s">
        <v>127</v>
      </c>
      <c r="F204" s="64"/>
      <c r="G204" s="93">
        <f t="shared" si="43"/>
        <v>5.0688298161889689E-2</v>
      </c>
      <c r="H204" s="93">
        <f t="shared" si="43"/>
        <v>0.10123557946832795</v>
      </c>
      <c r="I204" s="93">
        <f t="shared" si="43"/>
        <v>3.1512847911044944E-2</v>
      </c>
      <c r="J204" s="93">
        <f t="shared" si="43"/>
        <v>7.8944194024603218E-2</v>
      </c>
      <c r="K204" s="93">
        <f t="shared" si="43"/>
        <v>8.5316305512665169E-2</v>
      </c>
      <c r="L204" s="93">
        <f t="shared" si="43"/>
        <v>8.1687114327248525E-2</v>
      </c>
      <c r="M204" s="93">
        <f t="shared" si="43"/>
        <v>6.8753105877182627E-2</v>
      </c>
      <c r="N204" s="119">
        <f t="shared" si="40"/>
        <v>0.49813744528296211</v>
      </c>
    </row>
    <row r="205" spans="2:23" x14ac:dyDescent="0.5">
      <c r="B205" s="8" t="s">
        <v>141</v>
      </c>
      <c r="C205" s="29" t="s">
        <v>102</v>
      </c>
      <c r="D205" s="29" t="s">
        <v>103</v>
      </c>
      <c r="E205" s="51" t="s">
        <v>127</v>
      </c>
      <c r="F205" s="64"/>
      <c r="G205" s="93">
        <f t="shared" si="43"/>
        <v>1.8218171562159081E-2</v>
      </c>
      <c r="H205" s="93">
        <f t="shared" si="43"/>
        <v>3.6217521911705124E-2</v>
      </c>
      <c r="I205" s="93">
        <f t="shared" si="43"/>
        <v>1.1247832790805422E-2</v>
      </c>
      <c r="J205" s="93">
        <f t="shared" si="43"/>
        <v>2.8159186145469549E-2</v>
      </c>
      <c r="K205" s="93">
        <f t="shared" si="43"/>
        <v>3.0426984304883539E-2</v>
      </c>
      <c r="L205" s="93">
        <f t="shared" si="43"/>
        <v>2.9119311663579065E-2</v>
      </c>
      <c r="M205" s="93">
        <f t="shared" si="43"/>
        <v>2.4487183866312986E-2</v>
      </c>
      <c r="N205" s="119">
        <f t="shared" si="40"/>
        <v>0.17787619224491477</v>
      </c>
    </row>
    <row r="206" spans="2:23" x14ac:dyDescent="0.5">
      <c r="B206" s="8" t="s">
        <v>142</v>
      </c>
      <c r="C206" s="29" t="s">
        <v>102</v>
      </c>
      <c r="D206" s="29" t="s">
        <v>103</v>
      </c>
      <c r="E206" s="51" t="s">
        <v>127</v>
      </c>
      <c r="F206" s="64"/>
      <c r="G206" s="93">
        <f t="shared" si="43"/>
        <v>0.12230186384500798</v>
      </c>
      <c r="H206" s="93">
        <f t="shared" si="43"/>
        <v>0.24313474151541062</v>
      </c>
      <c r="I206" s="93">
        <f t="shared" si="43"/>
        <v>7.5508725441460908E-2</v>
      </c>
      <c r="J206" s="93">
        <f t="shared" si="43"/>
        <v>0.18903768351280714</v>
      </c>
      <c r="K206" s="93">
        <f t="shared" si="43"/>
        <v>0.20426182062087483</v>
      </c>
      <c r="L206" s="93">
        <f t="shared" si="43"/>
        <v>0.19548317887930439</v>
      </c>
      <c r="M206" s="93">
        <f t="shared" si="43"/>
        <v>0.16438687147869643</v>
      </c>
      <c r="N206" s="119">
        <f t="shared" si="40"/>
        <v>1.1941148852935624</v>
      </c>
    </row>
    <row r="207" spans="2:23" x14ac:dyDescent="0.5">
      <c r="B207" s="8" t="s">
        <v>192</v>
      </c>
      <c r="C207" s="29" t="s">
        <v>102</v>
      </c>
      <c r="D207" s="29" t="s">
        <v>103</v>
      </c>
      <c r="E207" s="8"/>
      <c r="F207" s="64"/>
      <c r="G207" s="98">
        <f t="shared" ref="G207:M207" si="44">SUM(G172:G206)</f>
        <v>1.9429528668745741</v>
      </c>
      <c r="H207" s="98">
        <f t="shared" si="44"/>
        <v>3.9007043955623169</v>
      </c>
      <c r="I207" s="98">
        <f t="shared" si="44"/>
        <v>1.2183887242707165</v>
      </c>
      <c r="J207" s="98">
        <f t="shared" si="44"/>
        <v>3.0576242328263055</v>
      </c>
      <c r="K207" s="98">
        <f t="shared" si="44"/>
        <v>3.3094663154894439</v>
      </c>
      <c r="L207" s="98">
        <f t="shared" si="44"/>
        <v>3.1744291459851017</v>
      </c>
      <c r="M207" s="98">
        <f t="shared" si="44"/>
        <v>2.677606760056388</v>
      </c>
      <c r="N207" s="119">
        <f>SUM(G207:M207)</f>
        <v>19.281172441064847</v>
      </c>
    </row>
    <row r="209" spans="1:14" ht="19" thickBot="1" x14ac:dyDescent="0.55000000000000004">
      <c r="A209" s="14" t="s">
        <v>388</v>
      </c>
    </row>
    <row r="210" spans="1:14" ht="19" thickTop="1" x14ac:dyDescent="0.5">
      <c r="A210" s="23"/>
    </row>
    <row r="211" spans="1:14" ht="17" thickBot="1" x14ac:dyDescent="0.55000000000000004">
      <c r="B211" s="27" t="s">
        <v>302</v>
      </c>
      <c r="C211" s="27" t="s">
        <v>96</v>
      </c>
      <c r="D211" s="27" t="s">
        <v>97</v>
      </c>
      <c r="E211" s="50" t="s">
        <v>98</v>
      </c>
      <c r="F211" s="12">
        <v>2024</v>
      </c>
      <c r="G211" s="12">
        <v>2025</v>
      </c>
      <c r="H211" s="12">
        <v>2026</v>
      </c>
      <c r="I211" s="12">
        <v>2027</v>
      </c>
      <c r="J211" s="12">
        <v>2028</v>
      </c>
      <c r="K211" s="12">
        <v>2029</v>
      </c>
      <c r="L211" s="12">
        <v>2030</v>
      </c>
      <c r="M211" s="12">
        <v>2031</v>
      </c>
      <c r="N211" s="12" t="s">
        <v>57</v>
      </c>
    </row>
    <row r="212" spans="1:14" x14ac:dyDescent="0.5">
      <c r="B212" s="8" t="s">
        <v>101</v>
      </c>
      <c r="C212" s="29" t="s">
        <v>102</v>
      </c>
      <c r="D212" s="29" t="s">
        <v>103</v>
      </c>
      <c r="E212" s="51" t="s">
        <v>104</v>
      </c>
      <c r="F212" s="64"/>
      <c r="G212" s="93">
        <f t="shared" ref="G212:M221" si="45">F129*(1+G7)*G46</f>
        <v>2.8841428623419292</v>
      </c>
      <c r="H212" s="93">
        <f t="shared" si="45"/>
        <v>1.453167942972297</v>
      </c>
      <c r="I212" s="93">
        <f t="shared" si="45"/>
        <v>0.40640359841737678</v>
      </c>
      <c r="J212" s="93">
        <f t="shared" si="45"/>
        <v>0.10499467412148536</v>
      </c>
      <c r="K212" s="93">
        <f t="shared" si="45"/>
        <v>0.2848268609478683</v>
      </c>
      <c r="L212" s="93">
        <f t="shared" si="45"/>
        <v>0.54175766266827108</v>
      </c>
      <c r="M212" s="93">
        <f t="shared" si="45"/>
        <v>0.53946922454140089</v>
      </c>
      <c r="N212" s="119">
        <f t="shared" ref="N212:N246" si="46">SUM(G212:M212)</f>
        <v>6.2147628260106291</v>
      </c>
    </row>
    <row r="213" spans="1:14" x14ac:dyDescent="0.5">
      <c r="B213" s="8" t="s">
        <v>105</v>
      </c>
      <c r="C213" s="29" t="s">
        <v>102</v>
      </c>
      <c r="D213" s="29" t="s">
        <v>103</v>
      </c>
      <c r="E213" s="51" t="s">
        <v>104</v>
      </c>
      <c r="F213" s="64"/>
      <c r="G213" s="93">
        <f t="shared" si="45"/>
        <v>0.42926317076005549</v>
      </c>
      <c r="H213" s="93">
        <f t="shared" si="45"/>
        <v>0.21628314151561687</v>
      </c>
      <c r="I213" s="93">
        <f t="shared" si="45"/>
        <v>6.0487328676667007E-2</v>
      </c>
      <c r="J213" s="93">
        <f t="shared" si="45"/>
        <v>1.5626946679648993E-2</v>
      </c>
      <c r="K213" s="93">
        <f t="shared" si="45"/>
        <v>4.2392380434593119E-2</v>
      </c>
      <c r="L213" s="93">
        <f t="shared" si="45"/>
        <v>8.0632833795099251E-2</v>
      </c>
      <c r="M213" s="93">
        <f t="shared" si="45"/>
        <v>8.0292232703782024E-2</v>
      </c>
      <c r="N213" s="119">
        <f t="shared" si="46"/>
        <v>0.92497803456546279</v>
      </c>
    </row>
    <row r="214" spans="1:14" x14ac:dyDescent="0.5">
      <c r="B214" s="8" t="s">
        <v>106</v>
      </c>
      <c r="C214" s="29" t="s">
        <v>102</v>
      </c>
      <c r="D214" s="29" t="s">
        <v>103</v>
      </c>
      <c r="E214" s="51" t="s">
        <v>104</v>
      </c>
      <c r="F214" s="64"/>
      <c r="G214" s="93">
        <f t="shared" si="45"/>
        <v>0.3381417873423106</v>
      </c>
      <c r="H214" s="93">
        <f t="shared" si="45"/>
        <v>0.17037186748308389</v>
      </c>
      <c r="I214" s="93">
        <f t="shared" si="45"/>
        <v>4.7647445258523533E-2</v>
      </c>
      <c r="J214" s="93">
        <f t="shared" si="45"/>
        <v>1.2309753179159073E-2</v>
      </c>
      <c r="K214" s="93">
        <f t="shared" si="45"/>
        <v>3.3393582925988131E-2</v>
      </c>
      <c r="L214" s="93">
        <f t="shared" si="45"/>
        <v>6.3516584685507041E-2</v>
      </c>
      <c r="M214" s="93">
        <f t="shared" si="45"/>
        <v>6.3248284328910345E-2</v>
      </c>
      <c r="N214" s="119">
        <f t="shared" si="46"/>
        <v>0.72862930520348257</v>
      </c>
    </row>
    <row r="215" spans="1:14" x14ac:dyDescent="0.5">
      <c r="B215" s="8" t="s">
        <v>107</v>
      </c>
      <c r="C215" s="29" t="s">
        <v>102</v>
      </c>
      <c r="D215" s="29" t="s">
        <v>103</v>
      </c>
      <c r="E215" s="51" t="s">
        <v>104</v>
      </c>
      <c r="F215" s="64"/>
      <c r="G215" s="93">
        <f t="shared" si="45"/>
        <v>0.92086819717688795</v>
      </c>
      <c r="H215" s="93">
        <f t="shared" si="45"/>
        <v>0.46397706622394719</v>
      </c>
      <c r="I215" s="93">
        <f t="shared" si="45"/>
        <v>0.12975922721696345</v>
      </c>
      <c r="J215" s="93">
        <f t="shared" si="45"/>
        <v>3.3523393564810329E-2</v>
      </c>
      <c r="K215" s="93">
        <f t="shared" si="45"/>
        <v>9.0941402859509315E-2</v>
      </c>
      <c r="L215" s="93">
        <f t="shared" si="45"/>
        <v>0.1729759675368501</v>
      </c>
      <c r="M215" s="93">
        <f t="shared" si="45"/>
        <v>0.17224529988520312</v>
      </c>
      <c r="N215" s="119">
        <f t="shared" si="46"/>
        <v>1.9842905544641714</v>
      </c>
    </row>
    <row r="216" spans="1:14" x14ac:dyDescent="0.5">
      <c r="B216" s="8" t="s">
        <v>108</v>
      </c>
      <c r="C216" s="29" t="s">
        <v>102</v>
      </c>
      <c r="D216" s="29" t="s">
        <v>103</v>
      </c>
      <c r="E216" s="51" t="s">
        <v>104</v>
      </c>
      <c r="F216" s="64"/>
      <c r="G216" s="93">
        <f t="shared" si="45"/>
        <v>0.35282022967612486</v>
      </c>
      <c r="H216" s="93">
        <f t="shared" si="45"/>
        <v>0.17776756279720102</v>
      </c>
      <c r="I216" s="93">
        <f t="shared" si="45"/>
        <v>4.9715779619318758E-2</v>
      </c>
      <c r="J216" s="93">
        <f t="shared" si="45"/>
        <v>1.2844108910829878E-2</v>
      </c>
      <c r="K216" s="93">
        <f t="shared" si="45"/>
        <v>3.484316945935071E-2</v>
      </c>
      <c r="L216" s="93">
        <f t="shared" si="45"/>
        <v>6.6273784654416037E-2</v>
      </c>
      <c r="M216" s="93">
        <f t="shared" si="45"/>
        <v>6.5993837611547881E-2</v>
      </c>
      <c r="N216" s="119">
        <f t="shared" si="46"/>
        <v>0.7602584727287891</v>
      </c>
    </row>
    <row r="217" spans="1:14" x14ac:dyDescent="0.5">
      <c r="B217" s="8" t="s">
        <v>109</v>
      </c>
      <c r="C217" s="29" t="s">
        <v>102</v>
      </c>
      <c r="D217" s="29" t="s">
        <v>103</v>
      </c>
      <c r="E217" s="51" t="s">
        <v>104</v>
      </c>
      <c r="F217" s="64"/>
      <c r="G217" s="93">
        <f t="shared" si="45"/>
        <v>2.4754922782294337</v>
      </c>
      <c r="H217" s="93">
        <f t="shared" si="45"/>
        <v>1.2472704000790906</v>
      </c>
      <c r="I217" s="93">
        <f t="shared" si="45"/>
        <v>0.3488207823762095</v>
      </c>
      <c r="J217" s="93">
        <f t="shared" si="45"/>
        <v>9.011811045722698E-2</v>
      </c>
      <c r="K217" s="93">
        <f t="shared" si="45"/>
        <v>0.24447010032514307</v>
      </c>
      <c r="L217" s="93">
        <f t="shared" si="45"/>
        <v>0.46499669906016461</v>
      </c>
      <c r="M217" s="93">
        <f t="shared" si="45"/>
        <v>0.46303250686072794</v>
      </c>
      <c r="N217" s="119">
        <f t="shared" si="46"/>
        <v>5.3342008773879961</v>
      </c>
    </row>
    <row r="218" spans="1:14" x14ac:dyDescent="0.5">
      <c r="B218" s="8" t="s">
        <v>110</v>
      </c>
      <c r="C218" s="29" t="s">
        <v>102</v>
      </c>
      <c r="D218" s="29" t="s">
        <v>103</v>
      </c>
      <c r="E218" s="51" t="s">
        <v>104</v>
      </c>
      <c r="F218" s="64"/>
      <c r="G218" s="93">
        <f t="shared" si="45"/>
        <v>0</v>
      </c>
      <c r="H218" s="93">
        <f t="shared" si="45"/>
        <v>0</v>
      </c>
      <c r="I218" s="93">
        <f t="shared" si="45"/>
        <v>0</v>
      </c>
      <c r="J218" s="93">
        <f t="shared" si="45"/>
        <v>0</v>
      </c>
      <c r="K218" s="93">
        <f t="shared" si="45"/>
        <v>0</v>
      </c>
      <c r="L218" s="93">
        <f t="shared" si="45"/>
        <v>0</v>
      </c>
      <c r="M218" s="93">
        <f t="shared" si="45"/>
        <v>0</v>
      </c>
      <c r="N218" s="119">
        <f t="shared" si="46"/>
        <v>0</v>
      </c>
    </row>
    <row r="219" spans="1:14" x14ac:dyDescent="0.5">
      <c r="B219" s="8" t="s">
        <v>111</v>
      </c>
      <c r="C219" s="29" t="s">
        <v>102</v>
      </c>
      <c r="D219" s="29" t="s">
        <v>103</v>
      </c>
      <c r="E219" s="51" t="s">
        <v>112</v>
      </c>
      <c r="F219" s="64"/>
      <c r="G219" s="93">
        <f t="shared" si="45"/>
        <v>0.22204203609739664</v>
      </c>
      <c r="H219" s="93">
        <f t="shared" si="45"/>
        <v>0.10992147686374232</v>
      </c>
      <c r="I219" s="93">
        <f t="shared" si="45"/>
        <v>3.0493139332503288E-2</v>
      </c>
      <c r="J219" s="93">
        <f t="shared" si="45"/>
        <v>7.8389237415067634E-3</v>
      </c>
      <c r="K219" s="93">
        <f t="shared" si="45"/>
        <v>2.1184706354064761E-2</v>
      </c>
      <c r="L219" s="93">
        <f t="shared" si="45"/>
        <v>4.0111758994529026E-2</v>
      </c>
      <c r="M219" s="93">
        <f t="shared" si="45"/>
        <v>3.9730558873406881E-2</v>
      </c>
      <c r="N219" s="119">
        <f t="shared" si="46"/>
        <v>0.47132260025714967</v>
      </c>
    </row>
    <row r="220" spans="1:14" x14ac:dyDescent="0.5">
      <c r="B220" s="8" t="s">
        <v>113</v>
      </c>
      <c r="C220" s="29" t="s">
        <v>102</v>
      </c>
      <c r="D220" s="29" t="s">
        <v>103</v>
      </c>
      <c r="E220" s="51" t="s">
        <v>112</v>
      </c>
      <c r="F220" s="64"/>
      <c r="G220" s="93">
        <f t="shared" si="45"/>
        <v>0.20812847482282026</v>
      </c>
      <c r="H220" s="93">
        <f t="shared" si="45"/>
        <v>0.10303359549399685</v>
      </c>
      <c r="I220" s="93">
        <f t="shared" si="45"/>
        <v>2.8582383288224902E-2</v>
      </c>
      <c r="J220" s="93">
        <f t="shared" si="45"/>
        <v>7.3477224008905899E-3</v>
      </c>
      <c r="K220" s="93">
        <f t="shared" si="45"/>
        <v>1.9857233794716152E-2</v>
      </c>
      <c r="L220" s="93">
        <f t="shared" si="45"/>
        <v>3.7598282598750456E-2</v>
      </c>
      <c r="M220" s="93">
        <f t="shared" si="45"/>
        <v>3.724096917645494E-2</v>
      </c>
      <c r="N220" s="119">
        <f t="shared" si="46"/>
        <v>0.44178866157585411</v>
      </c>
    </row>
    <row r="221" spans="1:14" x14ac:dyDescent="0.5">
      <c r="B221" s="8" t="s">
        <v>114</v>
      </c>
      <c r="C221" s="29" t="s">
        <v>102</v>
      </c>
      <c r="D221" s="29" t="s">
        <v>103</v>
      </c>
      <c r="E221" s="51" t="s">
        <v>112</v>
      </c>
      <c r="F221" s="64"/>
      <c r="G221" s="93">
        <f t="shared" si="45"/>
        <v>5.7183019880571194E-2</v>
      </c>
      <c r="H221" s="93">
        <f t="shared" si="45"/>
        <v>2.8308342452975824E-2</v>
      </c>
      <c r="I221" s="93">
        <f t="shared" si="45"/>
        <v>7.8529715513269288E-3</v>
      </c>
      <c r="J221" s="93">
        <f t="shared" si="45"/>
        <v>2.018776894822927E-3</v>
      </c>
      <c r="K221" s="93">
        <f t="shared" si="45"/>
        <v>5.4557484064737026E-3</v>
      </c>
      <c r="L221" s="93">
        <f t="shared" si="45"/>
        <v>1.0330077819241031E-2</v>
      </c>
      <c r="M221" s="93">
        <f t="shared" si="45"/>
        <v>1.0231906434724262E-2</v>
      </c>
      <c r="N221" s="119">
        <f t="shared" si="46"/>
        <v>0.12138084344013586</v>
      </c>
    </row>
    <row r="222" spans="1:14" x14ac:dyDescent="0.5">
      <c r="B222" s="8" t="s">
        <v>115</v>
      </c>
      <c r="C222" s="29" t="s">
        <v>102</v>
      </c>
      <c r="D222" s="29" t="s">
        <v>103</v>
      </c>
      <c r="E222" s="51" t="s">
        <v>112</v>
      </c>
      <c r="F222" s="64"/>
      <c r="G222" s="93">
        <f t="shared" ref="G222:M231" si="47">F139*(1+G17)*G56</f>
        <v>0</v>
      </c>
      <c r="H222" s="93">
        <f t="shared" si="47"/>
        <v>0</v>
      </c>
      <c r="I222" s="93">
        <f t="shared" si="47"/>
        <v>0</v>
      </c>
      <c r="J222" s="93">
        <f t="shared" si="47"/>
        <v>0</v>
      </c>
      <c r="K222" s="93">
        <f t="shared" si="47"/>
        <v>0</v>
      </c>
      <c r="L222" s="93">
        <f t="shared" si="47"/>
        <v>0</v>
      </c>
      <c r="M222" s="93">
        <f t="shared" si="47"/>
        <v>0</v>
      </c>
      <c r="N222" s="119">
        <f t="shared" si="46"/>
        <v>0</v>
      </c>
    </row>
    <row r="223" spans="1:14" x14ac:dyDescent="0.5">
      <c r="B223" s="8" t="s">
        <v>116</v>
      </c>
      <c r="C223" s="29" t="s">
        <v>102</v>
      </c>
      <c r="D223" s="29" t="s">
        <v>103</v>
      </c>
      <c r="E223" s="51" t="s">
        <v>117</v>
      </c>
      <c r="F223" s="64"/>
      <c r="G223" s="201"/>
      <c r="H223" s="201"/>
      <c r="I223" s="201"/>
      <c r="J223" s="201"/>
      <c r="K223" s="201"/>
      <c r="L223" s="201"/>
      <c r="M223" s="201"/>
      <c r="N223" s="119">
        <f t="shared" si="46"/>
        <v>0</v>
      </c>
    </row>
    <row r="224" spans="1:14" x14ac:dyDescent="0.5">
      <c r="B224" s="8" t="s">
        <v>118</v>
      </c>
      <c r="C224" s="29" t="s">
        <v>102</v>
      </c>
      <c r="D224" s="29" t="s">
        <v>103</v>
      </c>
      <c r="E224" s="51" t="s">
        <v>119</v>
      </c>
      <c r="F224" s="64"/>
      <c r="G224" s="93">
        <f t="shared" si="47"/>
        <v>0</v>
      </c>
      <c r="H224" s="93">
        <f t="shared" si="47"/>
        <v>0</v>
      </c>
      <c r="I224" s="93">
        <f t="shared" si="47"/>
        <v>0</v>
      </c>
      <c r="J224" s="93">
        <f t="shared" si="47"/>
        <v>0</v>
      </c>
      <c r="K224" s="93">
        <f t="shared" si="47"/>
        <v>0</v>
      </c>
      <c r="L224" s="93">
        <f t="shared" si="47"/>
        <v>0</v>
      </c>
      <c r="M224" s="93">
        <f t="shared" si="47"/>
        <v>0</v>
      </c>
      <c r="N224" s="119">
        <f t="shared" si="46"/>
        <v>0</v>
      </c>
    </row>
    <row r="225" spans="2:15" x14ac:dyDescent="0.5">
      <c r="B225" s="8" t="s">
        <v>120</v>
      </c>
      <c r="C225" s="29" t="s">
        <v>102</v>
      </c>
      <c r="D225" s="29" t="s">
        <v>103</v>
      </c>
      <c r="E225" s="51" t="s">
        <v>119</v>
      </c>
      <c r="F225" s="64"/>
      <c r="G225" s="93">
        <f t="shared" si="47"/>
        <v>0</v>
      </c>
      <c r="H225" s="93">
        <f t="shared" si="47"/>
        <v>0</v>
      </c>
      <c r="I225" s="93">
        <f t="shared" si="47"/>
        <v>0</v>
      </c>
      <c r="J225" s="93">
        <f t="shared" si="47"/>
        <v>0</v>
      </c>
      <c r="K225" s="93">
        <f t="shared" si="47"/>
        <v>0</v>
      </c>
      <c r="L225" s="93">
        <f t="shared" si="47"/>
        <v>0</v>
      </c>
      <c r="M225" s="93">
        <f t="shared" si="47"/>
        <v>0</v>
      </c>
      <c r="N225" s="119">
        <f t="shared" si="46"/>
        <v>0</v>
      </c>
    </row>
    <row r="226" spans="2:15" x14ac:dyDescent="0.5">
      <c r="B226" s="8" t="s">
        <v>121</v>
      </c>
      <c r="C226" s="29" t="s">
        <v>102</v>
      </c>
      <c r="D226" s="29" t="s">
        <v>103</v>
      </c>
      <c r="E226" s="51" t="s">
        <v>119</v>
      </c>
      <c r="F226" s="64"/>
      <c r="G226" s="93">
        <f t="shared" si="47"/>
        <v>0</v>
      </c>
      <c r="H226" s="93">
        <f t="shared" si="47"/>
        <v>0</v>
      </c>
      <c r="I226" s="93">
        <f t="shared" si="47"/>
        <v>0</v>
      </c>
      <c r="J226" s="93">
        <f t="shared" si="47"/>
        <v>0</v>
      </c>
      <c r="K226" s="93">
        <f t="shared" si="47"/>
        <v>0</v>
      </c>
      <c r="L226" s="93">
        <f t="shared" si="47"/>
        <v>0</v>
      </c>
      <c r="M226" s="93">
        <f t="shared" si="47"/>
        <v>0</v>
      </c>
      <c r="N226" s="119">
        <f t="shared" si="46"/>
        <v>0</v>
      </c>
    </row>
    <row r="227" spans="2:15" x14ac:dyDescent="0.5">
      <c r="B227" s="8" t="s">
        <v>122</v>
      </c>
      <c r="C227" s="29" t="s">
        <v>102</v>
      </c>
      <c r="D227" s="29" t="s">
        <v>103</v>
      </c>
      <c r="E227" s="51" t="s">
        <v>119</v>
      </c>
      <c r="F227" s="64"/>
      <c r="G227" s="93">
        <f t="shared" si="47"/>
        <v>0</v>
      </c>
      <c r="H227" s="93">
        <f t="shared" si="47"/>
        <v>0</v>
      </c>
      <c r="I227" s="93">
        <f t="shared" si="47"/>
        <v>0</v>
      </c>
      <c r="J227" s="93">
        <f t="shared" si="47"/>
        <v>0</v>
      </c>
      <c r="K227" s="93">
        <f t="shared" si="47"/>
        <v>0</v>
      </c>
      <c r="L227" s="93">
        <f t="shared" si="47"/>
        <v>0</v>
      </c>
      <c r="M227" s="93">
        <f t="shared" si="47"/>
        <v>0</v>
      </c>
      <c r="N227" s="119">
        <f t="shared" si="46"/>
        <v>0</v>
      </c>
    </row>
    <row r="228" spans="2:15" x14ac:dyDescent="0.5">
      <c r="B228" s="8" t="s">
        <v>123</v>
      </c>
      <c r="C228" s="29" t="s">
        <v>102</v>
      </c>
      <c r="D228" s="29" t="s">
        <v>103</v>
      </c>
      <c r="E228" s="51" t="s">
        <v>119</v>
      </c>
      <c r="F228" s="64"/>
      <c r="G228" s="93">
        <f t="shared" si="47"/>
        <v>0</v>
      </c>
      <c r="H228" s="93">
        <f t="shared" si="47"/>
        <v>0</v>
      </c>
      <c r="I228" s="93">
        <f t="shared" si="47"/>
        <v>0</v>
      </c>
      <c r="J228" s="93">
        <f t="shared" si="47"/>
        <v>0</v>
      </c>
      <c r="K228" s="93">
        <f t="shared" si="47"/>
        <v>0</v>
      </c>
      <c r="L228" s="93">
        <f t="shared" si="47"/>
        <v>0</v>
      </c>
      <c r="M228" s="93">
        <f t="shared" si="47"/>
        <v>0</v>
      </c>
      <c r="N228" s="119">
        <f t="shared" si="46"/>
        <v>0</v>
      </c>
    </row>
    <row r="229" spans="2:15" x14ac:dyDescent="0.5">
      <c r="B229" s="8" t="s">
        <v>124</v>
      </c>
      <c r="C229" s="29" t="s">
        <v>102</v>
      </c>
      <c r="D229" s="29" t="s">
        <v>103</v>
      </c>
      <c r="E229" s="51" t="s">
        <v>124</v>
      </c>
      <c r="F229" s="64"/>
      <c r="G229" s="93">
        <f t="shared" si="47"/>
        <v>0.27979006483937036</v>
      </c>
      <c r="H229" s="93">
        <f t="shared" si="47"/>
        <v>0.40129583972991217</v>
      </c>
      <c r="I229" s="93">
        <f t="shared" si="47"/>
        <v>0.36878246035485895</v>
      </c>
      <c r="J229" s="93">
        <f t="shared" si="47"/>
        <v>0.27961628200525923</v>
      </c>
      <c r="K229" s="93">
        <f t="shared" si="47"/>
        <v>0.29265721607815415</v>
      </c>
      <c r="L229" s="93">
        <f t="shared" si="47"/>
        <v>0.10483680897912324</v>
      </c>
      <c r="M229" s="93">
        <f t="shared" si="47"/>
        <v>0.10515316128003385</v>
      </c>
      <c r="N229" s="119">
        <f t="shared" si="46"/>
        <v>1.832131833266712</v>
      </c>
    </row>
    <row r="230" spans="2:15" x14ac:dyDescent="0.5">
      <c r="B230" s="8" t="s">
        <v>125</v>
      </c>
      <c r="C230" s="29" t="s">
        <v>102</v>
      </c>
      <c r="D230" s="29" t="s">
        <v>103</v>
      </c>
      <c r="E230" s="51" t="s">
        <v>125</v>
      </c>
      <c r="F230" s="64"/>
      <c r="G230" s="93">
        <f t="shared" si="47"/>
        <v>0</v>
      </c>
      <c r="H230" s="93">
        <f t="shared" si="47"/>
        <v>0</v>
      </c>
      <c r="I230" s="93">
        <f t="shared" si="47"/>
        <v>0</v>
      </c>
      <c r="J230" s="93">
        <f t="shared" si="47"/>
        <v>0</v>
      </c>
      <c r="K230" s="93">
        <f t="shared" si="47"/>
        <v>0</v>
      </c>
      <c r="L230" s="93">
        <f t="shared" si="47"/>
        <v>0</v>
      </c>
      <c r="M230" s="93">
        <f t="shared" si="47"/>
        <v>0</v>
      </c>
      <c r="N230" s="119">
        <f t="shared" si="46"/>
        <v>0</v>
      </c>
    </row>
    <row r="231" spans="2:15" x14ac:dyDescent="0.5">
      <c r="B231" s="8" t="s">
        <v>126</v>
      </c>
      <c r="C231" s="29" t="s">
        <v>102</v>
      </c>
      <c r="D231" s="29" t="s">
        <v>103</v>
      </c>
      <c r="E231" s="51" t="s">
        <v>127</v>
      </c>
      <c r="F231" s="64"/>
      <c r="G231" s="93">
        <f t="shared" si="47"/>
        <v>0</v>
      </c>
      <c r="H231" s="93">
        <f t="shared" si="47"/>
        <v>0</v>
      </c>
      <c r="I231" s="93">
        <f t="shared" si="47"/>
        <v>0</v>
      </c>
      <c r="J231" s="93">
        <f t="shared" si="47"/>
        <v>0</v>
      </c>
      <c r="K231" s="93">
        <f t="shared" si="47"/>
        <v>0</v>
      </c>
      <c r="L231" s="93">
        <f t="shared" si="47"/>
        <v>0</v>
      </c>
      <c r="M231" s="93">
        <f t="shared" si="47"/>
        <v>0</v>
      </c>
      <c r="N231" s="119">
        <f t="shared" si="46"/>
        <v>0</v>
      </c>
    </row>
    <row r="232" spans="2:15" x14ac:dyDescent="0.5">
      <c r="B232" s="8" t="s">
        <v>128</v>
      </c>
      <c r="C232" s="29" t="s">
        <v>102</v>
      </c>
      <c r="D232" s="29" t="s">
        <v>103</v>
      </c>
      <c r="E232" s="51" t="s">
        <v>127</v>
      </c>
      <c r="F232" s="64"/>
      <c r="G232" s="93">
        <f t="shared" ref="G232:M241" si="48">F149*(1+G27)*G66</f>
        <v>0</v>
      </c>
      <c r="H232" s="93">
        <f t="shared" si="48"/>
        <v>0</v>
      </c>
      <c r="I232" s="93">
        <f t="shared" si="48"/>
        <v>0</v>
      </c>
      <c r="J232" s="93">
        <f t="shared" si="48"/>
        <v>0</v>
      </c>
      <c r="K232" s="93">
        <f t="shared" si="48"/>
        <v>0</v>
      </c>
      <c r="L232" s="93">
        <f t="shared" si="48"/>
        <v>0</v>
      </c>
      <c r="M232" s="93">
        <f t="shared" si="48"/>
        <v>0</v>
      </c>
      <c r="N232" s="119">
        <f t="shared" si="46"/>
        <v>0</v>
      </c>
    </row>
    <row r="233" spans="2:15" x14ac:dyDescent="0.5">
      <c r="B233" s="8" t="s">
        <v>129</v>
      </c>
      <c r="C233" s="29" t="s">
        <v>102</v>
      </c>
      <c r="D233" s="29" t="s">
        <v>103</v>
      </c>
      <c r="E233" s="51" t="s">
        <v>127</v>
      </c>
      <c r="F233" s="64"/>
      <c r="G233" s="93">
        <f t="shared" si="48"/>
        <v>0.21635294676361713</v>
      </c>
      <c r="H233" s="93">
        <f t="shared" si="48"/>
        <v>0.10766025958837563</v>
      </c>
      <c r="I233" s="93">
        <f t="shared" si="48"/>
        <v>2.99253000975605E-2</v>
      </c>
      <c r="J233" s="93">
        <f t="shared" si="48"/>
        <v>7.7144912074260724E-3</v>
      </c>
      <c r="K233" s="93">
        <f t="shared" si="48"/>
        <v>2.0907179109190221E-2</v>
      </c>
      <c r="L233" s="93">
        <f t="shared" si="48"/>
        <v>3.9698874147209171E-2</v>
      </c>
      <c r="M233" s="93">
        <f t="shared" si="48"/>
        <v>3.9424594885176273E-2</v>
      </c>
      <c r="N233" s="119">
        <f t="shared" si="46"/>
        <v>0.46168364579855503</v>
      </c>
    </row>
    <row r="234" spans="2:15" x14ac:dyDescent="0.5">
      <c r="B234" s="8" t="s">
        <v>130</v>
      </c>
      <c r="C234" s="29" t="s">
        <v>102</v>
      </c>
      <c r="D234" s="29" t="s">
        <v>103</v>
      </c>
      <c r="E234" s="51" t="s">
        <v>127</v>
      </c>
      <c r="F234" s="64"/>
      <c r="G234" s="93">
        <f t="shared" si="48"/>
        <v>7.1446810045877593E-2</v>
      </c>
      <c r="H234" s="93">
        <f t="shared" si="48"/>
        <v>3.5552934366568402E-2</v>
      </c>
      <c r="I234" s="93">
        <f t="shared" si="48"/>
        <v>9.8823115821588346E-3</v>
      </c>
      <c r="J234" s="93">
        <f t="shared" si="48"/>
        <v>2.547576985395845E-3</v>
      </c>
      <c r="K234" s="93">
        <f t="shared" si="48"/>
        <v>6.9042334608989493E-3</v>
      </c>
      <c r="L234" s="93">
        <f t="shared" si="48"/>
        <v>1.3109864980622625E-2</v>
      </c>
      <c r="M234" s="93">
        <f t="shared" si="48"/>
        <v>1.3019289009150427E-2</v>
      </c>
      <c r="N234" s="119">
        <f t="shared" si="46"/>
        <v>0.1524630204306727</v>
      </c>
    </row>
    <row r="235" spans="2:15" x14ac:dyDescent="0.5">
      <c r="B235" s="8" t="s">
        <v>131</v>
      </c>
      <c r="C235" s="29" t="s">
        <v>102</v>
      </c>
      <c r="D235" s="29" t="s">
        <v>103</v>
      </c>
      <c r="E235" s="51" t="s">
        <v>127</v>
      </c>
      <c r="F235" s="64"/>
      <c r="G235" s="93">
        <f t="shared" si="48"/>
        <v>9.2714530874947923E-2</v>
      </c>
      <c r="H235" s="93">
        <f t="shared" si="48"/>
        <v>4.6136050425590602E-2</v>
      </c>
      <c r="I235" s="93">
        <f t="shared" si="48"/>
        <v>1.2823999863836977E-2</v>
      </c>
      <c r="J235" s="93">
        <f t="shared" si="48"/>
        <v>3.3059195353455553E-3</v>
      </c>
      <c r="K235" s="93">
        <f t="shared" si="48"/>
        <v>8.9594310224253119E-3</v>
      </c>
      <c r="L235" s="93">
        <f t="shared" si="48"/>
        <v>1.7012305808080878E-2</v>
      </c>
      <c r="M235" s="93">
        <f t="shared" si="48"/>
        <v>1.6894767898435994E-2</v>
      </c>
      <c r="N235" s="119">
        <f t="shared" si="46"/>
        <v>0.19784700542866324</v>
      </c>
      <c r="O235" s="152"/>
    </row>
    <row r="236" spans="2:15" x14ac:dyDescent="0.5">
      <c r="B236" s="8" t="s">
        <v>132</v>
      </c>
      <c r="C236" s="29" t="s">
        <v>102</v>
      </c>
      <c r="D236" s="29" t="s">
        <v>103</v>
      </c>
      <c r="E236" s="51" t="s">
        <v>127</v>
      </c>
      <c r="F236" s="64"/>
      <c r="G236" s="93">
        <f t="shared" si="48"/>
        <v>0</v>
      </c>
      <c r="H236" s="93">
        <f t="shared" si="48"/>
        <v>0</v>
      </c>
      <c r="I236" s="93">
        <f t="shared" si="48"/>
        <v>0</v>
      </c>
      <c r="J236" s="93">
        <f t="shared" si="48"/>
        <v>0</v>
      </c>
      <c r="K236" s="93">
        <f t="shared" si="48"/>
        <v>0</v>
      </c>
      <c r="L236" s="93">
        <f t="shared" si="48"/>
        <v>0</v>
      </c>
      <c r="M236" s="93">
        <f t="shared" si="48"/>
        <v>0</v>
      </c>
      <c r="N236" s="119">
        <f t="shared" si="46"/>
        <v>0</v>
      </c>
    </row>
    <row r="237" spans="2:15" x14ac:dyDescent="0.5">
      <c r="B237" s="8" t="s">
        <v>133</v>
      </c>
      <c r="C237" s="29" t="s">
        <v>102</v>
      </c>
      <c r="D237" s="29" t="s">
        <v>103</v>
      </c>
      <c r="E237" s="51" t="s">
        <v>127</v>
      </c>
      <c r="F237" s="64"/>
      <c r="G237" s="93">
        <f t="shared" si="48"/>
        <v>0.18923581010696511</v>
      </c>
      <c r="H237" s="93">
        <f t="shared" si="48"/>
        <v>9.4166392204455371E-2</v>
      </c>
      <c r="I237" s="93">
        <f t="shared" si="48"/>
        <v>2.617453790838872E-2</v>
      </c>
      <c r="J237" s="93">
        <f t="shared" si="48"/>
        <v>6.7475761945380089E-3</v>
      </c>
      <c r="K237" s="93">
        <f t="shared" si="48"/>
        <v>1.8286725625705009E-2</v>
      </c>
      <c r="L237" s="93">
        <f t="shared" si="48"/>
        <v>3.4723116657105355E-2</v>
      </c>
      <c r="M237" s="93">
        <f t="shared" si="48"/>
        <v>3.4483214871052749E-2</v>
      </c>
      <c r="N237" s="119">
        <f t="shared" si="46"/>
        <v>0.40381737356821035</v>
      </c>
    </row>
    <row r="238" spans="2:15" x14ac:dyDescent="0.5">
      <c r="B238" s="8" t="s">
        <v>134</v>
      </c>
      <c r="C238" s="29" t="s">
        <v>102</v>
      </c>
      <c r="D238" s="29" t="s">
        <v>103</v>
      </c>
      <c r="E238" s="51" t="s">
        <v>127</v>
      </c>
      <c r="F238" s="64"/>
      <c r="G238" s="93">
        <f t="shared" si="48"/>
        <v>0.33836805106223694</v>
      </c>
      <c r="H238" s="93">
        <f t="shared" si="48"/>
        <v>0.16837668614504492</v>
      </c>
      <c r="I238" s="93">
        <f t="shared" si="48"/>
        <v>4.6802068670353358E-2</v>
      </c>
      <c r="J238" s="93">
        <f t="shared" si="48"/>
        <v>1.2065180501772988E-2</v>
      </c>
      <c r="K238" s="93">
        <f t="shared" si="48"/>
        <v>3.2698059139980529E-2</v>
      </c>
      <c r="L238" s="93">
        <f t="shared" si="48"/>
        <v>6.2087579002252431E-2</v>
      </c>
      <c r="M238" s="93">
        <f t="shared" si="48"/>
        <v>6.1658616324696387E-2</v>
      </c>
      <c r="N238" s="119">
        <f t="shared" si="46"/>
        <v>0.72205624084633746</v>
      </c>
    </row>
    <row r="239" spans="2:15" x14ac:dyDescent="0.5">
      <c r="B239" s="8" t="s">
        <v>135</v>
      </c>
      <c r="C239" s="29" t="s">
        <v>102</v>
      </c>
      <c r="D239" s="29" t="s">
        <v>103</v>
      </c>
      <c r="E239" s="51" t="s">
        <v>127</v>
      </c>
      <c r="F239" s="64"/>
      <c r="G239" s="93">
        <f t="shared" si="48"/>
        <v>4.2777888075742364E-2</v>
      </c>
      <c r="H239" s="93">
        <f t="shared" si="48"/>
        <v>2.1286876854553567E-2</v>
      </c>
      <c r="I239" s="93">
        <f t="shared" si="48"/>
        <v>5.9169110352127593E-3</v>
      </c>
      <c r="J239" s="93">
        <f t="shared" si="48"/>
        <v>1.5253300052951574E-3</v>
      </c>
      <c r="K239" s="93">
        <f t="shared" si="48"/>
        <v>4.1338238341149264E-3</v>
      </c>
      <c r="L239" s="93">
        <f t="shared" si="48"/>
        <v>7.8493684528260776E-3</v>
      </c>
      <c r="M239" s="93">
        <f t="shared" si="48"/>
        <v>7.7951372174846906E-3</v>
      </c>
      <c r="N239" s="119">
        <f t="shared" si="46"/>
        <v>9.1285335475229545E-2</v>
      </c>
    </row>
    <row r="240" spans="2:15" x14ac:dyDescent="0.5">
      <c r="B240" s="8" t="s">
        <v>136</v>
      </c>
      <c r="C240" s="29" t="s">
        <v>102</v>
      </c>
      <c r="D240" s="29" t="s">
        <v>103</v>
      </c>
      <c r="E240" s="51" t="s">
        <v>127</v>
      </c>
      <c r="F240" s="64"/>
      <c r="G240" s="93">
        <f t="shared" si="48"/>
        <v>0.16924487400106117</v>
      </c>
      <c r="H240" s="93">
        <f t="shared" si="48"/>
        <v>8.4218622124264439E-2</v>
      </c>
      <c r="I240" s="93">
        <f t="shared" si="48"/>
        <v>2.3409450715682473E-2</v>
      </c>
      <c r="J240" s="93">
        <f t="shared" si="48"/>
        <v>6.034759923143701E-3</v>
      </c>
      <c r="K240" s="93">
        <f t="shared" si="48"/>
        <v>1.6354909637161248E-2</v>
      </c>
      <c r="L240" s="93">
        <f t="shared" si="48"/>
        <v>3.1054954663359668E-2</v>
      </c>
      <c r="M240" s="93">
        <f t="shared" si="48"/>
        <v>3.084039618454875E-2</v>
      </c>
      <c r="N240" s="119">
        <f t="shared" si="46"/>
        <v>0.36115796724922145</v>
      </c>
    </row>
    <row r="241" spans="1:14" x14ac:dyDescent="0.5">
      <c r="B241" s="8" t="s">
        <v>137</v>
      </c>
      <c r="C241" s="29" t="s">
        <v>102</v>
      </c>
      <c r="D241" s="29" t="s">
        <v>103</v>
      </c>
      <c r="E241" s="51" t="s">
        <v>127</v>
      </c>
      <c r="F241" s="64"/>
      <c r="G241" s="93">
        <f t="shared" si="48"/>
        <v>3.0267828664929566E-2</v>
      </c>
      <c r="H241" s="93">
        <f t="shared" si="48"/>
        <v>1.5061695900093847E-2</v>
      </c>
      <c r="I241" s="93">
        <f t="shared" si="48"/>
        <v>4.1865565949013462E-3</v>
      </c>
      <c r="J241" s="93">
        <f t="shared" si="48"/>
        <v>1.0792591531401526E-3</v>
      </c>
      <c r="K241" s="93">
        <f t="shared" si="48"/>
        <v>2.9249193256210434E-3</v>
      </c>
      <c r="L241" s="93">
        <f t="shared" si="48"/>
        <v>5.5538819269754245E-3</v>
      </c>
      <c r="M241" s="93">
        <f t="shared" si="48"/>
        <v>5.5155101930390929E-3</v>
      </c>
      <c r="N241" s="119">
        <f t="shared" si="46"/>
        <v>6.4589651758700461E-2</v>
      </c>
    </row>
    <row r="242" spans="1:14" x14ac:dyDescent="0.5">
      <c r="B242" s="8" t="s">
        <v>138</v>
      </c>
      <c r="C242" s="29" t="s">
        <v>102</v>
      </c>
      <c r="D242" s="29" t="s">
        <v>103</v>
      </c>
      <c r="E242" s="51" t="s">
        <v>127</v>
      </c>
      <c r="F242" s="64"/>
      <c r="G242" s="93">
        <f t="shared" ref="G242:M246" si="49">F159*(1+G37)*G76</f>
        <v>8.980314575871555E-2</v>
      </c>
      <c r="H242" s="93">
        <f t="shared" si="49"/>
        <v>4.4687304373992952E-2</v>
      </c>
      <c r="I242" s="93">
        <f t="shared" si="49"/>
        <v>1.2421305680068755E-2</v>
      </c>
      <c r="J242" s="93">
        <f t="shared" si="49"/>
        <v>3.20210835451082E-3</v>
      </c>
      <c r="K242" s="93">
        <f t="shared" si="49"/>
        <v>8.6780905045750756E-3</v>
      </c>
      <c r="L242" s="93">
        <f t="shared" si="49"/>
        <v>1.6478092093628237E-2</v>
      </c>
      <c r="M242" s="93">
        <f t="shared" si="49"/>
        <v>1.6364245063045173E-2</v>
      </c>
      <c r="N242" s="119">
        <f t="shared" si="46"/>
        <v>0.19163429182853656</v>
      </c>
    </row>
    <row r="243" spans="1:14" x14ac:dyDescent="0.5">
      <c r="B243" s="8" t="s">
        <v>139</v>
      </c>
      <c r="C243" s="29" t="s">
        <v>102</v>
      </c>
      <c r="D243" s="29" t="s">
        <v>103</v>
      </c>
      <c r="E243" s="51" t="s">
        <v>127</v>
      </c>
      <c r="F243" s="64"/>
      <c r="G243" s="93">
        <f t="shared" si="49"/>
        <v>0.25585621061951169</v>
      </c>
      <c r="H243" s="93">
        <f t="shared" si="49"/>
        <v>0.12794799400604862</v>
      </c>
      <c r="I243" s="93">
        <f t="shared" si="49"/>
        <v>3.5652509321056937E-2</v>
      </c>
      <c r="J243" s="93">
        <f t="shared" si="49"/>
        <v>9.1972938276943927E-3</v>
      </c>
      <c r="K243" s="93">
        <f t="shared" si="49"/>
        <v>2.493023942900836E-2</v>
      </c>
      <c r="L243" s="93">
        <f t="shared" si="49"/>
        <v>4.7361195373648815E-2</v>
      </c>
      <c r="M243" s="93">
        <f t="shared" si="49"/>
        <v>4.707817076500382E-2</v>
      </c>
      <c r="N243" s="119">
        <f t="shared" si="46"/>
        <v>0.54802361334197269</v>
      </c>
    </row>
    <row r="244" spans="1:14" x14ac:dyDescent="0.5">
      <c r="B244" s="8" t="s">
        <v>140</v>
      </c>
      <c r="C244" s="29" t="s">
        <v>102</v>
      </c>
      <c r="D244" s="29" t="s">
        <v>103</v>
      </c>
      <c r="E244" s="51" t="s">
        <v>127</v>
      </c>
      <c r="F244" s="64"/>
      <c r="G244" s="93">
        <f t="shared" si="49"/>
        <v>0.14800942236507902</v>
      </c>
      <c r="H244" s="93">
        <f t="shared" si="49"/>
        <v>7.3651563668138575E-2</v>
      </c>
      <c r="I244" s="93">
        <f t="shared" si="49"/>
        <v>2.0472225813410606E-2</v>
      </c>
      <c r="J244" s="93">
        <f t="shared" si="49"/>
        <v>5.2775679949445785E-3</v>
      </c>
      <c r="K244" s="93">
        <f t="shared" si="49"/>
        <v>1.4302830395998428E-2</v>
      </c>
      <c r="L244" s="93">
        <f t="shared" si="49"/>
        <v>2.715843495070205E-2</v>
      </c>
      <c r="M244" s="93">
        <f t="shared" si="49"/>
        <v>2.6970797501120358E-2</v>
      </c>
      <c r="N244" s="119">
        <f t="shared" si="46"/>
        <v>0.31584284268939361</v>
      </c>
    </row>
    <row r="245" spans="1:14" x14ac:dyDescent="0.5">
      <c r="B245" s="8" t="s">
        <v>141</v>
      </c>
      <c r="C245" s="29" t="s">
        <v>102</v>
      </c>
      <c r="D245" s="29" t="s">
        <v>103</v>
      </c>
      <c r="E245" s="51" t="s">
        <v>127</v>
      </c>
      <c r="F245" s="64"/>
      <c r="G245" s="93">
        <f t="shared" si="49"/>
        <v>0</v>
      </c>
      <c r="H245" s="93">
        <f t="shared" si="49"/>
        <v>0</v>
      </c>
      <c r="I245" s="93">
        <f t="shared" si="49"/>
        <v>0</v>
      </c>
      <c r="J245" s="93">
        <f t="shared" si="49"/>
        <v>0</v>
      </c>
      <c r="K245" s="93">
        <f t="shared" si="49"/>
        <v>0</v>
      </c>
      <c r="L245" s="93">
        <f t="shared" si="49"/>
        <v>0</v>
      </c>
      <c r="M245" s="93">
        <f t="shared" si="49"/>
        <v>0</v>
      </c>
      <c r="N245" s="119">
        <f t="shared" si="46"/>
        <v>0</v>
      </c>
    </row>
    <row r="246" spans="1:14" x14ac:dyDescent="0.5">
      <c r="B246" s="8" t="s">
        <v>142</v>
      </c>
      <c r="C246" s="29" t="s">
        <v>102</v>
      </c>
      <c r="D246" s="29" t="s">
        <v>103</v>
      </c>
      <c r="E246" s="51" t="s">
        <v>127</v>
      </c>
      <c r="F246" s="64"/>
      <c r="G246" s="93">
        <f t="shared" si="49"/>
        <v>0</v>
      </c>
      <c r="H246" s="93">
        <f t="shared" si="49"/>
        <v>0</v>
      </c>
      <c r="I246" s="93">
        <f t="shared" si="49"/>
        <v>0</v>
      </c>
      <c r="J246" s="93">
        <f t="shared" si="49"/>
        <v>0</v>
      </c>
      <c r="K246" s="93">
        <f t="shared" si="49"/>
        <v>0</v>
      </c>
      <c r="L246" s="93">
        <f t="shared" si="49"/>
        <v>0</v>
      </c>
      <c r="M246" s="93">
        <f t="shared" si="49"/>
        <v>0</v>
      </c>
      <c r="N246" s="119">
        <f t="shared" si="46"/>
        <v>0</v>
      </c>
    </row>
    <row r="247" spans="1:14" x14ac:dyDescent="0.5">
      <c r="B247" s="8" t="s">
        <v>192</v>
      </c>
      <c r="C247" s="29" t="s">
        <v>102</v>
      </c>
      <c r="D247" s="29" t="s">
        <v>103</v>
      </c>
      <c r="E247" s="8"/>
      <c r="F247" s="64"/>
      <c r="G247" s="98">
        <f t="shared" ref="G247:M247" si="50">SUM(G212:G246)</f>
        <v>9.811949639505583</v>
      </c>
      <c r="H247" s="98">
        <f t="shared" si="50"/>
        <v>5.1901436152689904</v>
      </c>
      <c r="I247" s="98">
        <f t="shared" si="50"/>
        <v>1.7062122933746047</v>
      </c>
      <c r="J247" s="98">
        <f t="shared" si="50"/>
        <v>0.62493575563884751</v>
      </c>
      <c r="K247" s="98">
        <f t="shared" si="50"/>
        <v>1.2291028430705406</v>
      </c>
      <c r="L247" s="98">
        <f t="shared" si="50"/>
        <v>1.8851181288483623</v>
      </c>
      <c r="M247" s="98">
        <f t="shared" si="50"/>
        <v>1.8766827216089461</v>
      </c>
      <c r="N247" s="119">
        <f>SUM(G247:M247)</f>
        <v>22.324144997315873</v>
      </c>
    </row>
    <row r="249" spans="1:14" ht="19" thickBot="1" x14ac:dyDescent="0.55000000000000004">
      <c r="A249" s="14" t="s">
        <v>300</v>
      </c>
    </row>
    <row r="250" spans="1:14" ht="19" thickTop="1" x14ac:dyDescent="0.5">
      <c r="A250" s="23"/>
    </row>
    <row r="251" spans="1:14" ht="17" thickBot="1" x14ac:dyDescent="0.55000000000000004">
      <c r="B251" s="27" t="s">
        <v>302</v>
      </c>
      <c r="C251" s="27" t="s">
        <v>96</v>
      </c>
      <c r="D251" s="27" t="s">
        <v>97</v>
      </c>
      <c r="E251" s="50" t="s">
        <v>98</v>
      </c>
      <c r="F251" s="12">
        <v>2024</v>
      </c>
      <c r="G251" s="12">
        <v>2025</v>
      </c>
      <c r="H251" s="12">
        <v>2026</v>
      </c>
      <c r="I251" s="12">
        <v>2027</v>
      </c>
      <c r="J251" s="12">
        <v>2028</v>
      </c>
      <c r="K251" s="12">
        <v>2029</v>
      </c>
      <c r="L251" s="12">
        <v>2030</v>
      </c>
      <c r="M251" s="12">
        <v>2031</v>
      </c>
      <c r="N251" s="12" t="s">
        <v>57</v>
      </c>
    </row>
    <row r="252" spans="1:14" x14ac:dyDescent="0.5">
      <c r="B252" s="8" t="s">
        <v>101</v>
      </c>
      <c r="C252" s="29" t="s">
        <v>102</v>
      </c>
      <c r="D252" s="29" t="s">
        <v>103</v>
      </c>
      <c r="E252" s="51" t="s">
        <v>104</v>
      </c>
      <c r="F252" s="64"/>
      <c r="G252" s="93">
        <f t="shared" ref="G252:M261" si="51">F129*(1+G7)*(1+G46)*G85</f>
        <v>-1.7683591225628796</v>
      </c>
      <c r="H252" s="93">
        <f t="shared" si="51"/>
        <v>-1.7719142362007492</v>
      </c>
      <c r="I252" s="93">
        <f t="shared" si="51"/>
        <v>-1.7603606462715951</v>
      </c>
      <c r="J252" s="93">
        <f t="shared" si="51"/>
        <v>-1.7490814033665043</v>
      </c>
      <c r="K252" s="93">
        <f t="shared" si="51"/>
        <v>-1.7401443419911369</v>
      </c>
      <c r="L252" s="93">
        <f t="shared" si="51"/>
        <v>-1.7336326996562392</v>
      </c>
      <c r="M252" s="93">
        <f t="shared" si="51"/>
        <v>-1.7263096631008494</v>
      </c>
      <c r="N252" s="119">
        <f t="shared" ref="N252:N286" si="52">SUM(G252:M252)</f>
        <v>-12.249802113149952</v>
      </c>
    </row>
    <row r="253" spans="1:14" x14ac:dyDescent="0.5">
      <c r="B253" s="8" t="s">
        <v>105</v>
      </c>
      <c r="C253" s="29" t="s">
        <v>102</v>
      </c>
      <c r="D253" s="29" t="s">
        <v>103</v>
      </c>
      <c r="E253" s="51" t="s">
        <v>104</v>
      </c>
      <c r="F253" s="64"/>
      <c r="G253" s="93">
        <f t="shared" si="51"/>
        <v>-0.26319481392729199</v>
      </c>
      <c r="H253" s="93">
        <f t="shared" si="51"/>
        <v>-0.26372394144470113</v>
      </c>
      <c r="I253" s="93">
        <f t="shared" si="51"/>
        <v>-0.26200435580579035</v>
      </c>
      <c r="J253" s="93">
        <f t="shared" si="51"/>
        <v>-0.26032560277436789</v>
      </c>
      <c r="K253" s="93">
        <f t="shared" si="51"/>
        <v>-0.25899544976656841</v>
      </c>
      <c r="L253" s="93">
        <f t="shared" si="51"/>
        <v>-0.25802628548832462</v>
      </c>
      <c r="M253" s="93">
        <f t="shared" si="51"/>
        <v>-0.25693635685392763</v>
      </c>
      <c r="N253" s="119">
        <f t="shared" si="52"/>
        <v>-1.8232068060609719</v>
      </c>
    </row>
    <row r="254" spans="1:14" x14ac:dyDescent="0.5">
      <c r="B254" s="8" t="s">
        <v>106</v>
      </c>
      <c r="C254" s="29" t="s">
        <v>102</v>
      </c>
      <c r="D254" s="29" t="s">
        <v>103</v>
      </c>
      <c r="E254" s="51" t="s">
        <v>104</v>
      </c>
      <c r="F254" s="64"/>
      <c r="G254" s="93">
        <f t="shared" si="51"/>
        <v>-0.2073254144841323</v>
      </c>
      <c r="H254" s="93">
        <f t="shared" si="51"/>
        <v>-0.20774222202005935</v>
      </c>
      <c r="I254" s="93">
        <f t="shared" si="51"/>
        <v>-0.20638765959533537</v>
      </c>
      <c r="J254" s="93">
        <f t="shared" si="51"/>
        <v>-0.20506526207973572</v>
      </c>
      <c r="K254" s="93">
        <f t="shared" si="51"/>
        <v>-0.20401746588818342</v>
      </c>
      <c r="L254" s="93">
        <f t="shared" si="51"/>
        <v>-0.20325402992722408</v>
      </c>
      <c r="M254" s="93">
        <f t="shared" si="51"/>
        <v>-0.20239546473548395</v>
      </c>
      <c r="N254" s="119">
        <f t="shared" si="52"/>
        <v>-1.4361875187301543</v>
      </c>
    </row>
    <row r="255" spans="1:14" x14ac:dyDescent="0.5">
      <c r="B255" s="8" t="s">
        <v>107</v>
      </c>
      <c r="C255" s="29" t="s">
        <v>102</v>
      </c>
      <c r="D255" s="29" t="s">
        <v>103</v>
      </c>
      <c r="E255" s="51" t="s">
        <v>104</v>
      </c>
      <c r="F255" s="64"/>
      <c r="G255" s="93">
        <f t="shared" si="51"/>
        <v>-0.56461338944683825</v>
      </c>
      <c r="H255" s="93">
        <f t="shared" si="51"/>
        <v>-0.56574848962832014</v>
      </c>
      <c r="I255" s="93">
        <f t="shared" si="51"/>
        <v>-0.56205958306689485</v>
      </c>
      <c r="J255" s="93">
        <f t="shared" si="51"/>
        <v>-0.55845827183673713</v>
      </c>
      <c r="K255" s="93">
        <f t="shared" si="51"/>
        <v>-0.55560478780713152</v>
      </c>
      <c r="L255" s="93">
        <f t="shared" si="51"/>
        <v>-0.55352570760070618</v>
      </c>
      <c r="M255" s="93">
        <f t="shared" si="51"/>
        <v>-0.5511875600842735</v>
      </c>
      <c r="N255" s="119">
        <f t="shared" si="52"/>
        <v>-3.9111977894709016</v>
      </c>
    </row>
    <row r="256" spans="1:14" x14ac:dyDescent="0.5">
      <c r="B256" s="8" t="s">
        <v>108</v>
      </c>
      <c r="C256" s="29" t="s">
        <v>102</v>
      </c>
      <c r="D256" s="29" t="s">
        <v>103</v>
      </c>
      <c r="E256" s="51" t="s">
        <v>104</v>
      </c>
      <c r="F256" s="64"/>
      <c r="G256" s="93">
        <f t="shared" si="51"/>
        <v>-0.21632523129103515</v>
      </c>
      <c r="H256" s="93">
        <f t="shared" si="51"/>
        <v>-0.2167601320813585</v>
      </c>
      <c r="I256" s="93">
        <f t="shared" si="51"/>
        <v>-0.215346769274123</v>
      </c>
      <c r="J256" s="93">
        <f t="shared" si="51"/>
        <v>-0.21396696762687881</v>
      </c>
      <c r="K256" s="93">
        <f t="shared" si="51"/>
        <v>-0.21287368750949714</v>
      </c>
      <c r="L256" s="93">
        <f t="shared" si="51"/>
        <v>-0.21207711145421054</v>
      </c>
      <c r="M256" s="93">
        <f t="shared" si="51"/>
        <v>-0.21118127669056738</v>
      </c>
      <c r="N256" s="119">
        <f t="shared" si="52"/>
        <v>-1.4985311759276707</v>
      </c>
    </row>
    <row r="257" spans="2:14" x14ac:dyDescent="0.5">
      <c r="B257" s="8" t="s">
        <v>109</v>
      </c>
      <c r="C257" s="29" t="s">
        <v>102</v>
      </c>
      <c r="D257" s="29" t="s">
        <v>103</v>
      </c>
      <c r="E257" s="51" t="s">
        <v>104</v>
      </c>
      <c r="F257" s="64"/>
      <c r="G257" s="93">
        <f t="shared" si="51"/>
        <v>-1.5178025368293997</v>
      </c>
      <c r="H257" s="93">
        <f t="shared" si="51"/>
        <v>-1.5208539308756808</v>
      </c>
      <c r="I257" s="93">
        <f t="shared" si="51"/>
        <v>-1.5109373546100284</v>
      </c>
      <c r="J257" s="93">
        <f t="shared" si="51"/>
        <v>-1.5012562534827583</v>
      </c>
      <c r="K257" s="93">
        <f t="shared" si="51"/>
        <v>-1.4935854731224469</v>
      </c>
      <c r="L257" s="93">
        <f t="shared" si="51"/>
        <v>-1.4879964572213618</v>
      </c>
      <c r="M257" s="93">
        <f t="shared" si="51"/>
        <v>-1.4817110125290216</v>
      </c>
      <c r="N257" s="119">
        <f t="shared" si="52"/>
        <v>-10.514143018670698</v>
      </c>
    </row>
    <row r="258" spans="2:14" x14ac:dyDescent="0.5">
      <c r="B258" s="8" t="s">
        <v>110</v>
      </c>
      <c r="C258" s="29" t="s">
        <v>102</v>
      </c>
      <c r="D258" s="29" t="s">
        <v>103</v>
      </c>
      <c r="E258" s="51" t="s">
        <v>104</v>
      </c>
      <c r="F258" s="64"/>
      <c r="G258" s="93">
        <f t="shared" si="51"/>
        <v>0</v>
      </c>
      <c r="H258" s="93">
        <f t="shared" si="51"/>
        <v>0</v>
      </c>
      <c r="I258" s="93">
        <f t="shared" si="51"/>
        <v>0</v>
      </c>
      <c r="J258" s="93">
        <f t="shared" si="51"/>
        <v>0</v>
      </c>
      <c r="K258" s="93">
        <f t="shared" si="51"/>
        <v>0</v>
      </c>
      <c r="L258" s="93">
        <f t="shared" si="51"/>
        <v>0</v>
      </c>
      <c r="M258" s="93">
        <f t="shared" si="51"/>
        <v>0</v>
      </c>
      <c r="N258" s="119">
        <f t="shared" si="52"/>
        <v>0</v>
      </c>
    </row>
    <row r="259" spans="2:14" x14ac:dyDescent="0.5">
      <c r="B259" s="8" t="s">
        <v>111</v>
      </c>
      <c r="C259" s="29" t="s">
        <v>102</v>
      </c>
      <c r="D259" s="29" t="s">
        <v>103</v>
      </c>
      <c r="E259" s="51" t="s">
        <v>112</v>
      </c>
      <c r="F259" s="64"/>
      <c r="G259" s="93">
        <f t="shared" si="51"/>
        <v>-0.8392239709499576</v>
      </c>
      <c r="H259" s="93">
        <f t="shared" si="51"/>
        <v>-0.83193094600909545</v>
      </c>
      <c r="I259" s="93">
        <f t="shared" si="51"/>
        <v>-0.82391656794232959</v>
      </c>
      <c r="J259" s="93">
        <f t="shared" si="51"/>
        <v>-0.81575579150032129</v>
      </c>
      <c r="K259" s="93">
        <f t="shared" si="51"/>
        <v>-0.80781008064885873</v>
      </c>
      <c r="L259" s="93">
        <f t="shared" si="51"/>
        <v>-0.80013309743231531</v>
      </c>
      <c r="M259" s="93">
        <f t="shared" si="51"/>
        <v>-0.79252907204672607</v>
      </c>
      <c r="N259" s="119">
        <f t="shared" si="52"/>
        <v>-5.7112995265296043</v>
      </c>
    </row>
    <row r="260" spans="2:14" x14ac:dyDescent="0.5">
      <c r="B260" s="8" t="s">
        <v>113</v>
      </c>
      <c r="C260" s="29" t="s">
        <v>102</v>
      </c>
      <c r="D260" s="29" t="s">
        <v>103</v>
      </c>
      <c r="E260" s="51" t="s">
        <v>112</v>
      </c>
      <c r="F260" s="64"/>
      <c r="G260" s="93">
        <f t="shared" si="51"/>
        <v>-0.78663665753789846</v>
      </c>
      <c r="H260" s="93">
        <f t="shared" si="51"/>
        <v>-0.77980062691745944</v>
      </c>
      <c r="I260" s="93">
        <f t="shared" si="51"/>
        <v>-0.77228844448116707</v>
      </c>
      <c r="J260" s="93">
        <f t="shared" si="51"/>
        <v>-0.76463903726036442</v>
      </c>
      <c r="K260" s="93">
        <f t="shared" si="51"/>
        <v>-0.75719121922570776</v>
      </c>
      <c r="L260" s="93">
        <f t="shared" si="51"/>
        <v>-0.74999528985943831</v>
      </c>
      <c r="M260" s="93">
        <f t="shared" si="51"/>
        <v>-0.74286774665260835</v>
      </c>
      <c r="N260" s="119">
        <f t="shared" si="52"/>
        <v>-5.353419021934644</v>
      </c>
    </row>
    <row r="261" spans="2:14" x14ac:dyDescent="0.5">
      <c r="B261" s="8" t="s">
        <v>114</v>
      </c>
      <c r="C261" s="29" t="s">
        <v>102</v>
      </c>
      <c r="D261" s="29" t="s">
        <v>103</v>
      </c>
      <c r="E261" s="51" t="s">
        <v>112</v>
      </c>
      <c r="F261" s="64"/>
      <c r="G261" s="93">
        <f t="shared" si="51"/>
        <v>-0.21612736875657745</v>
      </c>
      <c r="H261" s="93">
        <f t="shared" si="51"/>
        <v>-0.21424917849354144</v>
      </c>
      <c r="I261" s="93">
        <f t="shared" si="51"/>
        <v>-0.21218521642411931</v>
      </c>
      <c r="J261" s="93">
        <f t="shared" si="51"/>
        <v>-0.21008355202882631</v>
      </c>
      <c r="K261" s="93">
        <f t="shared" si="51"/>
        <v>-0.20803727399260274</v>
      </c>
      <c r="L261" s="93">
        <f t="shared" si="51"/>
        <v>-0.20606020203086914</v>
      </c>
      <c r="M261" s="93">
        <f t="shared" si="51"/>
        <v>-0.20410191907490771</v>
      </c>
      <c r="N261" s="119">
        <f t="shared" si="52"/>
        <v>-1.470844710801444</v>
      </c>
    </row>
    <row r="262" spans="2:14" x14ac:dyDescent="0.5">
      <c r="B262" s="8" t="s">
        <v>115</v>
      </c>
      <c r="C262" s="29" t="s">
        <v>102</v>
      </c>
      <c r="D262" s="29" t="s">
        <v>103</v>
      </c>
      <c r="E262" s="51" t="s">
        <v>112</v>
      </c>
      <c r="F262" s="64"/>
      <c r="G262" s="93">
        <f t="shared" ref="G262:M271" si="53">F139*(1+G17)*(1+G56)*G95</f>
        <v>-0.51708553806357427</v>
      </c>
      <c r="H262" s="93">
        <f t="shared" si="53"/>
        <v>-0.51191468268293849</v>
      </c>
      <c r="I262" s="93">
        <f t="shared" si="53"/>
        <v>-0.50679553585610915</v>
      </c>
      <c r="J262" s="93">
        <f t="shared" si="53"/>
        <v>-0.50172758049754806</v>
      </c>
      <c r="K262" s="93">
        <f t="shared" si="53"/>
        <v>-0.49671030469257255</v>
      </c>
      <c r="L262" s="93">
        <f t="shared" si="53"/>
        <v>-0.49174320164564683</v>
      </c>
      <c r="M262" s="93">
        <f t="shared" si="53"/>
        <v>-0.48682576962919039</v>
      </c>
      <c r="N262" s="119">
        <f t="shared" si="52"/>
        <v>-3.51280261306758</v>
      </c>
    </row>
    <row r="263" spans="2:14" x14ac:dyDescent="0.5">
      <c r="B263" s="8" t="s">
        <v>116</v>
      </c>
      <c r="C263" s="29" t="s">
        <v>102</v>
      </c>
      <c r="D263" s="29" t="s">
        <v>103</v>
      </c>
      <c r="E263" s="51" t="s">
        <v>117</v>
      </c>
      <c r="F263" s="64"/>
      <c r="G263" s="201"/>
      <c r="H263" s="201"/>
      <c r="I263" s="201"/>
      <c r="J263" s="201"/>
      <c r="K263" s="201"/>
      <c r="L263" s="201"/>
      <c r="M263" s="201"/>
      <c r="N263" s="119">
        <f t="shared" si="52"/>
        <v>0</v>
      </c>
    </row>
    <row r="264" spans="2:14" x14ac:dyDescent="0.5">
      <c r="B264" s="8" t="s">
        <v>118</v>
      </c>
      <c r="C264" s="29" t="s">
        <v>102</v>
      </c>
      <c r="D264" s="29" t="s">
        <v>103</v>
      </c>
      <c r="E264" s="51" t="s">
        <v>119</v>
      </c>
      <c r="F264" s="64"/>
      <c r="G264" s="93">
        <f t="shared" si="53"/>
        <v>0</v>
      </c>
      <c r="H264" s="93">
        <f t="shared" si="53"/>
        <v>0</v>
      </c>
      <c r="I264" s="93">
        <f t="shared" si="53"/>
        <v>0</v>
      </c>
      <c r="J264" s="93">
        <f t="shared" si="53"/>
        <v>0</v>
      </c>
      <c r="K264" s="93">
        <f t="shared" si="53"/>
        <v>0</v>
      </c>
      <c r="L264" s="93">
        <f t="shared" si="53"/>
        <v>0</v>
      </c>
      <c r="M264" s="93">
        <f t="shared" si="53"/>
        <v>0</v>
      </c>
      <c r="N264" s="119">
        <f t="shared" si="52"/>
        <v>0</v>
      </c>
    </row>
    <row r="265" spans="2:14" x14ac:dyDescent="0.5">
      <c r="B265" s="8" t="s">
        <v>120</v>
      </c>
      <c r="C265" s="29" t="s">
        <v>102</v>
      </c>
      <c r="D265" s="29" t="s">
        <v>103</v>
      </c>
      <c r="E265" s="51" t="s">
        <v>119</v>
      </c>
      <c r="F265" s="64"/>
      <c r="G265" s="93">
        <f t="shared" si="53"/>
        <v>0</v>
      </c>
      <c r="H265" s="93">
        <f t="shared" si="53"/>
        <v>0</v>
      </c>
      <c r="I265" s="93">
        <f t="shared" si="53"/>
        <v>0</v>
      </c>
      <c r="J265" s="93">
        <f t="shared" si="53"/>
        <v>0</v>
      </c>
      <c r="K265" s="93">
        <f t="shared" si="53"/>
        <v>0</v>
      </c>
      <c r="L265" s="93">
        <f t="shared" si="53"/>
        <v>0</v>
      </c>
      <c r="M265" s="93">
        <f t="shared" si="53"/>
        <v>0</v>
      </c>
      <c r="N265" s="119">
        <f t="shared" si="52"/>
        <v>0</v>
      </c>
    </row>
    <row r="266" spans="2:14" x14ac:dyDescent="0.5">
      <c r="B266" s="8" t="s">
        <v>121</v>
      </c>
      <c r="C266" s="29" t="s">
        <v>102</v>
      </c>
      <c r="D266" s="29" t="s">
        <v>103</v>
      </c>
      <c r="E266" s="51" t="s">
        <v>119</v>
      </c>
      <c r="F266" s="64"/>
      <c r="G266" s="93">
        <f t="shared" si="53"/>
        <v>0</v>
      </c>
      <c r="H266" s="93">
        <f t="shared" si="53"/>
        <v>0</v>
      </c>
      <c r="I266" s="93">
        <f t="shared" si="53"/>
        <v>0</v>
      </c>
      <c r="J266" s="93">
        <f t="shared" si="53"/>
        <v>0</v>
      </c>
      <c r="K266" s="93">
        <f t="shared" si="53"/>
        <v>0</v>
      </c>
      <c r="L266" s="93">
        <f t="shared" si="53"/>
        <v>0</v>
      </c>
      <c r="M266" s="93">
        <f t="shared" si="53"/>
        <v>0</v>
      </c>
      <c r="N266" s="119">
        <f t="shared" si="52"/>
        <v>0</v>
      </c>
    </row>
    <row r="267" spans="2:14" x14ac:dyDescent="0.5">
      <c r="B267" s="8" t="s">
        <v>122</v>
      </c>
      <c r="C267" s="29" t="s">
        <v>102</v>
      </c>
      <c r="D267" s="29" t="s">
        <v>103</v>
      </c>
      <c r="E267" s="51" t="s">
        <v>119</v>
      </c>
      <c r="F267" s="64"/>
      <c r="G267" s="93">
        <f t="shared" si="53"/>
        <v>0</v>
      </c>
      <c r="H267" s="93">
        <f t="shared" si="53"/>
        <v>0</v>
      </c>
      <c r="I267" s="93">
        <f t="shared" si="53"/>
        <v>0</v>
      </c>
      <c r="J267" s="93">
        <f t="shared" si="53"/>
        <v>0</v>
      </c>
      <c r="K267" s="93">
        <f t="shared" si="53"/>
        <v>0</v>
      </c>
      <c r="L267" s="93">
        <f t="shared" si="53"/>
        <v>0</v>
      </c>
      <c r="M267" s="93">
        <f t="shared" si="53"/>
        <v>0</v>
      </c>
      <c r="N267" s="119">
        <f t="shared" si="52"/>
        <v>0</v>
      </c>
    </row>
    <row r="268" spans="2:14" x14ac:dyDescent="0.5">
      <c r="B268" s="8" t="s">
        <v>123</v>
      </c>
      <c r="C268" s="29" t="s">
        <v>102</v>
      </c>
      <c r="D268" s="29" t="s">
        <v>103</v>
      </c>
      <c r="E268" s="51" t="s">
        <v>119</v>
      </c>
      <c r="F268" s="64"/>
      <c r="G268" s="93">
        <f t="shared" si="53"/>
        <v>0</v>
      </c>
      <c r="H268" s="93">
        <f t="shared" si="53"/>
        <v>0</v>
      </c>
      <c r="I268" s="93">
        <f t="shared" si="53"/>
        <v>0</v>
      </c>
      <c r="J268" s="93">
        <f t="shared" si="53"/>
        <v>0</v>
      </c>
      <c r="K268" s="93">
        <f t="shared" si="53"/>
        <v>0</v>
      </c>
      <c r="L268" s="93">
        <f t="shared" si="53"/>
        <v>0</v>
      </c>
      <c r="M268" s="93">
        <f t="shared" si="53"/>
        <v>0</v>
      </c>
      <c r="N268" s="119">
        <f t="shared" si="52"/>
        <v>0</v>
      </c>
    </row>
    <row r="269" spans="2:14" x14ac:dyDescent="0.5">
      <c r="B269" s="8" t="s">
        <v>124</v>
      </c>
      <c r="C269" s="29" t="s">
        <v>102</v>
      </c>
      <c r="D269" s="29" t="s">
        <v>103</v>
      </c>
      <c r="E269" s="51" t="s">
        <v>124</v>
      </c>
      <c r="F269" s="64"/>
      <c r="G269" s="93">
        <f t="shared" si="53"/>
        <v>0</v>
      </c>
      <c r="H269" s="93">
        <f t="shared" si="53"/>
        <v>0</v>
      </c>
      <c r="I269" s="93">
        <f t="shared" si="53"/>
        <v>0</v>
      </c>
      <c r="J269" s="93">
        <f t="shared" si="53"/>
        <v>0</v>
      </c>
      <c r="K269" s="93">
        <f t="shared" si="53"/>
        <v>0</v>
      </c>
      <c r="L269" s="93">
        <f t="shared" si="53"/>
        <v>0</v>
      </c>
      <c r="M269" s="93">
        <f t="shared" si="53"/>
        <v>0</v>
      </c>
      <c r="N269" s="119">
        <f t="shared" si="52"/>
        <v>0</v>
      </c>
    </row>
    <row r="270" spans="2:14" x14ac:dyDescent="0.5">
      <c r="B270" s="8" t="s">
        <v>125</v>
      </c>
      <c r="C270" s="29" t="s">
        <v>102</v>
      </c>
      <c r="D270" s="29" t="s">
        <v>103</v>
      </c>
      <c r="E270" s="51" t="s">
        <v>125</v>
      </c>
      <c r="F270" s="64"/>
      <c r="G270" s="93">
        <f t="shared" si="53"/>
        <v>-0.25640000000000002</v>
      </c>
      <c r="H270" s="93">
        <f t="shared" si="53"/>
        <v>-0.25383600000000001</v>
      </c>
      <c r="I270" s="93">
        <f t="shared" si="53"/>
        <v>-0.25129764000000004</v>
      </c>
      <c r="J270" s="93">
        <f t="shared" si="53"/>
        <v>-0.24878466360000001</v>
      </c>
      <c r="K270" s="93">
        <f t="shared" si="53"/>
        <v>-0.24629681696400002</v>
      </c>
      <c r="L270" s="93">
        <f t="shared" si="53"/>
        <v>-0.24383384879436001</v>
      </c>
      <c r="M270" s="93">
        <f t="shared" si="53"/>
        <v>-0.24139551030641643</v>
      </c>
      <c r="N270" s="119">
        <f t="shared" si="52"/>
        <v>-1.7418444796647767</v>
      </c>
    </row>
    <row r="271" spans="2:14" x14ac:dyDescent="0.5">
      <c r="B271" s="8" t="s">
        <v>126</v>
      </c>
      <c r="C271" s="29" t="s">
        <v>102</v>
      </c>
      <c r="D271" s="29" t="s">
        <v>103</v>
      </c>
      <c r="E271" s="51" t="s">
        <v>127</v>
      </c>
      <c r="F271" s="64"/>
      <c r="G271" s="93">
        <f t="shared" si="53"/>
        <v>-0.46905565112870939</v>
      </c>
      <c r="H271" s="93">
        <f t="shared" si="53"/>
        <v>-0.46584762162123999</v>
      </c>
      <c r="I271" s="93">
        <f t="shared" si="53"/>
        <v>-0.46164956387008566</v>
      </c>
      <c r="J271" s="93">
        <f t="shared" si="53"/>
        <v>-0.45818573554992648</v>
      </c>
      <c r="K271" s="93">
        <f t="shared" si="53"/>
        <v>-0.45484937549782362</v>
      </c>
      <c r="L271" s="93">
        <f t="shared" si="53"/>
        <v>-0.45149285081182494</v>
      </c>
      <c r="M271" s="93">
        <f t="shared" si="53"/>
        <v>-0.44798027998620527</v>
      </c>
      <c r="N271" s="119">
        <f t="shared" si="52"/>
        <v>-3.2090610784658153</v>
      </c>
    </row>
    <row r="272" spans="2:14" x14ac:dyDescent="0.5">
      <c r="B272" s="8" t="s">
        <v>128</v>
      </c>
      <c r="C272" s="29" t="s">
        <v>102</v>
      </c>
      <c r="D272" s="29" t="s">
        <v>103</v>
      </c>
      <c r="E272" s="51" t="s">
        <v>127</v>
      </c>
      <c r="F272" s="64"/>
      <c r="G272" s="93">
        <f t="shared" ref="G272:M281" si="54">F149*(1+G27)*(1+G66)*G105</f>
        <v>-0.41953595773663466</v>
      </c>
      <c r="H272" s="93">
        <f t="shared" si="54"/>
        <v>-0.41666661008327011</v>
      </c>
      <c r="I272" s="93">
        <f t="shared" si="54"/>
        <v>-0.41291175460924251</v>
      </c>
      <c r="J272" s="93">
        <f t="shared" si="54"/>
        <v>-0.40981361363548735</v>
      </c>
      <c r="K272" s="93">
        <f t="shared" si="54"/>
        <v>-0.40682948370027605</v>
      </c>
      <c r="L272" s="93">
        <f t="shared" si="54"/>
        <v>-0.40382731797555116</v>
      </c>
      <c r="M272" s="93">
        <f t="shared" si="54"/>
        <v>-0.40068558039729579</v>
      </c>
      <c r="N272" s="119">
        <f t="shared" si="52"/>
        <v>-2.8702703181377576</v>
      </c>
    </row>
    <row r="273" spans="2:14" x14ac:dyDescent="0.5">
      <c r="B273" s="8" t="s">
        <v>129</v>
      </c>
      <c r="C273" s="29" t="s">
        <v>102</v>
      </c>
      <c r="D273" s="29" t="s">
        <v>103</v>
      </c>
      <c r="E273" s="51" t="s">
        <v>127</v>
      </c>
      <c r="F273" s="64"/>
      <c r="G273" s="93">
        <f t="shared" si="54"/>
        <v>-0.46819673858252286</v>
      </c>
      <c r="H273" s="93">
        <f t="shared" si="54"/>
        <v>-0.46607118606299691</v>
      </c>
      <c r="I273" s="93">
        <f t="shared" si="54"/>
        <v>-0.46217036662734162</v>
      </c>
      <c r="J273" s="93">
        <f t="shared" si="54"/>
        <v>-0.45877977555534666</v>
      </c>
      <c r="K273" s="93">
        <f t="shared" si="54"/>
        <v>-0.4556481616875136</v>
      </c>
      <c r="L273" s="93">
        <f t="shared" si="54"/>
        <v>-0.45268273116401431</v>
      </c>
      <c r="M273" s="93">
        <f t="shared" si="54"/>
        <v>-0.44955514913288935</v>
      </c>
      <c r="N273" s="119">
        <f t="shared" si="52"/>
        <v>-3.2131041088126255</v>
      </c>
    </row>
    <row r="274" spans="2:14" x14ac:dyDescent="0.5">
      <c r="B274" s="8" t="s">
        <v>130</v>
      </c>
      <c r="C274" s="29" t="s">
        <v>102</v>
      </c>
      <c r="D274" s="29" t="s">
        <v>103</v>
      </c>
      <c r="E274" s="51" t="s">
        <v>127</v>
      </c>
      <c r="F274" s="64"/>
      <c r="G274" s="93">
        <f t="shared" si="54"/>
        <v>-0.15461385641376538</v>
      </c>
      <c r="H274" s="93">
        <f t="shared" si="54"/>
        <v>-0.15391192954206426</v>
      </c>
      <c r="I274" s="93">
        <f t="shared" si="54"/>
        <v>-0.15262375154674884</v>
      </c>
      <c r="J274" s="93">
        <f t="shared" si="54"/>
        <v>-0.15150406762338292</v>
      </c>
      <c r="K274" s="93">
        <f t="shared" si="54"/>
        <v>-0.15046990643214866</v>
      </c>
      <c r="L274" s="93">
        <f t="shared" si="54"/>
        <v>-0.14949062440948141</v>
      </c>
      <c r="M274" s="93">
        <f t="shared" si="54"/>
        <v>-0.14845779466242545</v>
      </c>
      <c r="N274" s="119">
        <f t="shared" si="52"/>
        <v>-1.0610719306300169</v>
      </c>
    </row>
    <row r="275" spans="2:14" x14ac:dyDescent="0.5">
      <c r="B275" s="8" t="s">
        <v>131</v>
      </c>
      <c r="C275" s="29" t="s">
        <v>102</v>
      </c>
      <c r="D275" s="29" t="s">
        <v>103</v>
      </c>
      <c r="E275" s="51" t="s">
        <v>127</v>
      </c>
      <c r="F275" s="64"/>
      <c r="G275" s="93">
        <f t="shared" si="54"/>
        <v>-0.20063808524081089</v>
      </c>
      <c r="H275" s="93">
        <f t="shared" si="54"/>
        <v>-0.19972721433451707</v>
      </c>
      <c r="I275" s="93">
        <f t="shared" si="54"/>
        <v>-0.19805558171099746</v>
      </c>
      <c r="J275" s="93">
        <f t="shared" si="54"/>
        <v>-0.19660259914093683</v>
      </c>
      <c r="K275" s="93">
        <f t="shared" si="54"/>
        <v>-0.195260597032896</v>
      </c>
      <c r="L275" s="93">
        <f t="shared" si="54"/>
        <v>-0.19398981008988814</v>
      </c>
      <c r="M275" s="93">
        <f t="shared" si="54"/>
        <v>-0.19264953575978858</v>
      </c>
      <c r="N275" s="119">
        <f t="shared" si="52"/>
        <v>-1.3769234233098351</v>
      </c>
    </row>
    <row r="276" spans="2:14" x14ac:dyDescent="0.5">
      <c r="B276" s="8" t="s">
        <v>132</v>
      </c>
      <c r="C276" s="29" t="s">
        <v>102</v>
      </c>
      <c r="D276" s="29" t="s">
        <v>103</v>
      </c>
      <c r="E276" s="51" t="s">
        <v>127</v>
      </c>
      <c r="F276" s="64"/>
      <c r="G276" s="93">
        <f t="shared" si="54"/>
        <v>-0.52233044262826323</v>
      </c>
      <c r="H276" s="93">
        <f t="shared" si="54"/>
        <v>-0.51875804888656374</v>
      </c>
      <c r="I276" s="93">
        <f t="shared" si="54"/>
        <v>-0.51408318065277758</v>
      </c>
      <c r="J276" s="93">
        <f t="shared" si="54"/>
        <v>-0.51022593476883327</v>
      </c>
      <c r="K276" s="93">
        <f t="shared" si="54"/>
        <v>-0.50651063484954084</v>
      </c>
      <c r="L276" s="93">
        <f t="shared" si="54"/>
        <v>-0.50277288002085141</v>
      </c>
      <c r="M276" s="93">
        <f t="shared" si="54"/>
        <v>-0.49886135551476335</v>
      </c>
      <c r="N276" s="119">
        <f t="shared" si="52"/>
        <v>-3.5735424773215931</v>
      </c>
    </row>
    <row r="277" spans="2:14" x14ac:dyDescent="0.5">
      <c r="B277" s="8" t="s">
        <v>133</v>
      </c>
      <c r="C277" s="29" t="s">
        <v>102</v>
      </c>
      <c r="D277" s="29" t="s">
        <v>103</v>
      </c>
      <c r="E277" s="51" t="s">
        <v>127</v>
      </c>
      <c r="F277" s="64"/>
      <c r="G277" s="93">
        <f t="shared" si="54"/>
        <v>-0.40951413160970168</v>
      </c>
      <c r="H277" s="93">
        <f t="shared" si="54"/>
        <v>-0.4076549905211504</v>
      </c>
      <c r="I277" s="93">
        <f t="shared" si="54"/>
        <v>-0.40424309002693731</v>
      </c>
      <c r="J277" s="93">
        <f t="shared" si="54"/>
        <v>-0.40127746715076063</v>
      </c>
      <c r="K277" s="93">
        <f t="shared" si="54"/>
        <v>-0.39853836192438691</v>
      </c>
      <c r="L277" s="93">
        <f t="shared" si="54"/>
        <v>-0.3959446110380474</v>
      </c>
      <c r="M277" s="93">
        <f t="shared" si="54"/>
        <v>-0.39320903230806337</v>
      </c>
      <c r="N277" s="119">
        <f t="shared" si="52"/>
        <v>-2.8103816845790477</v>
      </c>
    </row>
    <row r="278" spans="2:14" x14ac:dyDescent="0.5">
      <c r="B278" s="8" t="s">
        <v>134</v>
      </c>
      <c r="C278" s="29" t="s">
        <v>102</v>
      </c>
      <c r="D278" s="29" t="s">
        <v>103</v>
      </c>
      <c r="E278" s="51" t="s">
        <v>127</v>
      </c>
      <c r="F278" s="64"/>
      <c r="G278" s="93">
        <f t="shared" si="54"/>
        <v>-0.73224247840244805</v>
      </c>
      <c r="H278" s="93">
        <f t="shared" si="54"/>
        <v>-0.72891819244184008</v>
      </c>
      <c r="I278" s="93">
        <f t="shared" si="54"/>
        <v>-0.72281745432048472</v>
      </c>
      <c r="J278" s="93">
        <f t="shared" si="54"/>
        <v>-0.71751469459318862</v>
      </c>
      <c r="K278" s="93">
        <f t="shared" si="54"/>
        <v>-0.71261696568776312</v>
      </c>
      <c r="L278" s="93">
        <f t="shared" si="54"/>
        <v>-0.70797914142048757</v>
      </c>
      <c r="M278" s="93">
        <f t="shared" si="54"/>
        <v>-0.70308771815937843</v>
      </c>
      <c r="N278" s="119">
        <f t="shared" si="52"/>
        <v>-5.0251766450255904</v>
      </c>
    </row>
    <row r="279" spans="2:14" x14ac:dyDescent="0.5">
      <c r="B279" s="8" t="s">
        <v>135</v>
      </c>
      <c r="C279" s="29" t="s">
        <v>102</v>
      </c>
      <c r="D279" s="29" t="s">
        <v>103</v>
      </c>
      <c r="E279" s="51" t="s">
        <v>127</v>
      </c>
      <c r="F279" s="64"/>
      <c r="G279" s="93">
        <f t="shared" si="54"/>
        <v>-9.2573121744412706E-2</v>
      </c>
      <c r="H279" s="93">
        <f t="shared" si="54"/>
        <v>-9.2152851768248528E-2</v>
      </c>
      <c r="I279" s="93">
        <f t="shared" si="54"/>
        <v>-9.1381571230043229E-2</v>
      </c>
      <c r="J279" s="93">
        <f t="shared" si="54"/>
        <v>-9.0711174419839932E-2</v>
      </c>
      <c r="K279" s="93">
        <f t="shared" si="54"/>
        <v>-9.0091983280830554E-2</v>
      </c>
      <c r="L279" s="93">
        <f t="shared" si="54"/>
        <v>-8.9505650360811498E-2</v>
      </c>
      <c r="M279" s="93">
        <f t="shared" si="54"/>
        <v>-8.8887256407428727E-2</v>
      </c>
      <c r="N279" s="119">
        <f t="shared" si="52"/>
        <v>-0.63530360921161533</v>
      </c>
    </row>
    <row r="280" spans="2:14" x14ac:dyDescent="0.5">
      <c r="B280" s="8" t="s">
        <v>136</v>
      </c>
      <c r="C280" s="29" t="s">
        <v>102</v>
      </c>
      <c r="D280" s="29" t="s">
        <v>103</v>
      </c>
      <c r="E280" s="51" t="s">
        <v>127</v>
      </c>
      <c r="F280" s="64"/>
      <c r="G280" s="93">
        <f t="shared" si="54"/>
        <v>-0.36625291781064934</v>
      </c>
      <c r="H280" s="93">
        <f t="shared" si="54"/>
        <v>-0.36459017702652285</v>
      </c>
      <c r="I280" s="93">
        <f t="shared" si="54"/>
        <v>-0.3615387108747366</v>
      </c>
      <c r="J280" s="93">
        <f t="shared" si="54"/>
        <v>-0.35888637741982932</v>
      </c>
      <c r="K280" s="93">
        <f t="shared" si="54"/>
        <v>-0.35643663221224287</v>
      </c>
      <c r="L280" s="93">
        <f t="shared" si="54"/>
        <v>-0.35411688606218522</v>
      </c>
      <c r="M280" s="93">
        <f t="shared" si="54"/>
        <v>-0.35167029481069628</v>
      </c>
      <c r="N280" s="119">
        <f t="shared" si="52"/>
        <v>-2.5134919962168625</v>
      </c>
    </row>
    <row r="281" spans="2:14" x14ac:dyDescent="0.5">
      <c r="B281" s="8" t="s">
        <v>137</v>
      </c>
      <c r="C281" s="29" t="s">
        <v>102</v>
      </c>
      <c r="D281" s="29" t="s">
        <v>103</v>
      </c>
      <c r="E281" s="51" t="s">
        <v>127</v>
      </c>
      <c r="F281" s="64"/>
      <c r="G281" s="93">
        <f t="shared" si="54"/>
        <v>-6.5500834986906356E-2</v>
      </c>
      <c r="H281" s="93">
        <f t="shared" si="54"/>
        <v>-6.5203469684322266E-2</v>
      </c>
      <c r="I281" s="93">
        <f t="shared" si="54"/>
        <v>-6.4657744118308866E-2</v>
      </c>
      <c r="J281" s="93">
        <f t="shared" si="54"/>
        <v>-6.4183399621618883E-2</v>
      </c>
      <c r="K281" s="93">
        <f t="shared" si="54"/>
        <v>-6.3745286097332807E-2</v>
      </c>
      <c r="L281" s="93">
        <f t="shared" si="54"/>
        <v>-6.333042166240975E-2</v>
      </c>
      <c r="M281" s="93">
        <f t="shared" si="54"/>
        <v>-6.2892872193037241E-2</v>
      </c>
      <c r="N281" s="119">
        <f t="shared" si="52"/>
        <v>-0.44951402836393622</v>
      </c>
    </row>
    <row r="282" spans="2:14" x14ac:dyDescent="0.5">
      <c r="B282" s="8" t="s">
        <v>138</v>
      </c>
      <c r="C282" s="29" t="s">
        <v>102</v>
      </c>
      <c r="D282" s="29" t="s">
        <v>103</v>
      </c>
      <c r="E282" s="51" t="s">
        <v>127</v>
      </c>
      <c r="F282" s="64"/>
      <c r="G282" s="93">
        <f t="shared" ref="G282:M286" si="55">F159*(1+G37)*(1+G76)*G115</f>
        <v>-0.19433772725369744</v>
      </c>
      <c r="H282" s="93">
        <f t="shared" si="55"/>
        <v>-0.19345545915620144</v>
      </c>
      <c r="I282" s="93">
        <f t="shared" si="55"/>
        <v>-0.19183631848075075</v>
      </c>
      <c r="J282" s="93">
        <f t="shared" si="55"/>
        <v>-0.19042896189605288</v>
      </c>
      <c r="K282" s="93">
        <f t="shared" si="55"/>
        <v>-0.18912910080869597</v>
      </c>
      <c r="L282" s="93">
        <f t="shared" si="55"/>
        <v>-0.18789821861585901</v>
      </c>
      <c r="M282" s="93">
        <f t="shared" si="55"/>
        <v>-0.18660003105144221</v>
      </c>
      <c r="N282" s="119">
        <f t="shared" si="52"/>
        <v>-1.3336858172626997</v>
      </c>
    </row>
    <row r="283" spans="2:14" x14ac:dyDescent="0.5">
      <c r="B283" s="8" t="s">
        <v>139</v>
      </c>
      <c r="C283" s="29" t="s">
        <v>102</v>
      </c>
      <c r="D283" s="29" t="s">
        <v>103</v>
      </c>
      <c r="E283" s="51" t="s">
        <v>127</v>
      </c>
      <c r="F283" s="64"/>
      <c r="G283" s="93">
        <f t="shared" si="55"/>
        <v>-0.26861884695937571</v>
      </c>
      <c r="H283" s="93">
        <f t="shared" si="55"/>
        <v>-0.26806115217350673</v>
      </c>
      <c r="I283" s="93">
        <f t="shared" si="55"/>
        <v>-0.26600200281559749</v>
      </c>
      <c r="J283" s="93">
        <f t="shared" si="55"/>
        <v>-0.26409812144644784</v>
      </c>
      <c r="K283" s="93">
        <f t="shared" si="55"/>
        <v>-0.26242434690083316</v>
      </c>
      <c r="L283" s="93">
        <f t="shared" si="55"/>
        <v>-0.26096141931856243</v>
      </c>
      <c r="M283" s="93">
        <f t="shared" si="55"/>
        <v>-0.25940194635781089</v>
      </c>
      <c r="N283" s="119">
        <f t="shared" si="52"/>
        <v>-1.8495678359721341</v>
      </c>
    </row>
    <row r="284" spans="2:14" x14ac:dyDescent="0.5">
      <c r="B284" s="8" t="s">
        <v>140</v>
      </c>
      <c r="C284" s="29" t="s">
        <v>102</v>
      </c>
      <c r="D284" s="29" t="s">
        <v>103</v>
      </c>
      <c r="E284" s="51" t="s">
        <v>127</v>
      </c>
      <c r="F284" s="64"/>
      <c r="G284" s="93">
        <f t="shared" si="55"/>
        <v>-0.32029852085410332</v>
      </c>
      <c r="H284" s="93">
        <f t="shared" si="55"/>
        <v>-0.31884440707692702</v>
      </c>
      <c r="I284" s="93">
        <f t="shared" si="55"/>
        <v>-0.31617581374340226</v>
      </c>
      <c r="J284" s="93">
        <f t="shared" si="55"/>
        <v>-0.31385627322616372</v>
      </c>
      <c r="K284" s="93">
        <f t="shared" si="55"/>
        <v>-0.31171390185298864</v>
      </c>
      <c r="L284" s="93">
        <f t="shared" si="55"/>
        <v>-0.30968521832723828</v>
      </c>
      <c r="M284" s="93">
        <f t="shared" si="55"/>
        <v>-0.30754560517774893</v>
      </c>
      <c r="N284" s="119">
        <f t="shared" si="52"/>
        <v>-2.1981197402585724</v>
      </c>
    </row>
    <row r="285" spans="2:14" x14ac:dyDescent="0.5">
      <c r="B285" s="8" t="s">
        <v>141</v>
      </c>
      <c r="C285" s="29" t="s">
        <v>102</v>
      </c>
      <c r="D285" s="29" t="s">
        <v>103</v>
      </c>
      <c r="E285" s="51" t="s">
        <v>127</v>
      </c>
      <c r="F285" s="64"/>
      <c r="G285" s="93">
        <f t="shared" si="55"/>
        <v>-0.11458835676393275</v>
      </c>
      <c r="H285" s="93">
        <f t="shared" si="55"/>
        <v>-0.11380464841541046</v>
      </c>
      <c r="I285" s="93">
        <f t="shared" si="55"/>
        <v>-0.1127790802591644</v>
      </c>
      <c r="J285" s="93">
        <f t="shared" si="55"/>
        <v>-0.11193288131802746</v>
      </c>
      <c r="K285" s="93">
        <f t="shared" si="55"/>
        <v>-0.11111782234789601</v>
      </c>
      <c r="L285" s="93">
        <f t="shared" si="55"/>
        <v>-0.11029783724105284</v>
      </c>
      <c r="M285" s="93">
        <f t="shared" si="55"/>
        <v>-0.10943973070730545</v>
      </c>
      <c r="N285" s="119">
        <f t="shared" si="52"/>
        <v>-0.78396035705278933</v>
      </c>
    </row>
    <row r="286" spans="2:14" x14ac:dyDescent="0.5">
      <c r="B286" s="8" t="s">
        <v>142</v>
      </c>
      <c r="C286" s="29" t="s">
        <v>102</v>
      </c>
      <c r="D286" s="29" t="s">
        <v>103</v>
      </c>
      <c r="E286" s="51" t="s">
        <v>127</v>
      </c>
      <c r="F286" s="64"/>
      <c r="G286" s="93">
        <f t="shared" si="55"/>
        <v>-0.76925225779929052</v>
      </c>
      <c r="H286" s="93">
        <f t="shared" si="55"/>
        <v>-0.76399108263645177</v>
      </c>
      <c r="I286" s="93">
        <f t="shared" si="55"/>
        <v>-0.7571062590645018</v>
      </c>
      <c r="J286" s="93">
        <f t="shared" si="55"/>
        <v>-0.75142557330898485</v>
      </c>
      <c r="K286" s="93">
        <f t="shared" si="55"/>
        <v>-0.74595393578210367</v>
      </c>
      <c r="L286" s="93">
        <f t="shared" si="55"/>
        <v>-0.74044922821307579</v>
      </c>
      <c r="M286" s="93">
        <f t="shared" si="55"/>
        <v>-0.73468860464573194</v>
      </c>
      <c r="N286" s="119">
        <f t="shared" si="52"/>
        <v>-5.2628669414501408</v>
      </c>
    </row>
    <row r="287" spans="2:14" x14ac:dyDescent="0.5">
      <c r="B287" s="8" t="s">
        <v>192</v>
      </c>
      <c r="C287" s="29" t="s">
        <v>102</v>
      </c>
      <c r="D287" s="29" t="s">
        <v>103</v>
      </c>
      <c r="E287" s="8"/>
      <c r="F287" s="64"/>
      <c r="G287" s="98">
        <f t="shared" ref="G287:M287" si="56">SUM(G252:G286)</f>
        <v>-12.720643969764813</v>
      </c>
      <c r="H287" s="98">
        <f t="shared" si="56"/>
        <v>-12.676133427785139</v>
      </c>
      <c r="I287" s="98">
        <f t="shared" si="56"/>
        <v>-12.573612017278613</v>
      </c>
      <c r="J287" s="98">
        <f t="shared" si="56"/>
        <v>-12.478571036728869</v>
      </c>
      <c r="K287" s="98">
        <f t="shared" si="56"/>
        <v>-12.392603397703978</v>
      </c>
      <c r="L287" s="98">
        <f t="shared" si="56"/>
        <v>-12.314702777842035</v>
      </c>
      <c r="M287" s="98">
        <f t="shared" si="56"/>
        <v>-12.233054138975984</v>
      </c>
      <c r="N287" s="119">
        <f>SUM(G287:M287)</f>
        <v>-87.389320766079436</v>
      </c>
    </row>
  </sheetData>
  <pageMargins left="0.7" right="0.7" top="0.75" bottom="0.75" header="0.3" footer="0.3"/>
  <headerFooter>
    <oddHeader>&amp;C&amp;"Calibri"&amp;8&amp;K000000 OFFICIAL - CAA Use Only: This information is for CAA use only &amp;1#_x000D_</oddHeader>
    <oddFooter>&amp;C_x000D_&amp;1#&amp;"Calibri"&amp;8&amp;K000000 OFFICIAL - CAA Use Only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60ADA-F5D3-CB47-BF0B-AA554380BF97}">
  <sheetPr>
    <tabColor theme="4"/>
  </sheetPr>
  <dimension ref="A1:X392"/>
  <sheetViews>
    <sheetView topLeftCell="A160" zoomScale="50" zoomScaleNormal="50" workbookViewId="0">
      <pane xSplit="2" topLeftCell="C1" activePane="topRight" state="frozen"/>
      <selection pane="topRight" activeCell="K170" sqref="K170"/>
    </sheetView>
  </sheetViews>
  <sheetFormatPr defaultColWidth="8.90625" defaultRowHeight="16.5" x14ac:dyDescent="0.5"/>
  <cols>
    <col min="1" max="3" width="30.90625" customWidth="1"/>
    <col min="4" max="13" width="20.6328125" customWidth="1"/>
    <col min="14" max="14" width="13.90625" bestFit="1" customWidth="1"/>
  </cols>
  <sheetData>
    <row r="1" spans="1:14" ht="23" thickBot="1" x14ac:dyDescent="0.7">
      <c r="A1" s="13" t="s">
        <v>393</v>
      </c>
    </row>
    <row r="2" spans="1:14" ht="23" thickTop="1" x14ac:dyDescent="0.65">
      <c r="A2" s="21"/>
    </row>
    <row r="5" spans="1:14" ht="19" thickBot="1" x14ac:dyDescent="0.55000000000000004">
      <c r="A5" s="14" t="s">
        <v>40</v>
      </c>
    </row>
    <row r="6" spans="1:14" ht="19" thickTop="1" x14ac:dyDescent="0.5">
      <c r="A6" s="23"/>
    </row>
    <row r="7" spans="1:14" ht="17" thickBot="1" x14ac:dyDescent="0.55000000000000004">
      <c r="B7" s="27" t="s">
        <v>143</v>
      </c>
      <c r="C7" s="27" t="s">
        <v>96</v>
      </c>
      <c r="D7" s="27" t="s">
        <v>97</v>
      </c>
      <c r="E7" s="50" t="s">
        <v>144</v>
      </c>
      <c r="F7" s="12">
        <v>2024</v>
      </c>
      <c r="G7" s="12">
        <v>2025</v>
      </c>
      <c r="H7" s="12">
        <v>2026</v>
      </c>
      <c r="I7" s="12">
        <v>2027</v>
      </c>
      <c r="J7" s="12">
        <v>2028</v>
      </c>
      <c r="K7" s="12">
        <v>2029</v>
      </c>
      <c r="L7" s="12">
        <v>2030</v>
      </c>
      <c r="M7" s="12">
        <v>2031</v>
      </c>
      <c r="N7" s="10" t="s">
        <v>57</v>
      </c>
    </row>
    <row r="8" spans="1:14" x14ac:dyDescent="0.5">
      <c r="B8" s="8" t="s">
        <v>146</v>
      </c>
      <c r="C8" s="29" t="s">
        <v>350</v>
      </c>
      <c r="D8" s="29" t="s">
        <v>103</v>
      </c>
      <c r="E8" s="51" t="s">
        <v>147</v>
      </c>
      <c r="F8" s="64"/>
      <c r="G8" s="107">
        <f>'Volume Drivers'!G240</f>
        <v>6.3696462378769183E-3</v>
      </c>
      <c r="H8" s="107">
        <f>'Volume Drivers'!H240</f>
        <v>1.2770356954061359E-2</v>
      </c>
      <c r="I8" s="107">
        <f>'Volume Drivers'!I240</f>
        <v>3.9933157113119641E-3</v>
      </c>
      <c r="J8" s="107">
        <f>'Volume Drivers'!J240</f>
        <v>1.0088261866934258E-2</v>
      </c>
      <c r="K8" s="107">
        <f>'Volume Drivers'!K240</f>
        <v>1.0983127466670689E-2</v>
      </c>
      <c r="L8" s="107">
        <f>'Volume Drivers'!L240</f>
        <v>1.0588201065617545E-2</v>
      </c>
      <c r="M8" s="107">
        <f>'Volume Drivers'!M240</f>
        <v>8.9700867311968344E-3</v>
      </c>
      <c r="N8" s="120">
        <f t="shared" ref="N8:N57" si="0">SUM(G8:M8)</f>
        <v>6.3762996033669569E-2</v>
      </c>
    </row>
    <row r="9" spans="1:14" x14ac:dyDescent="0.5">
      <c r="B9" s="8" t="s">
        <v>148</v>
      </c>
      <c r="C9" s="29" t="s">
        <v>350</v>
      </c>
      <c r="D9" s="29" t="s">
        <v>103</v>
      </c>
      <c r="E9" s="51" t="s">
        <v>147</v>
      </c>
      <c r="F9" s="64"/>
      <c r="G9" s="107">
        <f>'Volume Drivers'!G241</f>
        <v>6.3696462378769183E-3</v>
      </c>
      <c r="H9" s="107">
        <f>'Volume Drivers'!H241</f>
        <v>1.2770356954061359E-2</v>
      </c>
      <c r="I9" s="107">
        <f>'Volume Drivers'!I241</f>
        <v>3.9933157113119641E-3</v>
      </c>
      <c r="J9" s="107">
        <f>'Volume Drivers'!J241</f>
        <v>1.0088261866934258E-2</v>
      </c>
      <c r="K9" s="107">
        <f>'Volume Drivers'!K241</f>
        <v>1.0983127466670689E-2</v>
      </c>
      <c r="L9" s="107">
        <f>'Volume Drivers'!L241</f>
        <v>1.0588201065617545E-2</v>
      </c>
      <c r="M9" s="107">
        <f>'Volume Drivers'!M241</f>
        <v>8.9700867311968344E-3</v>
      </c>
      <c r="N9" s="120">
        <f t="shared" si="0"/>
        <v>6.3762996033669569E-2</v>
      </c>
    </row>
    <row r="10" spans="1:14" x14ac:dyDescent="0.5">
      <c r="B10" s="8" t="s">
        <v>149</v>
      </c>
      <c r="C10" s="29" t="s">
        <v>350</v>
      </c>
      <c r="D10" s="29" t="s">
        <v>103</v>
      </c>
      <c r="E10" s="51" t="s">
        <v>147</v>
      </c>
      <c r="F10" s="64"/>
      <c r="G10" s="107">
        <f>'Volume Drivers'!G242</f>
        <v>6.3696462378769183E-3</v>
      </c>
      <c r="H10" s="107">
        <f>'Volume Drivers'!H242</f>
        <v>1.2770356954061359E-2</v>
      </c>
      <c r="I10" s="107">
        <f>'Volume Drivers'!I242</f>
        <v>3.9933157113119641E-3</v>
      </c>
      <c r="J10" s="107">
        <f>'Volume Drivers'!J242</f>
        <v>1.0088261866934258E-2</v>
      </c>
      <c r="K10" s="107">
        <f>'Volume Drivers'!K242</f>
        <v>1.0983127466670689E-2</v>
      </c>
      <c r="L10" s="107">
        <f>'Volume Drivers'!L242</f>
        <v>1.0588201065617545E-2</v>
      </c>
      <c r="M10" s="107">
        <f>'Volume Drivers'!M242</f>
        <v>8.9700867311968344E-3</v>
      </c>
      <c r="N10" s="120">
        <f t="shared" si="0"/>
        <v>6.3762996033669569E-2</v>
      </c>
    </row>
    <row r="11" spans="1:14" x14ac:dyDescent="0.5">
      <c r="B11" s="8" t="s">
        <v>150</v>
      </c>
      <c r="C11" s="29" t="s">
        <v>350</v>
      </c>
      <c r="D11" s="29" t="s">
        <v>103</v>
      </c>
      <c r="E11" s="51" t="s">
        <v>147</v>
      </c>
      <c r="F11" s="64"/>
      <c r="G11" s="107">
        <f>'Volume Drivers'!G243</f>
        <v>6.3696462378769183E-3</v>
      </c>
      <c r="H11" s="107">
        <f>'Volume Drivers'!H243</f>
        <v>1.2770356954061359E-2</v>
      </c>
      <c r="I11" s="107">
        <f>'Volume Drivers'!I243</f>
        <v>3.9933157113119641E-3</v>
      </c>
      <c r="J11" s="107">
        <f>'Volume Drivers'!J243</f>
        <v>1.0088261866934258E-2</v>
      </c>
      <c r="K11" s="107">
        <f>'Volume Drivers'!K243</f>
        <v>1.0983127466670689E-2</v>
      </c>
      <c r="L11" s="107">
        <f>'Volume Drivers'!L243</f>
        <v>1.0588201065617545E-2</v>
      </c>
      <c r="M11" s="107">
        <f>'Volume Drivers'!M243</f>
        <v>8.9700867311968344E-3</v>
      </c>
      <c r="N11" s="120">
        <f t="shared" si="0"/>
        <v>6.3762996033669569E-2</v>
      </c>
    </row>
    <row r="12" spans="1:14" x14ac:dyDescent="0.5">
      <c r="B12" s="8" t="s">
        <v>151</v>
      </c>
      <c r="C12" s="29" t="s">
        <v>350</v>
      </c>
      <c r="D12" s="29" t="s">
        <v>103</v>
      </c>
      <c r="E12" s="51" t="s">
        <v>147</v>
      </c>
      <c r="F12" s="64"/>
      <c r="G12" s="107">
        <f>'Volume Drivers'!G244</f>
        <v>6.3696462378769183E-3</v>
      </c>
      <c r="H12" s="107">
        <f>'Volume Drivers'!H244</f>
        <v>1.2770356954061359E-2</v>
      </c>
      <c r="I12" s="107">
        <f>'Volume Drivers'!I244</f>
        <v>3.9933157113119641E-3</v>
      </c>
      <c r="J12" s="107">
        <f>'Volume Drivers'!J244</f>
        <v>1.0088261866934258E-2</v>
      </c>
      <c r="K12" s="107">
        <f>'Volume Drivers'!K244</f>
        <v>1.0983127466670689E-2</v>
      </c>
      <c r="L12" s="107">
        <f>'Volume Drivers'!L244</f>
        <v>1.0588201065617545E-2</v>
      </c>
      <c r="M12" s="107">
        <f>'Volume Drivers'!M244</f>
        <v>8.9700867311968344E-3</v>
      </c>
      <c r="N12" s="120">
        <f t="shared" si="0"/>
        <v>6.3762996033669569E-2</v>
      </c>
    </row>
    <row r="13" spans="1:14" x14ac:dyDescent="0.5">
      <c r="B13" s="8" t="s">
        <v>152</v>
      </c>
      <c r="C13" s="29" t="s">
        <v>350</v>
      </c>
      <c r="D13" s="29" t="s">
        <v>103</v>
      </c>
      <c r="E13" s="51" t="s">
        <v>147</v>
      </c>
      <c r="F13" s="64"/>
      <c r="G13" s="107">
        <f>'Volume Drivers'!G245</f>
        <v>6.3696462378769183E-3</v>
      </c>
      <c r="H13" s="107">
        <f>'Volume Drivers'!H245</f>
        <v>1.2770356954061359E-2</v>
      </c>
      <c r="I13" s="107">
        <f>'Volume Drivers'!I245</f>
        <v>3.9933157113119641E-3</v>
      </c>
      <c r="J13" s="107">
        <f>'Volume Drivers'!J245</f>
        <v>1.0088261866934258E-2</v>
      </c>
      <c r="K13" s="107">
        <f>'Volume Drivers'!K245</f>
        <v>1.0983127466670689E-2</v>
      </c>
      <c r="L13" s="107">
        <f>'Volume Drivers'!L245</f>
        <v>1.0588201065617545E-2</v>
      </c>
      <c r="M13" s="107">
        <f>'Volume Drivers'!M245</f>
        <v>8.9700867311968344E-3</v>
      </c>
      <c r="N13" s="120">
        <f t="shared" si="0"/>
        <v>6.3762996033669569E-2</v>
      </c>
    </row>
    <row r="14" spans="1:14" x14ac:dyDescent="0.5">
      <c r="B14" s="8" t="s">
        <v>153</v>
      </c>
      <c r="C14" s="29" t="s">
        <v>350</v>
      </c>
      <c r="D14" s="29" t="s">
        <v>103</v>
      </c>
      <c r="E14" s="51" t="s">
        <v>147</v>
      </c>
      <c r="F14" s="64"/>
      <c r="G14" s="107">
        <f>'Volume Drivers'!G246</f>
        <v>6.3696462378769183E-3</v>
      </c>
      <c r="H14" s="107">
        <f>'Volume Drivers'!H246</f>
        <v>1.2770356954061359E-2</v>
      </c>
      <c r="I14" s="107">
        <f>'Volume Drivers'!I246</f>
        <v>3.9933157113119641E-3</v>
      </c>
      <c r="J14" s="107">
        <f>'Volume Drivers'!J246</f>
        <v>1.0088261866934258E-2</v>
      </c>
      <c r="K14" s="107">
        <f>'Volume Drivers'!K246</f>
        <v>1.0983127466670689E-2</v>
      </c>
      <c r="L14" s="107">
        <f>'Volume Drivers'!L246</f>
        <v>1.0588201065617545E-2</v>
      </c>
      <c r="M14" s="107">
        <f>'Volume Drivers'!M246</f>
        <v>8.9700867311968344E-3</v>
      </c>
      <c r="N14" s="120">
        <f t="shared" si="0"/>
        <v>6.3762996033669569E-2</v>
      </c>
    </row>
    <row r="15" spans="1:14" x14ac:dyDescent="0.5">
      <c r="B15" s="8" t="s">
        <v>154</v>
      </c>
      <c r="C15" s="29" t="s">
        <v>350</v>
      </c>
      <c r="D15" s="29" t="s">
        <v>103</v>
      </c>
      <c r="E15" s="51" t="s">
        <v>147</v>
      </c>
      <c r="F15" s="64"/>
      <c r="G15" s="107">
        <f>'Volume Drivers'!G247</f>
        <v>6.3696462378769183E-3</v>
      </c>
      <c r="H15" s="107">
        <f>'Volume Drivers'!H247</f>
        <v>1.2770356954061359E-2</v>
      </c>
      <c r="I15" s="107">
        <f>'Volume Drivers'!I247</f>
        <v>3.9933157113119641E-3</v>
      </c>
      <c r="J15" s="107">
        <f>'Volume Drivers'!J247</f>
        <v>1.0088261866934258E-2</v>
      </c>
      <c r="K15" s="107">
        <f>'Volume Drivers'!K247</f>
        <v>1.0983127466670689E-2</v>
      </c>
      <c r="L15" s="107">
        <f>'Volume Drivers'!L247</f>
        <v>1.0588201065617545E-2</v>
      </c>
      <c r="M15" s="107">
        <f>'Volume Drivers'!M247</f>
        <v>8.9700867311968344E-3</v>
      </c>
      <c r="N15" s="120">
        <f t="shared" si="0"/>
        <v>6.3762996033669569E-2</v>
      </c>
    </row>
    <row r="16" spans="1:14" x14ac:dyDescent="0.5">
      <c r="B16" s="8" t="s">
        <v>155</v>
      </c>
      <c r="C16" s="29" t="s">
        <v>350</v>
      </c>
      <c r="D16" s="29" t="s">
        <v>103</v>
      </c>
      <c r="E16" s="51" t="s">
        <v>147</v>
      </c>
      <c r="F16" s="64"/>
      <c r="G16" s="107">
        <f>'Volume Drivers'!G248</f>
        <v>6.3696462378769183E-3</v>
      </c>
      <c r="H16" s="107">
        <f>'Volume Drivers'!H248</f>
        <v>1.2770356954061359E-2</v>
      </c>
      <c r="I16" s="107">
        <f>'Volume Drivers'!I248</f>
        <v>3.9933157113119641E-3</v>
      </c>
      <c r="J16" s="107">
        <f>'Volume Drivers'!J248</f>
        <v>1.0088261866934258E-2</v>
      </c>
      <c r="K16" s="107">
        <f>'Volume Drivers'!K248</f>
        <v>1.0983127466670689E-2</v>
      </c>
      <c r="L16" s="107">
        <f>'Volume Drivers'!L248</f>
        <v>1.0588201065617545E-2</v>
      </c>
      <c r="M16" s="107">
        <f>'Volume Drivers'!M248</f>
        <v>8.9700867311968344E-3</v>
      </c>
      <c r="N16" s="120">
        <f t="shared" si="0"/>
        <v>6.3762996033669569E-2</v>
      </c>
    </row>
    <row r="17" spans="2:14" x14ac:dyDescent="0.5">
      <c r="B17" s="8" t="s">
        <v>156</v>
      </c>
      <c r="C17" s="29" t="s">
        <v>350</v>
      </c>
      <c r="D17" s="29" t="s">
        <v>103</v>
      </c>
      <c r="E17" s="51" t="s">
        <v>147</v>
      </c>
      <c r="F17" s="64"/>
      <c r="G17" s="107">
        <f>'Volume Drivers'!G249</f>
        <v>6.3696462378769183E-3</v>
      </c>
      <c r="H17" s="107">
        <f>'Volume Drivers'!H249</f>
        <v>1.2770356954061359E-2</v>
      </c>
      <c r="I17" s="107">
        <f>'Volume Drivers'!I249</f>
        <v>3.9933157113119641E-3</v>
      </c>
      <c r="J17" s="107">
        <f>'Volume Drivers'!J249</f>
        <v>1.0088261866934258E-2</v>
      </c>
      <c r="K17" s="107">
        <f>'Volume Drivers'!K249</f>
        <v>1.0983127466670689E-2</v>
      </c>
      <c r="L17" s="107">
        <f>'Volume Drivers'!L249</f>
        <v>1.0588201065617545E-2</v>
      </c>
      <c r="M17" s="107">
        <f>'Volume Drivers'!M249</f>
        <v>8.9700867311968344E-3</v>
      </c>
      <c r="N17" s="120">
        <f t="shared" si="0"/>
        <v>6.3762996033669569E-2</v>
      </c>
    </row>
    <row r="18" spans="2:14" x14ac:dyDescent="0.5">
      <c r="B18" s="8" t="s">
        <v>157</v>
      </c>
      <c r="C18" s="29" t="s">
        <v>350</v>
      </c>
      <c r="D18" s="29" t="s">
        <v>103</v>
      </c>
      <c r="E18" s="51" t="s">
        <v>147</v>
      </c>
      <c r="F18" s="64"/>
      <c r="G18" s="107">
        <f>'Volume Drivers'!G250</f>
        <v>6.3696462378769183E-3</v>
      </c>
      <c r="H18" s="107">
        <f>'Volume Drivers'!H250</f>
        <v>1.2770356954061359E-2</v>
      </c>
      <c r="I18" s="107">
        <f>'Volume Drivers'!I250</f>
        <v>3.9933157113119641E-3</v>
      </c>
      <c r="J18" s="107">
        <f>'Volume Drivers'!J250</f>
        <v>1.0088261866934258E-2</v>
      </c>
      <c r="K18" s="107">
        <f>'Volume Drivers'!K250</f>
        <v>1.0983127466670689E-2</v>
      </c>
      <c r="L18" s="107">
        <f>'Volume Drivers'!L250</f>
        <v>1.0588201065617545E-2</v>
      </c>
      <c r="M18" s="107">
        <f>'Volume Drivers'!M250</f>
        <v>8.9700867311968344E-3</v>
      </c>
      <c r="N18" s="120">
        <f t="shared" si="0"/>
        <v>6.3762996033669569E-2</v>
      </c>
    </row>
    <row r="19" spans="2:14" x14ac:dyDescent="0.5">
      <c r="B19" s="8" t="s">
        <v>158</v>
      </c>
      <c r="C19" s="29" t="s">
        <v>350</v>
      </c>
      <c r="D19" s="29" t="s">
        <v>103</v>
      </c>
      <c r="E19" s="51" t="s">
        <v>147</v>
      </c>
      <c r="F19" s="64"/>
      <c r="G19" s="107">
        <f>'Volume Drivers'!G251</f>
        <v>-9.4267318385910681E-2</v>
      </c>
      <c r="H19" s="107">
        <f>'Volume Drivers'!H251</f>
        <v>-8.8506678741344894E-2</v>
      </c>
      <c r="I19" s="107">
        <f>'Volume Drivers'!I251</f>
        <v>-9.6406015859819102E-2</v>
      </c>
      <c r="J19" s="107">
        <f>'Volume Drivers'!J251</f>
        <v>-9.0920564319759131E-2</v>
      </c>
      <c r="K19" s="107">
        <f>'Volume Drivers'!K251</f>
        <v>-9.0115185279996277E-2</v>
      </c>
      <c r="L19" s="107">
        <f>'Volume Drivers'!L251</f>
        <v>-9.0470619040944111E-2</v>
      </c>
      <c r="M19" s="107">
        <f>'Volume Drivers'!M251</f>
        <v>-9.1926921941922909E-2</v>
      </c>
      <c r="N19" s="120">
        <f t="shared" si="0"/>
        <v>-0.64261330356969715</v>
      </c>
    </row>
    <row r="20" spans="2:14" x14ac:dyDescent="0.5">
      <c r="B20" s="8" t="s">
        <v>159</v>
      </c>
      <c r="C20" s="29" t="s">
        <v>350</v>
      </c>
      <c r="D20" s="29" t="s">
        <v>103</v>
      </c>
      <c r="E20" s="51" t="s">
        <v>147</v>
      </c>
      <c r="F20" s="64"/>
      <c r="G20" s="107">
        <f>'Volume Drivers'!G252</f>
        <v>6.3696462378769183E-3</v>
      </c>
      <c r="H20" s="107">
        <f>'Volume Drivers'!H252</f>
        <v>1.2770356954061359E-2</v>
      </c>
      <c r="I20" s="107">
        <f>'Volume Drivers'!I252</f>
        <v>3.9933157113119641E-3</v>
      </c>
      <c r="J20" s="107">
        <f>'Volume Drivers'!J252</f>
        <v>1.0088261866934258E-2</v>
      </c>
      <c r="K20" s="107">
        <f>'Volume Drivers'!K252</f>
        <v>1.0983127466670689E-2</v>
      </c>
      <c r="L20" s="107">
        <f>'Volume Drivers'!L252</f>
        <v>1.0588201065617545E-2</v>
      </c>
      <c r="M20" s="107">
        <f>'Volume Drivers'!M252</f>
        <v>8.9700867311968344E-3</v>
      </c>
      <c r="N20" s="120">
        <f t="shared" si="0"/>
        <v>6.3762996033669569E-2</v>
      </c>
    </row>
    <row r="21" spans="2:14" x14ac:dyDescent="0.5">
      <c r="B21" s="53" t="s">
        <v>160</v>
      </c>
      <c r="C21" s="29" t="s">
        <v>350</v>
      </c>
      <c r="D21" s="29" t="s">
        <v>103</v>
      </c>
      <c r="E21" s="51" t="s">
        <v>147</v>
      </c>
      <c r="F21" s="64"/>
      <c r="G21" s="107">
        <f>'Volume Drivers'!G253</f>
        <v>6.3696462378769183E-3</v>
      </c>
      <c r="H21" s="107">
        <f>'Volume Drivers'!H253</f>
        <v>1.2770356954061359E-2</v>
      </c>
      <c r="I21" s="107">
        <f>'Volume Drivers'!I253</f>
        <v>3.9933157113119641E-3</v>
      </c>
      <c r="J21" s="107">
        <f>'Volume Drivers'!J253</f>
        <v>1.0088261866934258E-2</v>
      </c>
      <c r="K21" s="107">
        <f>'Volume Drivers'!K253</f>
        <v>1.0983127466670689E-2</v>
      </c>
      <c r="L21" s="107">
        <f>'Volume Drivers'!L253</f>
        <v>1.0588201065617545E-2</v>
      </c>
      <c r="M21" s="107">
        <f>'Volume Drivers'!M253</f>
        <v>8.9700867311968344E-3</v>
      </c>
      <c r="N21" s="120">
        <f t="shared" si="0"/>
        <v>6.3762996033669569E-2</v>
      </c>
    </row>
    <row r="22" spans="2:14" x14ac:dyDescent="0.5">
      <c r="B22" s="53" t="s">
        <v>161</v>
      </c>
      <c r="C22" s="29" t="s">
        <v>350</v>
      </c>
      <c r="D22" s="29" t="s">
        <v>103</v>
      </c>
      <c r="E22" s="51" t="s">
        <v>147</v>
      </c>
      <c r="F22" s="64"/>
      <c r="G22" s="107">
        <f>'Volume Drivers'!G254</f>
        <v>0</v>
      </c>
      <c r="H22" s="107">
        <f>'Volume Drivers'!H254</f>
        <v>0</v>
      </c>
      <c r="I22" s="107">
        <f>'Volume Drivers'!I254</f>
        <v>0</v>
      </c>
      <c r="J22" s="107">
        <f>'Volume Drivers'!J254</f>
        <v>0</v>
      </c>
      <c r="K22" s="107">
        <f>'Volume Drivers'!K254</f>
        <v>0</v>
      </c>
      <c r="L22" s="107">
        <f>'Volume Drivers'!L254</f>
        <v>0</v>
      </c>
      <c r="M22" s="107">
        <f>'Volume Drivers'!M254</f>
        <v>0</v>
      </c>
      <c r="N22" s="120">
        <f t="shared" si="0"/>
        <v>0</v>
      </c>
    </row>
    <row r="23" spans="2:14" x14ac:dyDescent="0.5">
      <c r="B23" s="53" t="s">
        <v>161</v>
      </c>
      <c r="C23" s="29" t="s">
        <v>350</v>
      </c>
      <c r="D23" s="29" t="s">
        <v>103</v>
      </c>
      <c r="E23" s="51" t="s">
        <v>147</v>
      </c>
      <c r="F23" s="64"/>
      <c r="G23" s="107">
        <f>'Volume Drivers'!G255</f>
        <v>0</v>
      </c>
      <c r="H23" s="107">
        <f>'Volume Drivers'!H255</f>
        <v>0</v>
      </c>
      <c r="I23" s="107">
        <f>'Volume Drivers'!I255</f>
        <v>0</v>
      </c>
      <c r="J23" s="107">
        <f>'Volume Drivers'!J255</f>
        <v>0</v>
      </c>
      <c r="K23" s="107">
        <f>'Volume Drivers'!K255</f>
        <v>0</v>
      </c>
      <c r="L23" s="107">
        <f>'Volume Drivers'!L255</f>
        <v>0</v>
      </c>
      <c r="M23" s="107">
        <f>'Volume Drivers'!M255</f>
        <v>0</v>
      </c>
      <c r="N23" s="120">
        <f t="shared" si="0"/>
        <v>0</v>
      </c>
    </row>
    <row r="24" spans="2:14" x14ac:dyDescent="0.5">
      <c r="B24" s="8" t="s">
        <v>163</v>
      </c>
      <c r="C24" s="29" t="s">
        <v>350</v>
      </c>
      <c r="D24" s="29" t="s">
        <v>103</v>
      </c>
      <c r="E24" s="51" t="s">
        <v>162</v>
      </c>
      <c r="F24" s="64"/>
      <c r="G24" s="107">
        <f>'Volume Drivers'!G256</f>
        <v>2.4949156243679597E-2</v>
      </c>
      <c r="H24" s="107">
        <f>'Volume Drivers'!H256</f>
        <v>-3.3260763823004412E-3</v>
      </c>
      <c r="I24" s="107">
        <f>'Volume Drivers'!I256</f>
        <v>-2.7604773272964667E-4</v>
      </c>
      <c r="J24" s="107">
        <f>'Volume Drivers'!J256</f>
        <v>1.1772419469436499E-2</v>
      </c>
      <c r="K24" s="107">
        <f>'Volume Drivers'!K256</f>
        <v>1.2580169865920468E-2</v>
      </c>
      <c r="L24" s="107">
        <f>'Volume Drivers'!L256</f>
        <v>1.1835131479740992E-2</v>
      </c>
      <c r="M24" s="107">
        <f>'Volume Drivers'!M256</f>
        <v>1.057870738094842E-2</v>
      </c>
      <c r="N24" s="120">
        <f t="shared" si="0"/>
        <v>6.8113460324695882E-2</v>
      </c>
    </row>
    <row r="25" spans="2:14" x14ac:dyDescent="0.5">
      <c r="B25" s="8" t="s">
        <v>164</v>
      </c>
      <c r="C25" s="29" t="s">
        <v>350</v>
      </c>
      <c r="D25" s="29" t="s">
        <v>103</v>
      </c>
      <c r="E25" s="51" t="s">
        <v>162</v>
      </c>
      <c r="F25" s="64"/>
      <c r="G25" s="107">
        <f>'Volume Drivers'!G257</f>
        <v>2.4949156243679597E-2</v>
      </c>
      <c r="H25" s="107">
        <f>'Volume Drivers'!H257</f>
        <v>-3.3260763823004412E-3</v>
      </c>
      <c r="I25" s="107">
        <f>'Volume Drivers'!I257</f>
        <v>-2.7604773272964667E-4</v>
      </c>
      <c r="J25" s="107">
        <f>'Volume Drivers'!J257</f>
        <v>1.1772419469436499E-2</v>
      </c>
      <c r="K25" s="107">
        <f>'Volume Drivers'!K257</f>
        <v>1.2580169865920468E-2</v>
      </c>
      <c r="L25" s="107">
        <f>'Volume Drivers'!L257</f>
        <v>1.1835131479740992E-2</v>
      </c>
      <c r="M25" s="107">
        <f>'Volume Drivers'!M257</f>
        <v>1.057870738094842E-2</v>
      </c>
      <c r="N25" s="120">
        <f t="shared" si="0"/>
        <v>6.8113460324695882E-2</v>
      </c>
    </row>
    <row r="26" spans="2:14" x14ac:dyDescent="0.5">
      <c r="B26" s="53" t="s">
        <v>165</v>
      </c>
      <c r="C26" s="29" t="s">
        <v>350</v>
      </c>
      <c r="D26" s="29" t="s">
        <v>103</v>
      </c>
      <c r="E26" s="51" t="s">
        <v>162</v>
      </c>
      <c r="F26" s="64"/>
      <c r="G26" s="107">
        <f>'Volume Drivers'!G258</f>
        <v>2.4949156243679597E-2</v>
      </c>
      <c r="H26" s="107">
        <f>'Volume Drivers'!H258</f>
        <v>-3.3260763823004412E-3</v>
      </c>
      <c r="I26" s="107">
        <f>'Volume Drivers'!I258</f>
        <v>-2.7604773272964667E-4</v>
      </c>
      <c r="J26" s="107">
        <f>'Volume Drivers'!J258</f>
        <v>1.1772419469436499E-2</v>
      </c>
      <c r="K26" s="107">
        <f>'Volume Drivers'!K258</f>
        <v>1.2580169865920468E-2</v>
      </c>
      <c r="L26" s="107">
        <f>'Volume Drivers'!L258</f>
        <v>1.1835131479740992E-2</v>
      </c>
      <c r="M26" s="107">
        <f>'Volume Drivers'!M258</f>
        <v>1.057870738094842E-2</v>
      </c>
      <c r="N26" s="120">
        <f t="shared" si="0"/>
        <v>6.8113460324695882E-2</v>
      </c>
    </row>
    <row r="27" spans="2:14" x14ac:dyDescent="0.5">
      <c r="B27" s="53" t="s">
        <v>161</v>
      </c>
      <c r="C27" s="29" t="s">
        <v>350</v>
      </c>
      <c r="D27" s="29" t="s">
        <v>103</v>
      </c>
      <c r="E27" s="51" t="s">
        <v>162</v>
      </c>
      <c r="F27" s="64"/>
      <c r="G27" s="107">
        <f>'Volume Drivers'!G259</f>
        <v>0</v>
      </c>
      <c r="H27" s="107">
        <f>'Volume Drivers'!H259</f>
        <v>0</v>
      </c>
      <c r="I27" s="107">
        <f>'Volume Drivers'!I259</f>
        <v>0</v>
      </c>
      <c r="J27" s="107">
        <f>'Volume Drivers'!J259</f>
        <v>0</v>
      </c>
      <c r="K27" s="107">
        <f>'Volume Drivers'!K259</f>
        <v>0</v>
      </c>
      <c r="L27" s="107">
        <f>'Volume Drivers'!L259</f>
        <v>0</v>
      </c>
      <c r="M27" s="107">
        <f>'Volume Drivers'!M259</f>
        <v>0</v>
      </c>
      <c r="N27" s="120">
        <f t="shared" si="0"/>
        <v>0</v>
      </c>
    </row>
    <row r="28" spans="2:14" x14ac:dyDescent="0.5">
      <c r="B28" s="8" t="s">
        <v>166</v>
      </c>
      <c r="C28" s="29" t="s">
        <v>350</v>
      </c>
      <c r="D28" s="29" t="s">
        <v>103</v>
      </c>
      <c r="E28" s="51" t="s">
        <v>166</v>
      </c>
      <c r="F28" s="114"/>
      <c r="G28" s="114"/>
      <c r="H28" s="114"/>
      <c r="I28" s="114"/>
      <c r="J28" s="114"/>
      <c r="K28" s="114"/>
      <c r="L28" s="114"/>
      <c r="M28" s="114"/>
      <c r="N28" s="120">
        <f t="shared" si="0"/>
        <v>0</v>
      </c>
    </row>
    <row r="29" spans="2:14" x14ac:dyDescent="0.5">
      <c r="B29" s="8" t="s">
        <v>167</v>
      </c>
      <c r="C29" s="29" t="s">
        <v>350</v>
      </c>
      <c r="D29" s="29" t="s">
        <v>103</v>
      </c>
      <c r="E29" s="51" t="s">
        <v>168</v>
      </c>
      <c r="F29" s="64"/>
      <c r="G29" s="107">
        <f>'Volume Drivers'!G261</f>
        <v>3.8217877427261506E-3</v>
      </c>
      <c r="H29" s="107">
        <f>'Volume Drivers'!H261</f>
        <v>7.6622141724368154E-3</v>
      </c>
      <c r="I29" s="107">
        <f>'Volume Drivers'!I261</f>
        <v>2.3959894267871784E-3</v>
      </c>
      <c r="J29" s="107">
        <f>'Volume Drivers'!J261</f>
        <v>6.0529571201605546E-3</v>
      </c>
      <c r="K29" s="107">
        <f>'Volume Drivers'!K261</f>
        <v>6.5898764800024134E-3</v>
      </c>
      <c r="L29" s="107">
        <f>'Volume Drivers'!L261</f>
        <v>6.3529206393705268E-3</v>
      </c>
      <c r="M29" s="107">
        <f>'Volume Drivers'!M261</f>
        <v>5.3820520387181008E-3</v>
      </c>
      <c r="N29" s="120">
        <f t="shared" si="0"/>
        <v>3.825779762020174E-2</v>
      </c>
    </row>
    <row r="30" spans="2:14" x14ac:dyDescent="0.5">
      <c r="B30" s="8" t="s">
        <v>169</v>
      </c>
      <c r="C30" s="29" t="s">
        <v>350</v>
      </c>
      <c r="D30" s="29" t="s">
        <v>103</v>
      </c>
      <c r="E30" s="51" t="s">
        <v>168</v>
      </c>
      <c r="F30" s="64"/>
      <c r="G30" s="107">
        <f>'Volume Drivers'!G262</f>
        <v>3.8217877427261506E-3</v>
      </c>
      <c r="H30" s="107">
        <f>'Volume Drivers'!H262</f>
        <v>7.6622141724368154E-3</v>
      </c>
      <c r="I30" s="107">
        <f>'Volume Drivers'!I262</f>
        <v>2.3959894267871784E-3</v>
      </c>
      <c r="J30" s="107">
        <f>'Volume Drivers'!J262</f>
        <v>6.0529571201605546E-3</v>
      </c>
      <c r="K30" s="107">
        <f>'Volume Drivers'!K262</f>
        <v>6.5898764800024134E-3</v>
      </c>
      <c r="L30" s="107">
        <f>'Volume Drivers'!L262</f>
        <v>6.3529206393705268E-3</v>
      </c>
      <c r="M30" s="107">
        <f>'Volume Drivers'!M262</f>
        <v>5.3820520387181008E-3</v>
      </c>
      <c r="N30" s="120">
        <f t="shared" si="0"/>
        <v>3.825779762020174E-2</v>
      </c>
    </row>
    <row r="31" spans="2:14" x14ac:dyDescent="0.5">
      <c r="B31" s="8" t="s">
        <v>170</v>
      </c>
      <c r="C31" s="29" t="s">
        <v>350</v>
      </c>
      <c r="D31" s="29" t="s">
        <v>103</v>
      </c>
      <c r="E31" s="51" t="s">
        <v>168</v>
      </c>
      <c r="F31" s="64"/>
      <c r="G31" s="107">
        <f>'Volume Drivers'!G263</f>
        <v>3.8217877427261506E-3</v>
      </c>
      <c r="H31" s="107">
        <f>'Volume Drivers'!H263</f>
        <v>7.6622141724368154E-3</v>
      </c>
      <c r="I31" s="107">
        <f>'Volume Drivers'!I263</f>
        <v>2.3959894267871784E-3</v>
      </c>
      <c r="J31" s="107">
        <f>'Volume Drivers'!J263</f>
        <v>6.0529571201605546E-3</v>
      </c>
      <c r="K31" s="107">
        <f>'Volume Drivers'!K263</f>
        <v>6.5898764800024134E-3</v>
      </c>
      <c r="L31" s="107">
        <f>'Volume Drivers'!L263</f>
        <v>6.3529206393705268E-3</v>
      </c>
      <c r="M31" s="107">
        <f>'Volume Drivers'!M263</f>
        <v>5.3820520387181008E-3</v>
      </c>
      <c r="N31" s="120">
        <f t="shared" si="0"/>
        <v>3.825779762020174E-2</v>
      </c>
    </row>
    <row r="32" spans="2:14" x14ac:dyDescent="0.5">
      <c r="B32" s="8" t="s">
        <v>171</v>
      </c>
      <c r="C32" s="29" t="s">
        <v>350</v>
      </c>
      <c r="D32" s="29" t="s">
        <v>103</v>
      </c>
      <c r="E32" s="51" t="s">
        <v>172</v>
      </c>
      <c r="F32" s="64"/>
      <c r="G32" s="107">
        <f>'Volume Drivers'!G264</f>
        <v>0</v>
      </c>
      <c r="H32" s="107">
        <f>'Volume Drivers'!H264</f>
        <v>0</v>
      </c>
      <c r="I32" s="107">
        <f>'Volume Drivers'!I264</f>
        <v>0</v>
      </c>
      <c r="J32" s="107">
        <f>'Volume Drivers'!J264</f>
        <v>0</v>
      </c>
      <c r="K32" s="107">
        <f>'Volume Drivers'!K264</f>
        <v>0</v>
      </c>
      <c r="L32" s="107">
        <f>'Volume Drivers'!L264</f>
        <v>0</v>
      </c>
      <c r="M32" s="107">
        <f>'Volume Drivers'!M264</f>
        <v>0</v>
      </c>
      <c r="N32" s="120">
        <f t="shared" si="0"/>
        <v>0</v>
      </c>
    </row>
    <row r="33" spans="2:14" x14ac:dyDescent="0.5">
      <c r="B33" s="8" t="s">
        <v>173</v>
      </c>
      <c r="C33" s="29" t="s">
        <v>350</v>
      </c>
      <c r="D33" s="29" t="s">
        <v>103</v>
      </c>
      <c r="E33" s="51" t="s">
        <v>172</v>
      </c>
      <c r="F33" s="64"/>
      <c r="G33" s="107">
        <f>'Volume Drivers'!G265</f>
        <v>-5.90695148762891E-3</v>
      </c>
      <c r="H33" s="107">
        <f>'Volume Drivers'!H265</f>
        <v>-3.8659741660440651E-3</v>
      </c>
      <c r="I33" s="107">
        <f>'Volume Drivers'!I265</f>
        <v>-1.6012611882896276E-2</v>
      </c>
      <c r="J33" s="107">
        <f>'Volume Drivers'!J265</f>
        <v>1.1772419469436546E-2</v>
      </c>
      <c r="K33" s="107">
        <f>'Volume Drivers'!K265</f>
        <v>1.2767572613366394E-2</v>
      </c>
      <c r="L33" s="107">
        <f>'Volume Drivers'!L265</f>
        <v>1.183513147974103E-2</v>
      </c>
      <c r="M33" s="107">
        <f>'Volume Drivers'!M265</f>
        <v>1.0578707380948177E-2</v>
      </c>
      <c r="N33" s="120">
        <f t="shared" si="0"/>
        <v>2.1168293406922896E-2</v>
      </c>
    </row>
    <row r="34" spans="2:14" x14ac:dyDescent="0.5">
      <c r="B34" s="8" t="s">
        <v>174</v>
      </c>
      <c r="C34" s="29" t="s">
        <v>350</v>
      </c>
      <c r="D34" s="29" t="s">
        <v>103</v>
      </c>
      <c r="E34" s="51" t="s">
        <v>172</v>
      </c>
      <c r="F34" s="64"/>
      <c r="G34" s="107">
        <f>'Volume Drivers'!G266</f>
        <v>0</v>
      </c>
      <c r="H34" s="107">
        <f>'Volume Drivers'!H266</f>
        <v>0</v>
      </c>
      <c r="I34" s="107">
        <f>'Volume Drivers'!I266</f>
        <v>0</v>
      </c>
      <c r="J34" s="107">
        <f>'Volume Drivers'!J266</f>
        <v>0</v>
      </c>
      <c r="K34" s="107">
        <f>'Volume Drivers'!K266</f>
        <v>0</v>
      </c>
      <c r="L34" s="107">
        <f>'Volume Drivers'!L266</f>
        <v>0</v>
      </c>
      <c r="M34" s="107">
        <f>'Volume Drivers'!M266</f>
        <v>0</v>
      </c>
      <c r="N34" s="120">
        <f t="shared" si="0"/>
        <v>0</v>
      </c>
    </row>
    <row r="35" spans="2:14" x14ac:dyDescent="0.5">
      <c r="B35" s="53" t="s">
        <v>161</v>
      </c>
      <c r="C35" s="29" t="s">
        <v>350</v>
      </c>
      <c r="D35" s="29" t="s">
        <v>103</v>
      </c>
      <c r="E35" s="51" t="s">
        <v>172</v>
      </c>
      <c r="F35" s="64"/>
      <c r="G35" s="107">
        <f>'Volume Drivers'!G267</f>
        <v>0</v>
      </c>
      <c r="H35" s="107">
        <f>'Volume Drivers'!H267</f>
        <v>0</v>
      </c>
      <c r="I35" s="107">
        <f>'Volume Drivers'!I267</f>
        <v>0</v>
      </c>
      <c r="J35" s="107">
        <f>'Volume Drivers'!J267</f>
        <v>0</v>
      </c>
      <c r="K35" s="107">
        <f>'Volume Drivers'!K267</f>
        <v>0</v>
      </c>
      <c r="L35" s="107">
        <f>'Volume Drivers'!L267</f>
        <v>0</v>
      </c>
      <c r="M35" s="107">
        <f>'Volume Drivers'!M267</f>
        <v>0</v>
      </c>
      <c r="N35" s="120">
        <f t="shared" si="0"/>
        <v>0</v>
      </c>
    </row>
    <row r="36" spans="2:14" x14ac:dyDescent="0.5">
      <c r="B36" s="53" t="s">
        <v>161</v>
      </c>
      <c r="C36" s="29" t="s">
        <v>350</v>
      </c>
      <c r="D36" s="29" t="s">
        <v>103</v>
      </c>
      <c r="E36" s="51" t="s">
        <v>172</v>
      </c>
      <c r="F36" s="64"/>
      <c r="G36" s="107">
        <f>'Volume Drivers'!G268</f>
        <v>0</v>
      </c>
      <c r="H36" s="107">
        <f>'Volume Drivers'!H268</f>
        <v>0</v>
      </c>
      <c r="I36" s="107">
        <f>'Volume Drivers'!I268</f>
        <v>0</v>
      </c>
      <c r="J36" s="107">
        <f>'Volume Drivers'!J268</f>
        <v>0</v>
      </c>
      <c r="K36" s="107">
        <f>'Volume Drivers'!K268</f>
        <v>0</v>
      </c>
      <c r="L36" s="107">
        <f>'Volume Drivers'!L268</f>
        <v>0</v>
      </c>
      <c r="M36" s="107">
        <f>'Volume Drivers'!M268</f>
        <v>0</v>
      </c>
      <c r="N36" s="120">
        <f t="shared" si="0"/>
        <v>0</v>
      </c>
    </row>
    <row r="37" spans="2:14" x14ac:dyDescent="0.5">
      <c r="B37" s="53" t="s">
        <v>161</v>
      </c>
      <c r="C37" s="29" t="s">
        <v>350</v>
      </c>
      <c r="D37" s="29" t="s">
        <v>103</v>
      </c>
      <c r="E37" s="51" t="s">
        <v>172</v>
      </c>
      <c r="F37" s="64"/>
      <c r="G37" s="107">
        <f>'Volume Drivers'!G269</f>
        <v>0</v>
      </c>
      <c r="H37" s="107">
        <f>'Volume Drivers'!H269</f>
        <v>0</v>
      </c>
      <c r="I37" s="107">
        <f>'Volume Drivers'!I269</f>
        <v>0</v>
      </c>
      <c r="J37" s="107">
        <f>'Volume Drivers'!J269</f>
        <v>0</v>
      </c>
      <c r="K37" s="107">
        <f>'Volume Drivers'!K269</f>
        <v>0</v>
      </c>
      <c r="L37" s="107">
        <f>'Volume Drivers'!L269</f>
        <v>0</v>
      </c>
      <c r="M37" s="107">
        <f>'Volume Drivers'!M269</f>
        <v>0</v>
      </c>
      <c r="N37" s="120">
        <f t="shared" si="0"/>
        <v>0</v>
      </c>
    </row>
    <row r="38" spans="2:14" x14ac:dyDescent="0.5">
      <c r="B38" s="8" t="s">
        <v>175</v>
      </c>
      <c r="C38" s="29" t="s">
        <v>350</v>
      </c>
      <c r="D38" s="29" t="s">
        <v>103</v>
      </c>
      <c r="E38" s="51" t="s">
        <v>176</v>
      </c>
      <c r="F38" s="64"/>
      <c r="G38" s="107">
        <f>'Volume Drivers'!G270</f>
        <v>3.184823118938388E-3</v>
      </c>
      <c r="H38" s="107">
        <f>'Volume Drivers'!H270</f>
        <v>6.3851784770306876E-3</v>
      </c>
      <c r="I38" s="107">
        <f>'Volume Drivers'!I270</f>
        <v>1.9966578556559816E-3</v>
      </c>
      <c r="J38" s="107">
        <f>'Volume Drivers'!J270</f>
        <v>5.0441309334671421E-3</v>
      </c>
      <c r="K38" s="107">
        <f>'Volume Drivers'!K270</f>
        <v>5.4915637333353929E-3</v>
      </c>
      <c r="L38" s="107">
        <f>'Volume Drivers'!L270</f>
        <v>5.2941005328087272E-3</v>
      </c>
      <c r="M38" s="107">
        <f>'Volume Drivers'!M270</f>
        <v>4.4850433655984128E-3</v>
      </c>
      <c r="N38" s="120">
        <f t="shared" si="0"/>
        <v>3.1881498016834729E-2</v>
      </c>
    </row>
    <row r="39" spans="2:14" x14ac:dyDescent="0.5">
      <c r="B39" s="8" t="s">
        <v>177</v>
      </c>
      <c r="C39" s="29" t="s">
        <v>350</v>
      </c>
      <c r="D39" s="29" t="s">
        <v>103</v>
      </c>
      <c r="E39" s="51" t="s">
        <v>176</v>
      </c>
      <c r="F39" s="64"/>
      <c r="G39" s="107">
        <f>'Volume Drivers'!G271</f>
        <v>3.184823118938388E-3</v>
      </c>
      <c r="H39" s="107">
        <f>'Volume Drivers'!H271</f>
        <v>6.3851784770306876E-3</v>
      </c>
      <c r="I39" s="107">
        <f>'Volume Drivers'!I271</f>
        <v>1.9966578556559816E-3</v>
      </c>
      <c r="J39" s="107">
        <f>'Volume Drivers'!J271</f>
        <v>5.0441309334671421E-3</v>
      </c>
      <c r="K39" s="107">
        <f>'Volume Drivers'!K271</f>
        <v>5.4915637333353929E-3</v>
      </c>
      <c r="L39" s="107">
        <f>'Volume Drivers'!L271</f>
        <v>5.2941005328087272E-3</v>
      </c>
      <c r="M39" s="107">
        <f>'Volume Drivers'!M271</f>
        <v>4.4850433655984128E-3</v>
      </c>
      <c r="N39" s="120">
        <f t="shared" si="0"/>
        <v>3.1881498016834729E-2</v>
      </c>
    </row>
    <row r="40" spans="2:14" x14ac:dyDescent="0.5">
      <c r="B40" s="8" t="s">
        <v>178</v>
      </c>
      <c r="C40" s="29" t="s">
        <v>350</v>
      </c>
      <c r="D40" s="29" t="s">
        <v>103</v>
      </c>
      <c r="E40" s="51" t="s">
        <v>176</v>
      </c>
      <c r="F40" s="64"/>
      <c r="G40" s="107">
        <f>'Volume Drivers'!G272</f>
        <v>3.184823118938388E-3</v>
      </c>
      <c r="H40" s="107">
        <f>'Volume Drivers'!H272</f>
        <v>6.3851784770306876E-3</v>
      </c>
      <c r="I40" s="107">
        <f>'Volume Drivers'!I272</f>
        <v>1.9966578556559816E-3</v>
      </c>
      <c r="J40" s="107">
        <f>'Volume Drivers'!J272</f>
        <v>5.0441309334671421E-3</v>
      </c>
      <c r="K40" s="107">
        <f>'Volume Drivers'!K272</f>
        <v>5.4915637333353929E-3</v>
      </c>
      <c r="L40" s="107">
        <f>'Volume Drivers'!L272</f>
        <v>5.2941005328087272E-3</v>
      </c>
      <c r="M40" s="107">
        <f>'Volume Drivers'!M272</f>
        <v>4.4850433655984128E-3</v>
      </c>
      <c r="N40" s="120">
        <f t="shared" si="0"/>
        <v>3.1881498016834729E-2</v>
      </c>
    </row>
    <row r="41" spans="2:14" x14ac:dyDescent="0.5">
      <c r="B41" s="8" t="s">
        <v>179</v>
      </c>
      <c r="C41" s="29" t="s">
        <v>350</v>
      </c>
      <c r="D41" s="29" t="s">
        <v>103</v>
      </c>
      <c r="E41" s="51" t="s">
        <v>176</v>
      </c>
      <c r="F41" s="64"/>
      <c r="G41" s="107">
        <f>'Volume Drivers'!G273</f>
        <v>3.184823118938388E-3</v>
      </c>
      <c r="H41" s="107">
        <f>'Volume Drivers'!H273</f>
        <v>6.3851784770306876E-3</v>
      </c>
      <c r="I41" s="107">
        <f>'Volume Drivers'!I273</f>
        <v>1.9966578556559816E-3</v>
      </c>
      <c r="J41" s="107">
        <f>'Volume Drivers'!J273</f>
        <v>5.0441309334671421E-3</v>
      </c>
      <c r="K41" s="107">
        <f>'Volume Drivers'!K273</f>
        <v>5.4915637333353929E-3</v>
      </c>
      <c r="L41" s="107">
        <f>'Volume Drivers'!L273</f>
        <v>5.2941005328087272E-3</v>
      </c>
      <c r="M41" s="107">
        <f>'Volume Drivers'!M273</f>
        <v>4.4850433655984128E-3</v>
      </c>
      <c r="N41" s="120">
        <f t="shared" si="0"/>
        <v>3.1881498016834729E-2</v>
      </c>
    </row>
    <row r="42" spans="2:14" x14ac:dyDescent="0.5">
      <c r="B42" s="53" t="s">
        <v>180</v>
      </c>
      <c r="C42" s="29" t="s">
        <v>350</v>
      </c>
      <c r="D42" s="29" t="s">
        <v>103</v>
      </c>
      <c r="E42" s="51" t="s">
        <v>176</v>
      </c>
      <c r="F42" s="64"/>
      <c r="G42" s="107">
        <f>'Volume Drivers'!G274</f>
        <v>3.184823118938388E-3</v>
      </c>
      <c r="H42" s="107">
        <f>'Volume Drivers'!H274</f>
        <v>6.3851784770306876E-3</v>
      </c>
      <c r="I42" s="107">
        <f>'Volume Drivers'!I274</f>
        <v>1.9966578556559816E-3</v>
      </c>
      <c r="J42" s="107">
        <f>'Volume Drivers'!J274</f>
        <v>5.0441309334671421E-3</v>
      </c>
      <c r="K42" s="107">
        <f>'Volume Drivers'!K274</f>
        <v>5.4915637333353929E-3</v>
      </c>
      <c r="L42" s="107">
        <f>'Volume Drivers'!L274</f>
        <v>5.2941005328087272E-3</v>
      </c>
      <c r="M42" s="107">
        <f>'Volume Drivers'!M274</f>
        <v>4.4850433655984128E-3</v>
      </c>
      <c r="N42" s="120">
        <f t="shared" si="0"/>
        <v>3.1881498016834729E-2</v>
      </c>
    </row>
    <row r="43" spans="2:14" x14ac:dyDescent="0.5">
      <c r="B43" s="53" t="s">
        <v>181</v>
      </c>
      <c r="C43" s="29" t="s">
        <v>350</v>
      </c>
      <c r="D43" s="29" t="s">
        <v>103</v>
      </c>
      <c r="E43" s="51" t="s">
        <v>176</v>
      </c>
      <c r="F43" s="64"/>
      <c r="G43" s="107">
        <f>'Volume Drivers'!G275</f>
        <v>3.184823118938388E-3</v>
      </c>
      <c r="H43" s="107">
        <f>'Volume Drivers'!H275</f>
        <v>6.3851784770306876E-3</v>
      </c>
      <c r="I43" s="107">
        <f>'Volume Drivers'!I275</f>
        <v>1.9966578556559816E-3</v>
      </c>
      <c r="J43" s="107">
        <f>'Volume Drivers'!J275</f>
        <v>5.0441309334671421E-3</v>
      </c>
      <c r="K43" s="107">
        <f>'Volume Drivers'!K275</f>
        <v>5.4915637333353929E-3</v>
      </c>
      <c r="L43" s="107">
        <f>'Volume Drivers'!L275</f>
        <v>5.2941005328087272E-3</v>
      </c>
      <c r="M43" s="107">
        <f>'Volume Drivers'!M275</f>
        <v>4.4850433655984128E-3</v>
      </c>
      <c r="N43" s="120">
        <f t="shared" si="0"/>
        <v>3.1881498016834729E-2</v>
      </c>
    </row>
    <row r="44" spans="2:14" x14ac:dyDescent="0.5">
      <c r="B44" s="53" t="s">
        <v>161</v>
      </c>
      <c r="C44" s="29" t="s">
        <v>350</v>
      </c>
      <c r="D44" s="29" t="s">
        <v>103</v>
      </c>
      <c r="E44" s="51" t="s">
        <v>176</v>
      </c>
      <c r="F44" s="64"/>
      <c r="G44" s="107">
        <f>'Volume Drivers'!G276</f>
        <v>0</v>
      </c>
      <c r="H44" s="107">
        <f>'Volume Drivers'!H276</f>
        <v>0</v>
      </c>
      <c r="I44" s="107">
        <f>'Volume Drivers'!I276</f>
        <v>0</v>
      </c>
      <c r="J44" s="107">
        <f>'Volume Drivers'!J276</f>
        <v>0</v>
      </c>
      <c r="K44" s="107">
        <f>'Volume Drivers'!K276</f>
        <v>0</v>
      </c>
      <c r="L44" s="107">
        <f>'Volume Drivers'!L276</f>
        <v>0</v>
      </c>
      <c r="M44" s="107">
        <f>'Volume Drivers'!M276</f>
        <v>0</v>
      </c>
      <c r="N44" s="120">
        <f t="shared" si="0"/>
        <v>0</v>
      </c>
    </row>
    <row r="45" spans="2:14" x14ac:dyDescent="0.5">
      <c r="B45" s="53" t="s">
        <v>161</v>
      </c>
      <c r="C45" s="29" t="s">
        <v>350</v>
      </c>
      <c r="D45" s="29" t="s">
        <v>103</v>
      </c>
      <c r="E45" s="51" t="s">
        <v>176</v>
      </c>
      <c r="F45" s="64"/>
      <c r="G45" s="107">
        <f>'Volume Drivers'!G277</f>
        <v>0</v>
      </c>
      <c r="H45" s="107">
        <f>'Volume Drivers'!H277</f>
        <v>0</v>
      </c>
      <c r="I45" s="107">
        <f>'Volume Drivers'!I277</f>
        <v>0</v>
      </c>
      <c r="J45" s="107">
        <f>'Volume Drivers'!J277</f>
        <v>0</v>
      </c>
      <c r="K45" s="107">
        <f>'Volume Drivers'!K277</f>
        <v>0</v>
      </c>
      <c r="L45" s="107">
        <f>'Volume Drivers'!L277</f>
        <v>0</v>
      </c>
      <c r="M45" s="107">
        <f>'Volume Drivers'!M277</f>
        <v>0</v>
      </c>
      <c r="N45" s="120">
        <f t="shared" si="0"/>
        <v>0</v>
      </c>
    </row>
    <row r="46" spans="2:14" x14ac:dyDescent="0.5">
      <c r="B46" s="53" t="s">
        <v>161</v>
      </c>
      <c r="C46" s="29" t="s">
        <v>350</v>
      </c>
      <c r="D46" s="29" t="s">
        <v>103</v>
      </c>
      <c r="E46" s="51" t="s">
        <v>176</v>
      </c>
      <c r="F46" s="64"/>
      <c r="G46" s="107">
        <f>'Volume Drivers'!G278</f>
        <v>0</v>
      </c>
      <c r="H46" s="107">
        <f>'Volume Drivers'!H278</f>
        <v>0</v>
      </c>
      <c r="I46" s="107">
        <f>'Volume Drivers'!I278</f>
        <v>0</v>
      </c>
      <c r="J46" s="107">
        <f>'Volume Drivers'!J278</f>
        <v>0</v>
      </c>
      <c r="K46" s="107">
        <f>'Volume Drivers'!K278</f>
        <v>0</v>
      </c>
      <c r="L46" s="107">
        <f>'Volume Drivers'!L278</f>
        <v>0</v>
      </c>
      <c r="M46" s="107">
        <f>'Volume Drivers'!M278</f>
        <v>0</v>
      </c>
      <c r="N46" s="120">
        <f t="shared" si="0"/>
        <v>0</v>
      </c>
    </row>
    <row r="47" spans="2:14" x14ac:dyDescent="0.5">
      <c r="B47" s="8" t="s">
        <v>182</v>
      </c>
      <c r="C47" s="29" t="s">
        <v>350</v>
      </c>
      <c r="D47" s="29" t="s">
        <v>103</v>
      </c>
      <c r="E47" s="51" t="s">
        <v>182</v>
      </c>
      <c r="F47" s="64"/>
      <c r="G47" s="107">
        <f>'Volume Drivers'!G279</f>
        <v>0</v>
      </c>
      <c r="H47" s="107">
        <f>'Volume Drivers'!H279</f>
        <v>0</v>
      </c>
      <c r="I47" s="107">
        <f>'Volume Drivers'!I279</f>
        <v>0</v>
      </c>
      <c r="J47" s="107">
        <f>'Volume Drivers'!J279</f>
        <v>0</v>
      </c>
      <c r="K47" s="107">
        <f>'Volume Drivers'!K279</f>
        <v>0</v>
      </c>
      <c r="L47" s="107">
        <f>'Volume Drivers'!L279</f>
        <v>0</v>
      </c>
      <c r="M47" s="107">
        <f>'Volume Drivers'!M279</f>
        <v>0</v>
      </c>
      <c r="N47" s="120">
        <f t="shared" si="0"/>
        <v>0</v>
      </c>
    </row>
    <row r="48" spans="2:14" x14ac:dyDescent="0.5">
      <c r="B48" s="8" t="s">
        <v>183</v>
      </c>
      <c r="C48" s="29" t="s">
        <v>350</v>
      </c>
      <c r="D48" s="29" t="s">
        <v>103</v>
      </c>
      <c r="E48" s="51" t="s">
        <v>184</v>
      </c>
      <c r="F48" s="64"/>
      <c r="G48" s="107">
        <f>'Volume Drivers'!G280</f>
        <v>0</v>
      </c>
      <c r="H48" s="107">
        <f>'Volume Drivers'!H280</f>
        <v>0</v>
      </c>
      <c r="I48" s="107">
        <f>'Volume Drivers'!I280</f>
        <v>0</v>
      </c>
      <c r="J48" s="107">
        <f>'Volume Drivers'!J280</f>
        <v>0</v>
      </c>
      <c r="K48" s="107">
        <f>'Volume Drivers'!K280</f>
        <v>0</v>
      </c>
      <c r="L48" s="107">
        <f>'Volume Drivers'!L280</f>
        <v>0</v>
      </c>
      <c r="M48" s="107">
        <f>'Volume Drivers'!M280</f>
        <v>0</v>
      </c>
      <c r="N48" s="120">
        <f t="shared" si="0"/>
        <v>0</v>
      </c>
    </row>
    <row r="49" spans="1:14" x14ac:dyDescent="0.5">
      <c r="B49" s="8" t="s">
        <v>185</v>
      </c>
      <c r="C49" s="29" t="s">
        <v>350</v>
      </c>
      <c r="D49" s="29" t="s">
        <v>103</v>
      </c>
      <c r="E49" s="51" t="s">
        <v>184</v>
      </c>
      <c r="F49" s="64"/>
      <c r="G49" s="107">
        <f>'Volume Drivers'!G281</f>
        <v>0</v>
      </c>
      <c r="H49" s="107">
        <f>'Volume Drivers'!H281</f>
        <v>0</v>
      </c>
      <c r="I49" s="107">
        <f>'Volume Drivers'!I281</f>
        <v>0</v>
      </c>
      <c r="J49" s="107">
        <f>'Volume Drivers'!J281</f>
        <v>0</v>
      </c>
      <c r="K49" s="107">
        <f>'Volume Drivers'!K281</f>
        <v>0</v>
      </c>
      <c r="L49" s="107">
        <f>'Volume Drivers'!L281</f>
        <v>0</v>
      </c>
      <c r="M49" s="107">
        <f>'Volume Drivers'!M281</f>
        <v>0</v>
      </c>
      <c r="N49" s="120">
        <f t="shared" si="0"/>
        <v>0</v>
      </c>
    </row>
    <row r="50" spans="1:14" x14ac:dyDescent="0.5">
      <c r="B50" s="8" t="s">
        <v>186</v>
      </c>
      <c r="C50" s="29" t="s">
        <v>350</v>
      </c>
      <c r="D50" s="29" t="s">
        <v>103</v>
      </c>
      <c r="E50" s="51" t="s">
        <v>184</v>
      </c>
      <c r="F50" s="64"/>
      <c r="G50" s="107">
        <f>'Volume Drivers'!G282</f>
        <v>0</v>
      </c>
      <c r="H50" s="107">
        <f>'Volume Drivers'!H282</f>
        <v>0</v>
      </c>
      <c r="I50" s="107">
        <f>'Volume Drivers'!I282</f>
        <v>0</v>
      </c>
      <c r="J50" s="107">
        <f>'Volume Drivers'!J282</f>
        <v>0</v>
      </c>
      <c r="K50" s="107">
        <f>'Volume Drivers'!K282</f>
        <v>0</v>
      </c>
      <c r="L50" s="107">
        <f>'Volume Drivers'!L282</f>
        <v>0</v>
      </c>
      <c r="M50" s="107">
        <f>'Volume Drivers'!M282</f>
        <v>0</v>
      </c>
      <c r="N50" s="120">
        <f t="shared" si="0"/>
        <v>0</v>
      </c>
    </row>
    <row r="51" spans="1:14" x14ac:dyDescent="0.5">
      <c r="B51" s="8" t="s">
        <v>161</v>
      </c>
      <c r="C51" s="29" t="s">
        <v>350</v>
      </c>
      <c r="D51" s="29" t="s">
        <v>103</v>
      </c>
      <c r="E51" s="51" t="s">
        <v>184</v>
      </c>
      <c r="F51" s="64"/>
      <c r="G51" s="107">
        <f>'Volume Drivers'!G283</f>
        <v>0</v>
      </c>
      <c r="H51" s="107">
        <f>'Volume Drivers'!H283</f>
        <v>0</v>
      </c>
      <c r="I51" s="107">
        <f>'Volume Drivers'!I283</f>
        <v>0</v>
      </c>
      <c r="J51" s="107">
        <f>'Volume Drivers'!J283</f>
        <v>0</v>
      </c>
      <c r="K51" s="107">
        <f>'Volume Drivers'!K283</f>
        <v>0</v>
      </c>
      <c r="L51" s="107">
        <f>'Volume Drivers'!L283</f>
        <v>0</v>
      </c>
      <c r="M51" s="107">
        <f>'Volume Drivers'!M283</f>
        <v>0</v>
      </c>
      <c r="N51" s="120">
        <f t="shared" si="0"/>
        <v>0</v>
      </c>
    </row>
    <row r="52" spans="1:14" x14ac:dyDescent="0.5">
      <c r="B52" s="53" t="s">
        <v>161</v>
      </c>
      <c r="C52" s="29" t="s">
        <v>350</v>
      </c>
      <c r="D52" s="29" t="s">
        <v>103</v>
      </c>
      <c r="E52" s="51" t="s">
        <v>184</v>
      </c>
      <c r="F52" s="64"/>
      <c r="G52" s="107">
        <f>'Volume Drivers'!G284</f>
        <v>0</v>
      </c>
      <c r="H52" s="107">
        <f>'Volume Drivers'!H284</f>
        <v>0</v>
      </c>
      <c r="I52" s="107">
        <f>'Volume Drivers'!I284</f>
        <v>0</v>
      </c>
      <c r="J52" s="107">
        <f>'Volume Drivers'!J284</f>
        <v>0</v>
      </c>
      <c r="K52" s="107">
        <f>'Volume Drivers'!K284</f>
        <v>0</v>
      </c>
      <c r="L52" s="107">
        <f>'Volume Drivers'!L284</f>
        <v>0</v>
      </c>
      <c r="M52" s="107">
        <f>'Volume Drivers'!M284</f>
        <v>0</v>
      </c>
      <c r="N52" s="120">
        <f t="shared" si="0"/>
        <v>0</v>
      </c>
    </row>
    <row r="53" spans="1:14" x14ac:dyDescent="0.5">
      <c r="B53" s="53" t="s">
        <v>161</v>
      </c>
      <c r="C53" s="29" t="s">
        <v>350</v>
      </c>
      <c r="D53" s="29" t="s">
        <v>103</v>
      </c>
      <c r="E53" s="51" t="s">
        <v>184</v>
      </c>
      <c r="F53" s="64"/>
      <c r="G53" s="107">
        <f>'Volume Drivers'!G285</f>
        <v>0</v>
      </c>
      <c r="H53" s="107">
        <f>'Volume Drivers'!H285</f>
        <v>0</v>
      </c>
      <c r="I53" s="107">
        <f>'Volume Drivers'!I285</f>
        <v>0</v>
      </c>
      <c r="J53" s="107">
        <f>'Volume Drivers'!J285</f>
        <v>0</v>
      </c>
      <c r="K53" s="107">
        <f>'Volume Drivers'!K285</f>
        <v>0</v>
      </c>
      <c r="L53" s="107">
        <f>'Volume Drivers'!L285</f>
        <v>0</v>
      </c>
      <c r="M53" s="107">
        <f>'Volume Drivers'!M285</f>
        <v>0</v>
      </c>
      <c r="N53" s="120">
        <f t="shared" si="0"/>
        <v>0</v>
      </c>
    </row>
    <row r="54" spans="1:14" x14ac:dyDescent="0.5">
      <c r="B54" s="53" t="s">
        <v>187</v>
      </c>
      <c r="C54" s="29" t="s">
        <v>350</v>
      </c>
      <c r="D54" s="29" t="s">
        <v>103</v>
      </c>
      <c r="E54" s="51" t="s">
        <v>187</v>
      </c>
      <c r="F54" s="64"/>
      <c r="G54" s="213"/>
      <c r="H54" s="213"/>
      <c r="I54" s="213"/>
      <c r="J54" s="213"/>
      <c r="K54" s="213"/>
      <c r="L54" s="213"/>
      <c r="M54" s="213"/>
      <c r="N54" s="120"/>
    </row>
    <row r="55" spans="1:14" x14ac:dyDescent="0.5">
      <c r="B55" s="8" t="s">
        <v>161</v>
      </c>
      <c r="C55" s="29" t="s">
        <v>350</v>
      </c>
      <c r="D55" s="29" t="s">
        <v>103</v>
      </c>
      <c r="E55" s="51" t="s">
        <v>187</v>
      </c>
      <c r="F55" s="64"/>
      <c r="G55" s="107">
        <f>'Volume Drivers'!G287</f>
        <v>0</v>
      </c>
      <c r="H55" s="107">
        <f>'Volume Drivers'!H287</f>
        <v>0</v>
      </c>
      <c r="I55" s="107">
        <f>'Volume Drivers'!I287</f>
        <v>0</v>
      </c>
      <c r="J55" s="107">
        <f>'Volume Drivers'!J287</f>
        <v>0</v>
      </c>
      <c r="K55" s="107">
        <f>'Volume Drivers'!K287</f>
        <v>0</v>
      </c>
      <c r="L55" s="107">
        <f>'Volume Drivers'!L287</f>
        <v>0</v>
      </c>
      <c r="M55" s="107">
        <f>'Volume Drivers'!M287</f>
        <v>0</v>
      </c>
      <c r="N55" s="120">
        <f t="shared" si="0"/>
        <v>0</v>
      </c>
    </row>
    <row r="56" spans="1:14" x14ac:dyDescent="0.5">
      <c r="B56" s="53" t="s">
        <v>161</v>
      </c>
      <c r="C56" s="29" t="s">
        <v>350</v>
      </c>
      <c r="D56" s="29" t="s">
        <v>103</v>
      </c>
      <c r="E56" s="51" t="s">
        <v>187</v>
      </c>
      <c r="F56" s="64"/>
      <c r="G56" s="107">
        <f>'Volume Drivers'!G288</f>
        <v>0</v>
      </c>
      <c r="H56" s="107">
        <f>'Volume Drivers'!H288</f>
        <v>0</v>
      </c>
      <c r="I56" s="107">
        <f>'Volume Drivers'!I288</f>
        <v>0</v>
      </c>
      <c r="J56" s="107">
        <f>'Volume Drivers'!J288</f>
        <v>0</v>
      </c>
      <c r="K56" s="107">
        <f>'Volume Drivers'!K288</f>
        <v>0</v>
      </c>
      <c r="L56" s="107">
        <f>'Volume Drivers'!L288</f>
        <v>0</v>
      </c>
      <c r="M56" s="107">
        <f>'Volume Drivers'!M288</f>
        <v>0</v>
      </c>
      <c r="N56" s="120">
        <f t="shared" si="0"/>
        <v>0</v>
      </c>
    </row>
    <row r="57" spans="1:14" x14ac:dyDescent="0.5">
      <c r="B57" s="53" t="s">
        <v>161</v>
      </c>
      <c r="C57" s="29" t="s">
        <v>350</v>
      </c>
      <c r="D57" s="29" t="s">
        <v>103</v>
      </c>
      <c r="E57" s="51" t="s">
        <v>187</v>
      </c>
      <c r="F57" s="64"/>
      <c r="G57" s="107">
        <f>'Volume Drivers'!G289</f>
        <v>0</v>
      </c>
      <c r="H57" s="107">
        <f>'Volume Drivers'!H289</f>
        <v>0</v>
      </c>
      <c r="I57" s="107">
        <f>'Volume Drivers'!I289</f>
        <v>0</v>
      </c>
      <c r="J57" s="107">
        <f>'Volume Drivers'!J289</f>
        <v>0</v>
      </c>
      <c r="K57" s="107">
        <f>'Volume Drivers'!K289</f>
        <v>0</v>
      </c>
      <c r="L57" s="107">
        <f>'Volume Drivers'!L289</f>
        <v>0</v>
      </c>
      <c r="M57" s="107">
        <f>'Volume Drivers'!M289</f>
        <v>0</v>
      </c>
      <c r="N57" s="120">
        <f t="shared" si="0"/>
        <v>0</v>
      </c>
    </row>
    <row r="59" spans="1:14" ht="19" thickBot="1" x14ac:dyDescent="0.55000000000000004">
      <c r="A59" s="14" t="s">
        <v>388</v>
      </c>
    </row>
    <row r="60" spans="1:14" ht="19" thickTop="1" x14ac:dyDescent="0.5">
      <c r="A60" s="23"/>
    </row>
    <row r="61" spans="1:14" ht="17" thickBot="1" x14ac:dyDescent="0.55000000000000004">
      <c r="B61" s="27" t="s">
        <v>143</v>
      </c>
      <c r="C61" s="27" t="s">
        <v>96</v>
      </c>
      <c r="D61" s="27" t="s">
        <v>97</v>
      </c>
      <c r="E61" s="50" t="s">
        <v>144</v>
      </c>
      <c r="F61" s="12">
        <v>2024</v>
      </c>
      <c r="G61" s="12">
        <v>2025</v>
      </c>
      <c r="H61" s="12">
        <v>2026</v>
      </c>
      <c r="I61" s="12">
        <v>2027</v>
      </c>
      <c r="J61" s="12">
        <v>2028</v>
      </c>
      <c r="K61" s="12">
        <v>2029</v>
      </c>
      <c r="L61" s="12">
        <v>2030</v>
      </c>
      <c r="M61" s="12">
        <v>2031</v>
      </c>
      <c r="N61" s="10" t="s">
        <v>57</v>
      </c>
    </row>
    <row r="62" spans="1:14" x14ac:dyDescent="0.5">
      <c r="B62" s="8" t="s">
        <v>146</v>
      </c>
      <c r="C62" s="29" t="s">
        <v>350</v>
      </c>
      <c r="D62" s="29" t="s">
        <v>103</v>
      </c>
      <c r="E62" s="51" t="s">
        <v>147</v>
      </c>
      <c r="F62" s="64"/>
      <c r="G62" s="107">
        <f>INDEX(Scaling!E$20:E$29, MATCH(Scaling!$F71, Scaling!$B$20:$B$29, 0))</f>
        <v>0</v>
      </c>
      <c r="H62" s="107">
        <f>INDEX(Scaling!F$20:F$29, MATCH(Scaling!$F71, Scaling!$B$20:$B$29, 0))</f>
        <v>0</v>
      </c>
      <c r="I62" s="107">
        <f>INDEX(Scaling!G$20:G$29, MATCH(Scaling!$F71, Scaling!$B$20:$B$29, 0))</f>
        <v>0</v>
      </c>
      <c r="J62" s="107">
        <f>INDEX(Scaling!H$20:H$29, MATCH(Scaling!$F71, Scaling!$B$20:$B$29, 0))</f>
        <v>0</v>
      </c>
      <c r="K62" s="107">
        <f>INDEX(Scaling!I$20:I$29, MATCH(Scaling!$F71, Scaling!$B$20:$B$29, 0))</f>
        <v>0</v>
      </c>
      <c r="L62" s="107">
        <f>INDEX(Scaling!J$20:J$29, MATCH(Scaling!$F71, Scaling!$B$20:$B$29, 0))</f>
        <v>0</v>
      </c>
      <c r="M62" s="107">
        <f>INDEX(Scaling!K$20:K$29, MATCH(Scaling!$F71, Scaling!$B$20:$B$29, 0))</f>
        <v>0</v>
      </c>
      <c r="N62" s="120">
        <f t="shared" ref="N62:N111" si="1">SUM(G62:M62)</f>
        <v>0</v>
      </c>
    </row>
    <row r="63" spans="1:14" x14ac:dyDescent="0.5">
      <c r="B63" s="8" t="s">
        <v>148</v>
      </c>
      <c r="C63" s="29" t="s">
        <v>350</v>
      </c>
      <c r="D63" s="29" t="s">
        <v>103</v>
      </c>
      <c r="E63" s="51" t="s">
        <v>147</v>
      </c>
      <c r="F63" s="64"/>
      <c r="G63" s="107">
        <f>INDEX(Scaling!E$20:E$29, MATCH(Scaling!$F72, Scaling!$B$20:$B$29, 0))</f>
        <v>0</v>
      </c>
      <c r="H63" s="107">
        <f>INDEX(Scaling!F$20:F$29, MATCH(Scaling!$F72, Scaling!$B$20:$B$29, 0))</f>
        <v>0</v>
      </c>
      <c r="I63" s="107">
        <f>INDEX(Scaling!G$20:G$29, MATCH(Scaling!$F72, Scaling!$B$20:$B$29, 0))</f>
        <v>0</v>
      </c>
      <c r="J63" s="107">
        <f>INDEX(Scaling!H$20:H$29, MATCH(Scaling!$F72, Scaling!$B$20:$B$29, 0))</f>
        <v>0</v>
      </c>
      <c r="K63" s="107">
        <f>INDEX(Scaling!I$20:I$29, MATCH(Scaling!$F72, Scaling!$B$20:$B$29, 0))</f>
        <v>0</v>
      </c>
      <c r="L63" s="107">
        <f>INDEX(Scaling!J$20:J$29, MATCH(Scaling!$F72, Scaling!$B$20:$B$29, 0))</f>
        <v>0</v>
      </c>
      <c r="M63" s="107">
        <f>INDEX(Scaling!K$20:K$29, MATCH(Scaling!$F72, Scaling!$B$20:$B$29, 0))</f>
        <v>0</v>
      </c>
      <c r="N63" s="120">
        <f t="shared" si="1"/>
        <v>0</v>
      </c>
    </row>
    <row r="64" spans="1:14" x14ac:dyDescent="0.5">
      <c r="B64" s="8" t="s">
        <v>149</v>
      </c>
      <c r="C64" s="29" t="s">
        <v>350</v>
      </c>
      <c r="D64" s="29" t="s">
        <v>103</v>
      </c>
      <c r="E64" s="51" t="s">
        <v>147</v>
      </c>
      <c r="F64" s="64"/>
      <c r="G64" s="107">
        <f>INDEX(Scaling!E$20:E$29, MATCH(Scaling!$F73, Scaling!$B$20:$B$29, 0))</f>
        <v>0</v>
      </c>
      <c r="H64" s="107">
        <f>INDEX(Scaling!F$20:F$29, MATCH(Scaling!$F73, Scaling!$B$20:$B$29, 0))</f>
        <v>0</v>
      </c>
      <c r="I64" s="107">
        <f>INDEX(Scaling!G$20:G$29, MATCH(Scaling!$F73, Scaling!$B$20:$B$29, 0))</f>
        <v>0</v>
      </c>
      <c r="J64" s="107">
        <f>INDEX(Scaling!H$20:H$29, MATCH(Scaling!$F73, Scaling!$B$20:$B$29, 0))</f>
        <v>0</v>
      </c>
      <c r="K64" s="107">
        <f>INDEX(Scaling!I$20:I$29, MATCH(Scaling!$F73, Scaling!$B$20:$B$29, 0))</f>
        <v>0</v>
      </c>
      <c r="L64" s="107">
        <f>INDEX(Scaling!J$20:J$29, MATCH(Scaling!$F73, Scaling!$B$20:$B$29, 0))</f>
        <v>0</v>
      </c>
      <c r="M64" s="107">
        <f>INDEX(Scaling!K$20:K$29, MATCH(Scaling!$F73, Scaling!$B$20:$B$29, 0))</f>
        <v>0</v>
      </c>
      <c r="N64" s="120">
        <f t="shared" si="1"/>
        <v>0</v>
      </c>
    </row>
    <row r="65" spans="2:14" x14ac:dyDescent="0.5">
      <c r="B65" s="8" t="s">
        <v>150</v>
      </c>
      <c r="C65" s="29" t="s">
        <v>350</v>
      </c>
      <c r="D65" s="29" t="s">
        <v>103</v>
      </c>
      <c r="E65" s="51" t="s">
        <v>147</v>
      </c>
      <c r="F65" s="64"/>
      <c r="G65" s="107">
        <f>INDEX(Scaling!E$20:E$29, MATCH(Scaling!$F74, Scaling!$B$20:$B$29, 0))</f>
        <v>0</v>
      </c>
      <c r="H65" s="107">
        <f>INDEX(Scaling!F$20:F$29, MATCH(Scaling!$F74, Scaling!$B$20:$B$29, 0))</f>
        <v>0</v>
      </c>
      <c r="I65" s="107">
        <f>INDEX(Scaling!G$20:G$29, MATCH(Scaling!$F74, Scaling!$B$20:$B$29, 0))</f>
        <v>0</v>
      </c>
      <c r="J65" s="107">
        <f>INDEX(Scaling!H$20:H$29, MATCH(Scaling!$F74, Scaling!$B$20:$B$29, 0))</f>
        <v>0</v>
      </c>
      <c r="K65" s="107">
        <f>INDEX(Scaling!I$20:I$29, MATCH(Scaling!$F74, Scaling!$B$20:$B$29, 0))</f>
        <v>0</v>
      </c>
      <c r="L65" s="107">
        <f>INDEX(Scaling!J$20:J$29, MATCH(Scaling!$F74, Scaling!$B$20:$B$29, 0))</f>
        <v>0</v>
      </c>
      <c r="M65" s="107">
        <f>INDEX(Scaling!K$20:K$29, MATCH(Scaling!$F74, Scaling!$B$20:$B$29, 0))</f>
        <v>0</v>
      </c>
      <c r="N65" s="120">
        <f t="shared" si="1"/>
        <v>0</v>
      </c>
    </row>
    <row r="66" spans="2:14" x14ac:dyDescent="0.5">
      <c r="B66" s="8" t="s">
        <v>151</v>
      </c>
      <c r="C66" s="29" t="s">
        <v>350</v>
      </c>
      <c r="D66" s="29" t="s">
        <v>103</v>
      </c>
      <c r="E66" s="51" t="s">
        <v>147</v>
      </c>
      <c r="F66" s="64"/>
      <c r="G66" s="107">
        <f>INDEX(Scaling!E$20:E$29, MATCH(Scaling!$F75, Scaling!$B$20:$B$29, 0))</f>
        <v>0</v>
      </c>
      <c r="H66" s="107">
        <f>INDEX(Scaling!F$20:F$29, MATCH(Scaling!$F75, Scaling!$B$20:$B$29, 0))</f>
        <v>0</v>
      </c>
      <c r="I66" s="107">
        <f>INDEX(Scaling!G$20:G$29, MATCH(Scaling!$F75, Scaling!$B$20:$B$29, 0))</f>
        <v>0</v>
      </c>
      <c r="J66" s="107">
        <f>INDEX(Scaling!H$20:H$29, MATCH(Scaling!$F75, Scaling!$B$20:$B$29, 0))</f>
        <v>0</v>
      </c>
      <c r="K66" s="107">
        <f>INDEX(Scaling!I$20:I$29, MATCH(Scaling!$F75, Scaling!$B$20:$B$29, 0))</f>
        <v>0</v>
      </c>
      <c r="L66" s="107">
        <f>INDEX(Scaling!J$20:J$29, MATCH(Scaling!$F75, Scaling!$B$20:$B$29, 0))</f>
        <v>0</v>
      </c>
      <c r="M66" s="107">
        <f>INDEX(Scaling!K$20:K$29, MATCH(Scaling!$F75, Scaling!$B$20:$B$29, 0))</f>
        <v>0</v>
      </c>
      <c r="N66" s="120">
        <f t="shared" si="1"/>
        <v>0</v>
      </c>
    </row>
    <row r="67" spans="2:14" x14ac:dyDescent="0.5">
      <c r="B67" s="8" t="s">
        <v>152</v>
      </c>
      <c r="C67" s="29" t="s">
        <v>350</v>
      </c>
      <c r="D67" s="29" t="s">
        <v>103</v>
      </c>
      <c r="E67" s="51" t="s">
        <v>147</v>
      </c>
      <c r="F67" s="64"/>
      <c r="G67" s="107">
        <f>INDEX(Scaling!E$20:E$29, MATCH(Scaling!$F76, Scaling!$B$20:$B$29, 0))</f>
        <v>0</v>
      </c>
      <c r="H67" s="107">
        <f>INDEX(Scaling!F$20:F$29, MATCH(Scaling!$F76, Scaling!$B$20:$B$29, 0))</f>
        <v>0</v>
      </c>
      <c r="I67" s="107">
        <f>INDEX(Scaling!G$20:G$29, MATCH(Scaling!$F76, Scaling!$B$20:$B$29, 0))</f>
        <v>0</v>
      </c>
      <c r="J67" s="107">
        <f>INDEX(Scaling!H$20:H$29, MATCH(Scaling!$F76, Scaling!$B$20:$B$29, 0))</f>
        <v>0</v>
      </c>
      <c r="K67" s="107">
        <f>INDEX(Scaling!I$20:I$29, MATCH(Scaling!$F76, Scaling!$B$20:$B$29, 0))</f>
        <v>0</v>
      </c>
      <c r="L67" s="107">
        <f>INDEX(Scaling!J$20:J$29, MATCH(Scaling!$F76, Scaling!$B$20:$B$29, 0))</f>
        <v>0</v>
      </c>
      <c r="M67" s="107">
        <f>INDEX(Scaling!K$20:K$29, MATCH(Scaling!$F76, Scaling!$B$20:$B$29, 0))</f>
        <v>0</v>
      </c>
      <c r="N67" s="120">
        <f t="shared" si="1"/>
        <v>0</v>
      </c>
    </row>
    <row r="68" spans="2:14" x14ac:dyDescent="0.5">
      <c r="B68" s="8" t="s">
        <v>153</v>
      </c>
      <c r="C68" s="29" t="s">
        <v>350</v>
      </c>
      <c r="D68" s="29" t="s">
        <v>103</v>
      </c>
      <c r="E68" s="51" t="s">
        <v>147</v>
      </c>
      <c r="F68" s="64"/>
      <c r="G68" s="107">
        <f>INDEX(Scaling!E$20:E$29, MATCH(Scaling!$F77, Scaling!$B$20:$B$29, 0))</f>
        <v>0</v>
      </c>
      <c r="H68" s="107">
        <f>INDEX(Scaling!F$20:F$29, MATCH(Scaling!$F77, Scaling!$B$20:$B$29, 0))</f>
        <v>0</v>
      </c>
      <c r="I68" s="107">
        <f>INDEX(Scaling!G$20:G$29, MATCH(Scaling!$F77, Scaling!$B$20:$B$29, 0))</f>
        <v>0</v>
      </c>
      <c r="J68" s="107">
        <f>INDEX(Scaling!H$20:H$29, MATCH(Scaling!$F77, Scaling!$B$20:$B$29, 0))</f>
        <v>0</v>
      </c>
      <c r="K68" s="107">
        <f>INDEX(Scaling!I$20:I$29, MATCH(Scaling!$F77, Scaling!$B$20:$B$29, 0))</f>
        <v>0</v>
      </c>
      <c r="L68" s="107">
        <f>INDEX(Scaling!J$20:J$29, MATCH(Scaling!$F77, Scaling!$B$20:$B$29, 0))</f>
        <v>0</v>
      </c>
      <c r="M68" s="107">
        <f>INDEX(Scaling!K$20:K$29, MATCH(Scaling!$F77, Scaling!$B$20:$B$29, 0))</f>
        <v>0</v>
      </c>
      <c r="N68" s="120">
        <f t="shared" si="1"/>
        <v>0</v>
      </c>
    </row>
    <row r="69" spans="2:14" x14ac:dyDescent="0.5">
      <c r="B69" s="8" t="s">
        <v>154</v>
      </c>
      <c r="C69" s="29" t="s">
        <v>350</v>
      </c>
      <c r="D69" s="29" t="s">
        <v>103</v>
      </c>
      <c r="E69" s="51" t="s">
        <v>147</v>
      </c>
      <c r="F69" s="64"/>
      <c r="G69" s="107">
        <f>INDEX(Scaling!E$20:E$29, MATCH(Scaling!$F78, Scaling!$B$20:$B$29, 0))</f>
        <v>0</v>
      </c>
      <c r="H69" s="107">
        <f>INDEX(Scaling!F$20:F$29, MATCH(Scaling!$F78, Scaling!$B$20:$B$29, 0))</f>
        <v>0</v>
      </c>
      <c r="I69" s="107">
        <f>INDEX(Scaling!G$20:G$29, MATCH(Scaling!$F78, Scaling!$B$20:$B$29, 0))</f>
        <v>0</v>
      </c>
      <c r="J69" s="107">
        <f>INDEX(Scaling!H$20:H$29, MATCH(Scaling!$F78, Scaling!$B$20:$B$29, 0))</f>
        <v>0</v>
      </c>
      <c r="K69" s="107">
        <f>INDEX(Scaling!I$20:I$29, MATCH(Scaling!$F78, Scaling!$B$20:$B$29, 0))</f>
        <v>0</v>
      </c>
      <c r="L69" s="107">
        <f>INDEX(Scaling!J$20:J$29, MATCH(Scaling!$F78, Scaling!$B$20:$B$29, 0))</f>
        <v>0</v>
      </c>
      <c r="M69" s="107">
        <f>INDEX(Scaling!K$20:K$29, MATCH(Scaling!$F78, Scaling!$B$20:$B$29, 0))</f>
        <v>0</v>
      </c>
      <c r="N69" s="120">
        <f t="shared" si="1"/>
        <v>0</v>
      </c>
    </row>
    <row r="70" spans="2:14" x14ac:dyDescent="0.5">
      <c r="B70" s="8" t="s">
        <v>155</v>
      </c>
      <c r="C70" s="29" t="s">
        <v>350</v>
      </c>
      <c r="D70" s="29" t="s">
        <v>103</v>
      </c>
      <c r="E70" s="51" t="s">
        <v>147</v>
      </c>
      <c r="F70" s="64"/>
      <c r="G70" s="107">
        <f>INDEX(Scaling!E$20:E$29, MATCH(Scaling!$F79, Scaling!$B$20:$B$29, 0))</f>
        <v>0</v>
      </c>
      <c r="H70" s="107">
        <f>INDEX(Scaling!F$20:F$29, MATCH(Scaling!$F79, Scaling!$B$20:$B$29, 0))</f>
        <v>0</v>
      </c>
      <c r="I70" s="107">
        <f>INDEX(Scaling!G$20:G$29, MATCH(Scaling!$F79, Scaling!$B$20:$B$29, 0))</f>
        <v>0</v>
      </c>
      <c r="J70" s="107">
        <f>INDEX(Scaling!H$20:H$29, MATCH(Scaling!$F79, Scaling!$B$20:$B$29, 0))</f>
        <v>0</v>
      </c>
      <c r="K70" s="107">
        <f>INDEX(Scaling!I$20:I$29, MATCH(Scaling!$F79, Scaling!$B$20:$B$29, 0))</f>
        <v>0</v>
      </c>
      <c r="L70" s="107">
        <f>INDEX(Scaling!J$20:J$29, MATCH(Scaling!$F79, Scaling!$B$20:$B$29, 0))</f>
        <v>0</v>
      </c>
      <c r="M70" s="107">
        <f>INDEX(Scaling!K$20:K$29, MATCH(Scaling!$F79, Scaling!$B$20:$B$29, 0))</f>
        <v>0</v>
      </c>
      <c r="N70" s="120">
        <f t="shared" si="1"/>
        <v>0</v>
      </c>
    </row>
    <row r="71" spans="2:14" x14ac:dyDescent="0.5">
      <c r="B71" s="8" t="s">
        <v>156</v>
      </c>
      <c r="C71" s="29" t="s">
        <v>350</v>
      </c>
      <c r="D71" s="29" t="s">
        <v>103</v>
      </c>
      <c r="E71" s="51" t="s">
        <v>147</v>
      </c>
      <c r="F71" s="64"/>
      <c r="G71" s="107">
        <f>INDEX(Scaling!E$20:E$29, MATCH(Scaling!$F80, Scaling!$B$20:$B$29, 0))</f>
        <v>0</v>
      </c>
      <c r="H71" s="107">
        <f>INDEX(Scaling!F$20:F$29, MATCH(Scaling!$F80, Scaling!$B$20:$B$29, 0))</f>
        <v>0</v>
      </c>
      <c r="I71" s="107">
        <f>INDEX(Scaling!G$20:G$29, MATCH(Scaling!$F80, Scaling!$B$20:$B$29, 0))</f>
        <v>0</v>
      </c>
      <c r="J71" s="107">
        <f>INDEX(Scaling!H$20:H$29, MATCH(Scaling!$F80, Scaling!$B$20:$B$29, 0))</f>
        <v>0</v>
      </c>
      <c r="K71" s="107">
        <f>INDEX(Scaling!I$20:I$29, MATCH(Scaling!$F80, Scaling!$B$20:$B$29, 0))</f>
        <v>0</v>
      </c>
      <c r="L71" s="107">
        <f>INDEX(Scaling!J$20:J$29, MATCH(Scaling!$F80, Scaling!$B$20:$B$29, 0))</f>
        <v>0</v>
      </c>
      <c r="M71" s="107">
        <f>INDEX(Scaling!K$20:K$29, MATCH(Scaling!$F80, Scaling!$B$20:$B$29, 0))</f>
        <v>0</v>
      </c>
      <c r="N71" s="120">
        <f t="shared" si="1"/>
        <v>0</v>
      </c>
    </row>
    <row r="72" spans="2:14" x14ac:dyDescent="0.5">
      <c r="B72" s="8" t="s">
        <v>157</v>
      </c>
      <c r="C72" s="29" t="s">
        <v>350</v>
      </c>
      <c r="D72" s="29" t="s">
        <v>103</v>
      </c>
      <c r="E72" s="51" t="s">
        <v>147</v>
      </c>
      <c r="F72" s="64"/>
      <c r="G72" s="107">
        <f>INDEX(Scaling!E$20:E$29, MATCH(Scaling!$F81, Scaling!$B$20:$B$29, 0))</f>
        <v>0</v>
      </c>
      <c r="H72" s="107">
        <f>INDEX(Scaling!F$20:F$29, MATCH(Scaling!$F81, Scaling!$B$20:$B$29, 0))</f>
        <v>0</v>
      </c>
      <c r="I72" s="107">
        <f>INDEX(Scaling!G$20:G$29, MATCH(Scaling!$F81, Scaling!$B$20:$B$29, 0))</f>
        <v>0</v>
      </c>
      <c r="J72" s="107">
        <f>INDEX(Scaling!H$20:H$29, MATCH(Scaling!$F81, Scaling!$B$20:$B$29, 0))</f>
        <v>0</v>
      </c>
      <c r="K72" s="107">
        <f>INDEX(Scaling!I$20:I$29, MATCH(Scaling!$F81, Scaling!$B$20:$B$29, 0))</f>
        <v>0</v>
      </c>
      <c r="L72" s="107">
        <f>INDEX(Scaling!J$20:J$29, MATCH(Scaling!$F81, Scaling!$B$20:$B$29, 0))</f>
        <v>0</v>
      </c>
      <c r="M72" s="107">
        <f>INDEX(Scaling!K$20:K$29, MATCH(Scaling!$F81, Scaling!$B$20:$B$29, 0))</f>
        <v>0</v>
      </c>
      <c r="N72" s="120">
        <f t="shared" si="1"/>
        <v>0</v>
      </c>
    </row>
    <row r="73" spans="2:14" x14ac:dyDescent="0.5">
      <c r="B73" s="8" t="s">
        <v>158</v>
      </c>
      <c r="C73" s="29" t="s">
        <v>350</v>
      </c>
      <c r="D73" s="29" t="s">
        <v>103</v>
      </c>
      <c r="E73" s="51" t="s">
        <v>147</v>
      </c>
      <c r="F73" s="64"/>
      <c r="G73" s="107">
        <f>INDEX(Scaling!E$20:E$29, MATCH(Scaling!$F82, Scaling!$B$20:$B$29, 0))</f>
        <v>0</v>
      </c>
      <c r="H73" s="107">
        <f>INDEX(Scaling!F$20:F$29, MATCH(Scaling!$F82, Scaling!$B$20:$B$29, 0))</f>
        <v>0</v>
      </c>
      <c r="I73" s="107">
        <f>INDEX(Scaling!G$20:G$29, MATCH(Scaling!$F82, Scaling!$B$20:$B$29, 0))</f>
        <v>0</v>
      </c>
      <c r="J73" s="107">
        <f>INDEX(Scaling!H$20:H$29, MATCH(Scaling!$F82, Scaling!$B$20:$B$29, 0))</f>
        <v>0</v>
      </c>
      <c r="K73" s="107">
        <f>INDEX(Scaling!I$20:I$29, MATCH(Scaling!$F82, Scaling!$B$20:$B$29, 0))</f>
        <v>0</v>
      </c>
      <c r="L73" s="107">
        <f>INDEX(Scaling!J$20:J$29, MATCH(Scaling!$F82, Scaling!$B$20:$B$29, 0))</f>
        <v>0</v>
      </c>
      <c r="M73" s="107">
        <f>INDEX(Scaling!K$20:K$29, MATCH(Scaling!$F82, Scaling!$B$20:$B$29, 0))</f>
        <v>0</v>
      </c>
      <c r="N73" s="120">
        <f t="shared" si="1"/>
        <v>0</v>
      </c>
    </row>
    <row r="74" spans="2:14" x14ac:dyDescent="0.5">
      <c r="B74" s="8" t="s">
        <v>159</v>
      </c>
      <c r="C74" s="29" t="s">
        <v>350</v>
      </c>
      <c r="D74" s="29" t="s">
        <v>103</v>
      </c>
      <c r="E74" s="51" t="s">
        <v>147</v>
      </c>
      <c r="F74" s="64"/>
      <c r="G74" s="107">
        <f>INDEX(Scaling!E$20:E$29, MATCH(Scaling!$F83, Scaling!$B$20:$B$29, 0))</f>
        <v>0</v>
      </c>
      <c r="H74" s="107">
        <f>INDEX(Scaling!F$20:F$29, MATCH(Scaling!$F83, Scaling!$B$20:$B$29, 0))</f>
        <v>0</v>
      </c>
      <c r="I74" s="107">
        <f>INDEX(Scaling!G$20:G$29, MATCH(Scaling!$F83, Scaling!$B$20:$B$29, 0))</f>
        <v>0</v>
      </c>
      <c r="J74" s="107">
        <f>INDEX(Scaling!H$20:H$29, MATCH(Scaling!$F83, Scaling!$B$20:$B$29, 0))</f>
        <v>0</v>
      </c>
      <c r="K74" s="107">
        <f>INDEX(Scaling!I$20:I$29, MATCH(Scaling!$F83, Scaling!$B$20:$B$29, 0))</f>
        <v>0</v>
      </c>
      <c r="L74" s="107">
        <f>INDEX(Scaling!J$20:J$29, MATCH(Scaling!$F83, Scaling!$B$20:$B$29, 0))</f>
        <v>0</v>
      </c>
      <c r="M74" s="107">
        <f>INDEX(Scaling!K$20:K$29, MATCH(Scaling!$F83, Scaling!$B$20:$B$29, 0))</f>
        <v>0</v>
      </c>
      <c r="N74" s="120">
        <f t="shared" si="1"/>
        <v>0</v>
      </c>
    </row>
    <row r="75" spans="2:14" x14ac:dyDescent="0.5">
      <c r="B75" s="53" t="s">
        <v>160</v>
      </c>
      <c r="C75" s="29" t="s">
        <v>350</v>
      </c>
      <c r="D75" s="29" t="s">
        <v>103</v>
      </c>
      <c r="E75" s="51" t="s">
        <v>147</v>
      </c>
      <c r="F75" s="64"/>
      <c r="G75" s="107">
        <f>INDEX(Scaling!E$20:E$29, MATCH(Scaling!$F84, Scaling!$B$20:$B$29, 0))</f>
        <v>0</v>
      </c>
      <c r="H75" s="107">
        <f>INDEX(Scaling!F$20:F$29, MATCH(Scaling!$F84, Scaling!$B$20:$B$29, 0))</f>
        <v>0</v>
      </c>
      <c r="I75" s="107">
        <f>INDEX(Scaling!G$20:G$29, MATCH(Scaling!$F84, Scaling!$B$20:$B$29, 0))</f>
        <v>0</v>
      </c>
      <c r="J75" s="107">
        <f>INDEX(Scaling!H$20:H$29, MATCH(Scaling!$F84, Scaling!$B$20:$B$29, 0))</f>
        <v>0</v>
      </c>
      <c r="K75" s="107">
        <f>INDEX(Scaling!I$20:I$29, MATCH(Scaling!$F84, Scaling!$B$20:$B$29, 0))</f>
        <v>0</v>
      </c>
      <c r="L75" s="107">
        <f>INDEX(Scaling!J$20:J$29, MATCH(Scaling!$F84, Scaling!$B$20:$B$29, 0))</f>
        <v>0</v>
      </c>
      <c r="M75" s="107">
        <f>INDEX(Scaling!K$20:K$29, MATCH(Scaling!$F84, Scaling!$B$20:$B$29, 0))</f>
        <v>0</v>
      </c>
      <c r="N75" s="120">
        <f t="shared" si="1"/>
        <v>0</v>
      </c>
    </row>
    <row r="76" spans="2:14" x14ac:dyDescent="0.5">
      <c r="B76" s="53" t="s">
        <v>161</v>
      </c>
      <c r="C76" s="29" t="s">
        <v>350</v>
      </c>
      <c r="D76" s="29" t="s">
        <v>103</v>
      </c>
      <c r="E76" s="51" t="s">
        <v>147</v>
      </c>
      <c r="F76" s="64"/>
      <c r="G76" s="107">
        <f>INDEX(Scaling!E$20:E$29, MATCH(Scaling!$F85, Scaling!$B$20:$B$29, 0))</f>
        <v>-3.3375315906203684E-2</v>
      </c>
      <c r="H76" s="107">
        <f>INDEX(Scaling!F$20:F$29, MATCH(Scaling!$F85, Scaling!$B$20:$B$29, 0))</f>
        <v>-2.4201010709072879E-2</v>
      </c>
      <c r="I76" s="107">
        <f>INDEX(Scaling!G$20:G$29, MATCH(Scaling!$F85, Scaling!$B$20:$B$29, 0))</f>
        <v>-1.9754294552546292E-2</v>
      </c>
      <c r="J76" s="107">
        <f>INDEX(Scaling!H$20:H$29, MATCH(Scaling!$F85, Scaling!$B$20:$B$29, 0))</f>
        <v>-1.9944556925700629E-2</v>
      </c>
      <c r="K76" s="107">
        <f>INDEX(Scaling!I$20:I$29, MATCH(Scaling!$F85, Scaling!$B$20:$B$29, 0))</f>
        <v>-1.9974316392409652E-2</v>
      </c>
      <c r="L76" s="107">
        <f>INDEX(Scaling!J$20:J$29, MATCH(Scaling!$F85, Scaling!$B$20:$B$29, 0))</f>
        <v>-1.9637602150136879E-2</v>
      </c>
      <c r="M76" s="107">
        <f>INDEX(Scaling!K$20:K$29, MATCH(Scaling!$F85, Scaling!$B$20:$B$29, 0))</f>
        <v>-1.9637602150136879E-2</v>
      </c>
      <c r="N76" s="120">
        <f t="shared" si="1"/>
        <v>-0.1565246987862069</v>
      </c>
    </row>
    <row r="77" spans="2:14" x14ac:dyDescent="0.5">
      <c r="B77" s="53" t="s">
        <v>161</v>
      </c>
      <c r="C77" s="29" t="s">
        <v>350</v>
      </c>
      <c r="D77" s="29" t="s">
        <v>103</v>
      </c>
      <c r="E77" s="51" t="s">
        <v>147</v>
      </c>
      <c r="F77" s="64"/>
      <c r="G77" s="107">
        <f>INDEX(Scaling!E$20:E$29, MATCH(Scaling!$F86, Scaling!$B$20:$B$29, 0))</f>
        <v>-3.3375315906203684E-2</v>
      </c>
      <c r="H77" s="107">
        <f>INDEX(Scaling!F$20:F$29, MATCH(Scaling!$F86, Scaling!$B$20:$B$29, 0))</f>
        <v>-2.4201010709072879E-2</v>
      </c>
      <c r="I77" s="107">
        <f>INDEX(Scaling!G$20:G$29, MATCH(Scaling!$F86, Scaling!$B$20:$B$29, 0))</f>
        <v>-1.9754294552546292E-2</v>
      </c>
      <c r="J77" s="107">
        <f>INDEX(Scaling!H$20:H$29, MATCH(Scaling!$F86, Scaling!$B$20:$B$29, 0))</f>
        <v>-1.9944556925700629E-2</v>
      </c>
      <c r="K77" s="107">
        <f>INDEX(Scaling!I$20:I$29, MATCH(Scaling!$F86, Scaling!$B$20:$B$29, 0))</f>
        <v>-1.9974316392409652E-2</v>
      </c>
      <c r="L77" s="107">
        <f>INDEX(Scaling!J$20:J$29, MATCH(Scaling!$F86, Scaling!$B$20:$B$29, 0))</f>
        <v>-1.9637602150136879E-2</v>
      </c>
      <c r="M77" s="107">
        <f>INDEX(Scaling!K$20:K$29, MATCH(Scaling!$F86, Scaling!$B$20:$B$29, 0))</f>
        <v>-1.9637602150136879E-2</v>
      </c>
      <c r="N77" s="120">
        <f t="shared" si="1"/>
        <v>-0.1565246987862069</v>
      </c>
    </row>
    <row r="78" spans="2:14" x14ac:dyDescent="0.5">
      <c r="B78" s="8" t="s">
        <v>163</v>
      </c>
      <c r="C78" s="29" t="s">
        <v>350</v>
      </c>
      <c r="D78" s="29" t="s">
        <v>103</v>
      </c>
      <c r="E78" s="51" t="s">
        <v>162</v>
      </c>
      <c r="F78" s="64"/>
      <c r="G78" s="107">
        <f>INDEX(Scaling!E$20:E$29, MATCH(Scaling!$F87, Scaling!$B$20:$B$29, 0))</f>
        <v>0</v>
      </c>
      <c r="H78" s="107">
        <f>INDEX(Scaling!F$20:F$29, MATCH(Scaling!$F87, Scaling!$B$20:$B$29, 0))</f>
        <v>0</v>
      </c>
      <c r="I78" s="107">
        <f>INDEX(Scaling!G$20:G$29, MATCH(Scaling!$F87, Scaling!$B$20:$B$29, 0))</f>
        <v>0</v>
      </c>
      <c r="J78" s="107">
        <f>INDEX(Scaling!H$20:H$29, MATCH(Scaling!$F87, Scaling!$B$20:$B$29, 0))</f>
        <v>0</v>
      </c>
      <c r="K78" s="107">
        <f>INDEX(Scaling!I$20:I$29, MATCH(Scaling!$F87, Scaling!$B$20:$B$29, 0))</f>
        <v>0</v>
      </c>
      <c r="L78" s="107">
        <f>INDEX(Scaling!J$20:J$29, MATCH(Scaling!$F87, Scaling!$B$20:$B$29, 0))</f>
        <v>0</v>
      </c>
      <c r="M78" s="107">
        <f>INDEX(Scaling!K$20:K$29, MATCH(Scaling!$F87, Scaling!$B$20:$B$29, 0))</f>
        <v>0</v>
      </c>
      <c r="N78" s="120">
        <f t="shared" si="1"/>
        <v>0</v>
      </c>
    </row>
    <row r="79" spans="2:14" x14ac:dyDescent="0.5">
      <c r="B79" s="8" t="s">
        <v>164</v>
      </c>
      <c r="C79" s="29" t="s">
        <v>350</v>
      </c>
      <c r="D79" s="29" t="s">
        <v>103</v>
      </c>
      <c r="E79" s="51" t="s">
        <v>162</v>
      </c>
      <c r="F79" s="64"/>
      <c r="G79" s="107">
        <f>INDEX(Scaling!E$20:E$29, MATCH(Scaling!$F88, Scaling!$B$20:$B$29, 0))</f>
        <v>0</v>
      </c>
      <c r="H79" s="107">
        <f>INDEX(Scaling!F$20:F$29, MATCH(Scaling!$F88, Scaling!$B$20:$B$29, 0))</f>
        <v>0</v>
      </c>
      <c r="I79" s="107">
        <f>INDEX(Scaling!G$20:G$29, MATCH(Scaling!$F88, Scaling!$B$20:$B$29, 0))</f>
        <v>0</v>
      </c>
      <c r="J79" s="107">
        <f>INDEX(Scaling!H$20:H$29, MATCH(Scaling!$F88, Scaling!$B$20:$B$29, 0))</f>
        <v>0</v>
      </c>
      <c r="K79" s="107">
        <f>INDEX(Scaling!I$20:I$29, MATCH(Scaling!$F88, Scaling!$B$20:$B$29, 0))</f>
        <v>0</v>
      </c>
      <c r="L79" s="107">
        <f>INDEX(Scaling!J$20:J$29, MATCH(Scaling!$F88, Scaling!$B$20:$B$29, 0))</f>
        <v>0</v>
      </c>
      <c r="M79" s="107">
        <f>INDEX(Scaling!K$20:K$29, MATCH(Scaling!$F88, Scaling!$B$20:$B$29, 0))</f>
        <v>0</v>
      </c>
      <c r="N79" s="120">
        <f t="shared" si="1"/>
        <v>0</v>
      </c>
    </row>
    <row r="80" spans="2:14" x14ac:dyDescent="0.5">
      <c r="B80" s="53" t="s">
        <v>165</v>
      </c>
      <c r="C80" s="29" t="s">
        <v>350</v>
      </c>
      <c r="D80" s="29" t="s">
        <v>103</v>
      </c>
      <c r="E80" s="51" t="s">
        <v>162</v>
      </c>
      <c r="F80" s="64"/>
      <c r="G80" s="107">
        <f>INDEX(Scaling!E$20:E$29, MATCH(Scaling!$F89, Scaling!$B$20:$B$29, 0))</f>
        <v>0</v>
      </c>
      <c r="H80" s="107">
        <f>INDEX(Scaling!F$20:F$29, MATCH(Scaling!$F89, Scaling!$B$20:$B$29, 0))</f>
        <v>0</v>
      </c>
      <c r="I80" s="107">
        <f>INDEX(Scaling!G$20:G$29, MATCH(Scaling!$F89, Scaling!$B$20:$B$29, 0))</f>
        <v>0</v>
      </c>
      <c r="J80" s="107">
        <f>INDEX(Scaling!H$20:H$29, MATCH(Scaling!$F89, Scaling!$B$20:$B$29, 0))</f>
        <v>0</v>
      </c>
      <c r="K80" s="107">
        <f>INDEX(Scaling!I$20:I$29, MATCH(Scaling!$F89, Scaling!$B$20:$B$29, 0))</f>
        <v>0</v>
      </c>
      <c r="L80" s="107">
        <f>INDEX(Scaling!J$20:J$29, MATCH(Scaling!$F89, Scaling!$B$20:$B$29, 0))</f>
        <v>0</v>
      </c>
      <c r="M80" s="107">
        <f>INDEX(Scaling!K$20:K$29, MATCH(Scaling!$F89, Scaling!$B$20:$B$29, 0))</f>
        <v>0</v>
      </c>
      <c r="N80" s="120">
        <f t="shared" si="1"/>
        <v>0</v>
      </c>
    </row>
    <row r="81" spans="2:14" x14ac:dyDescent="0.5">
      <c r="B81" s="53" t="s">
        <v>161</v>
      </c>
      <c r="C81" s="29" t="s">
        <v>350</v>
      </c>
      <c r="D81" s="29" t="s">
        <v>103</v>
      </c>
      <c r="E81" s="51" t="s">
        <v>162</v>
      </c>
      <c r="F81" s="64"/>
      <c r="G81" s="107">
        <f>INDEX(Scaling!E$20:E$29, MATCH(Scaling!$F90, Scaling!$B$20:$B$29, 0))</f>
        <v>-3.3375315906203684E-2</v>
      </c>
      <c r="H81" s="107">
        <f>INDEX(Scaling!F$20:F$29, MATCH(Scaling!$F90, Scaling!$B$20:$B$29, 0))</f>
        <v>-2.4201010709072879E-2</v>
      </c>
      <c r="I81" s="107">
        <f>INDEX(Scaling!G$20:G$29, MATCH(Scaling!$F90, Scaling!$B$20:$B$29, 0))</f>
        <v>-1.9754294552546292E-2</v>
      </c>
      <c r="J81" s="107">
        <f>INDEX(Scaling!H$20:H$29, MATCH(Scaling!$F90, Scaling!$B$20:$B$29, 0))</f>
        <v>-1.9944556925700629E-2</v>
      </c>
      <c r="K81" s="107">
        <f>INDEX(Scaling!I$20:I$29, MATCH(Scaling!$F90, Scaling!$B$20:$B$29, 0))</f>
        <v>-1.9974316392409652E-2</v>
      </c>
      <c r="L81" s="107">
        <f>INDEX(Scaling!J$20:J$29, MATCH(Scaling!$F90, Scaling!$B$20:$B$29, 0))</f>
        <v>-1.9637602150136879E-2</v>
      </c>
      <c r="M81" s="107">
        <f>INDEX(Scaling!K$20:K$29, MATCH(Scaling!$F90, Scaling!$B$20:$B$29, 0))</f>
        <v>-1.9637602150136879E-2</v>
      </c>
      <c r="N81" s="120">
        <f t="shared" si="1"/>
        <v>-0.1565246987862069</v>
      </c>
    </row>
    <row r="82" spans="2:14" x14ac:dyDescent="0.5">
      <c r="B82" s="8" t="s">
        <v>166</v>
      </c>
      <c r="C82" s="29" t="s">
        <v>350</v>
      </c>
      <c r="D82" s="29" t="s">
        <v>103</v>
      </c>
      <c r="E82" s="51" t="s">
        <v>166</v>
      </c>
      <c r="F82" s="114"/>
      <c r="G82" s="114"/>
      <c r="H82" s="114"/>
      <c r="I82" s="114"/>
      <c r="J82" s="114"/>
      <c r="K82" s="114"/>
      <c r="L82" s="114"/>
      <c r="M82" s="114"/>
      <c r="N82" s="120">
        <f t="shared" si="1"/>
        <v>0</v>
      </c>
    </row>
    <row r="83" spans="2:14" x14ac:dyDescent="0.5">
      <c r="B83" s="8" t="s">
        <v>167</v>
      </c>
      <c r="C83" s="29" t="s">
        <v>350</v>
      </c>
      <c r="D83" s="29" t="s">
        <v>103</v>
      </c>
      <c r="E83" s="51" t="s">
        <v>168</v>
      </c>
      <c r="F83" s="64"/>
      <c r="G83" s="107">
        <f>INDEX(Scaling!E$20:E$29, MATCH(Scaling!$F92, Scaling!$B$20:$B$29, 0))</f>
        <v>0</v>
      </c>
      <c r="H83" s="107">
        <f>INDEX(Scaling!F$20:F$29, MATCH(Scaling!$F92, Scaling!$B$20:$B$29, 0))</f>
        <v>0</v>
      </c>
      <c r="I83" s="107">
        <f>INDEX(Scaling!G$20:G$29, MATCH(Scaling!$F92, Scaling!$B$20:$B$29, 0))</f>
        <v>0</v>
      </c>
      <c r="J83" s="107">
        <f>INDEX(Scaling!H$20:H$29, MATCH(Scaling!$F92, Scaling!$B$20:$B$29, 0))</f>
        <v>0</v>
      </c>
      <c r="K83" s="107">
        <f>INDEX(Scaling!I$20:I$29, MATCH(Scaling!$F92, Scaling!$B$20:$B$29, 0))</f>
        <v>0</v>
      </c>
      <c r="L83" s="107">
        <f>INDEX(Scaling!J$20:J$29, MATCH(Scaling!$F92, Scaling!$B$20:$B$29, 0))</f>
        <v>0</v>
      </c>
      <c r="M83" s="107">
        <f>INDEX(Scaling!K$20:K$29, MATCH(Scaling!$F92, Scaling!$B$20:$B$29, 0))</f>
        <v>0</v>
      </c>
      <c r="N83" s="120">
        <f t="shared" si="1"/>
        <v>0</v>
      </c>
    </row>
    <row r="84" spans="2:14" x14ac:dyDescent="0.5">
      <c r="B84" s="8" t="s">
        <v>169</v>
      </c>
      <c r="C84" s="29" t="s">
        <v>350</v>
      </c>
      <c r="D84" s="29" t="s">
        <v>103</v>
      </c>
      <c r="E84" s="51" t="s">
        <v>168</v>
      </c>
      <c r="F84" s="64"/>
      <c r="G84" s="107">
        <f>INDEX(Scaling!E$20:E$29, MATCH(Scaling!$F93, Scaling!$B$20:$B$29, 0))</f>
        <v>0</v>
      </c>
      <c r="H84" s="107">
        <f>INDEX(Scaling!F$20:F$29, MATCH(Scaling!$F93, Scaling!$B$20:$B$29, 0))</f>
        <v>0</v>
      </c>
      <c r="I84" s="107">
        <f>INDEX(Scaling!G$20:G$29, MATCH(Scaling!$F93, Scaling!$B$20:$B$29, 0))</f>
        <v>0</v>
      </c>
      <c r="J84" s="107">
        <f>INDEX(Scaling!H$20:H$29, MATCH(Scaling!$F93, Scaling!$B$20:$B$29, 0))</f>
        <v>0</v>
      </c>
      <c r="K84" s="107">
        <f>INDEX(Scaling!I$20:I$29, MATCH(Scaling!$F93, Scaling!$B$20:$B$29, 0))</f>
        <v>0</v>
      </c>
      <c r="L84" s="107">
        <f>INDEX(Scaling!J$20:J$29, MATCH(Scaling!$F93, Scaling!$B$20:$B$29, 0))</f>
        <v>0</v>
      </c>
      <c r="M84" s="107">
        <f>INDEX(Scaling!K$20:K$29, MATCH(Scaling!$F93, Scaling!$B$20:$B$29, 0))</f>
        <v>0</v>
      </c>
      <c r="N84" s="120">
        <f t="shared" si="1"/>
        <v>0</v>
      </c>
    </row>
    <row r="85" spans="2:14" x14ac:dyDescent="0.5">
      <c r="B85" s="8" t="s">
        <v>170</v>
      </c>
      <c r="C85" s="29" t="s">
        <v>350</v>
      </c>
      <c r="D85" s="29" t="s">
        <v>103</v>
      </c>
      <c r="E85" s="51" t="s">
        <v>168</v>
      </c>
      <c r="F85" s="64"/>
      <c r="G85" s="107">
        <f>INDEX(Scaling!E$20:E$29, MATCH(Scaling!$F94, Scaling!$B$20:$B$29, 0))</f>
        <v>0</v>
      </c>
      <c r="H85" s="107">
        <f>INDEX(Scaling!F$20:F$29, MATCH(Scaling!$F94, Scaling!$B$20:$B$29, 0))</f>
        <v>0</v>
      </c>
      <c r="I85" s="107">
        <f>INDEX(Scaling!G$20:G$29, MATCH(Scaling!$F94, Scaling!$B$20:$B$29, 0))</f>
        <v>0</v>
      </c>
      <c r="J85" s="107">
        <f>INDEX(Scaling!H$20:H$29, MATCH(Scaling!$F94, Scaling!$B$20:$B$29, 0))</f>
        <v>0</v>
      </c>
      <c r="K85" s="107">
        <f>INDEX(Scaling!I$20:I$29, MATCH(Scaling!$F94, Scaling!$B$20:$B$29, 0))</f>
        <v>0</v>
      </c>
      <c r="L85" s="107">
        <f>INDEX(Scaling!J$20:J$29, MATCH(Scaling!$F94, Scaling!$B$20:$B$29, 0))</f>
        <v>0</v>
      </c>
      <c r="M85" s="107">
        <f>INDEX(Scaling!K$20:K$29, MATCH(Scaling!$F94, Scaling!$B$20:$B$29, 0))</f>
        <v>0</v>
      </c>
      <c r="N85" s="120">
        <f t="shared" si="1"/>
        <v>0</v>
      </c>
    </row>
    <row r="86" spans="2:14" x14ac:dyDescent="0.5">
      <c r="B86" s="8" t="s">
        <v>171</v>
      </c>
      <c r="C86" s="29" t="s">
        <v>350</v>
      </c>
      <c r="D86" s="29" t="s">
        <v>103</v>
      </c>
      <c r="E86" s="51" t="s">
        <v>172</v>
      </c>
      <c r="F86" s="64"/>
      <c r="G86" s="107">
        <f>INDEX(Scaling!E$20:E$29, MATCH(Scaling!$F95, Scaling!$B$20:$B$29, 0))</f>
        <v>8.4477676581935501E-3</v>
      </c>
      <c r="H86" s="107">
        <f>INDEX(Scaling!F$20:F$29, MATCH(Scaling!$F95, Scaling!$B$20:$B$29, 0))</f>
        <v>1.2014921020487623E-2</v>
      </c>
      <c r="I86" s="107">
        <f>INDEX(Scaling!G$20:G$29, MATCH(Scaling!$F95, Scaling!$B$20:$B$29, 0))</f>
        <v>1.0910373157715814E-2</v>
      </c>
      <c r="J86" s="107">
        <f>INDEX(Scaling!H$20:H$29, MATCH(Scaling!$F95, Scaling!$B$20:$B$29, 0))</f>
        <v>8.1831243544470134E-3</v>
      </c>
      <c r="K86" s="107">
        <f>INDEX(Scaling!I$20:I$29, MATCH(Scaling!$F95, Scaling!$B$20:$B$29, 0))</f>
        <v>8.4952567237965848E-3</v>
      </c>
      <c r="L86" s="107">
        <f>INDEX(Scaling!J$20:J$29, MATCH(Scaling!$F95, Scaling!$B$20:$B$29, 0))</f>
        <v>3.0175689625731028E-3</v>
      </c>
      <c r="M86" s="107">
        <f>INDEX(Scaling!K$20:K$29, MATCH(Scaling!$F95, Scaling!$B$20:$B$29, 0))</f>
        <v>3.0175689625731028E-3</v>
      </c>
      <c r="N86" s="120">
        <f t="shared" si="1"/>
        <v>5.4086580839786791E-2</v>
      </c>
    </row>
    <row r="87" spans="2:14" x14ac:dyDescent="0.5">
      <c r="B87" s="8" t="s">
        <v>173</v>
      </c>
      <c r="C87" s="29" t="s">
        <v>350</v>
      </c>
      <c r="D87" s="29" t="s">
        <v>103</v>
      </c>
      <c r="E87" s="51" t="s">
        <v>172</v>
      </c>
      <c r="F87" s="64"/>
      <c r="G87" s="107">
        <f>INDEX(Scaling!E$20:E$29, MATCH(Scaling!$F96, Scaling!$B$20:$B$29, 0))</f>
        <v>0</v>
      </c>
      <c r="H87" s="107">
        <f>INDEX(Scaling!F$20:F$29, MATCH(Scaling!$F96, Scaling!$B$20:$B$29, 0))</f>
        <v>0</v>
      </c>
      <c r="I87" s="107">
        <f>INDEX(Scaling!G$20:G$29, MATCH(Scaling!$F96, Scaling!$B$20:$B$29, 0))</f>
        <v>0</v>
      </c>
      <c r="J87" s="107">
        <f>INDEX(Scaling!H$20:H$29, MATCH(Scaling!$F96, Scaling!$B$20:$B$29, 0))</f>
        <v>0</v>
      </c>
      <c r="K87" s="107">
        <f>INDEX(Scaling!I$20:I$29, MATCH(Scaling!$F96, Scaling!$B$20:$B$29, 0))</f>
        <v>0</v>
      </c>
      <c r="L87" s="107">
        <f>INDEX(Scaling!J$20:J$29, MATCH(Scaling!$F96, Scaling!$B$20:$B$29, 0))</f>
        <v>0</v>
      </c>
      <c r="M87" s="107">
        <f>INDEX(Scaling!K$20:K$29, MATCH(Scaling!$F96, Scaling!$B$20:$B$29, 0))</f>
        <v>0</v>
      </c>
      <c r="N87" s="120">
        <f t="shared" si="1"/>
        <v>0</v>
      </c>
    </row>
    <row r="88" spans="2:14" x14ac:dyDescent="0.5">
      <c r="B88" s="8" t="s">
        <v>174</v>
      </c>
      <c r="C88" s="29" t="s">
        <v>350</v>
      </c>
      <c r="D88" s="29" t="s">
        <v>103</v>
      </c>
      <c r="E88" s="51" t="s">
        <v>172</v>
      </c>
      <c r="F88" s="64"/>
      <c r="G88" s="107">
        <f>INDEX(Scaling!E$20:E$29, MATCH(Scaling!$F97, Scaling!$B$20:$B$29, 0))</f>
        <v>8.4477676581935501E-3</v>
      </c>
      <c r="H88" s="107">
        <f>INDEX(Scaling!F$20:F$29, MATCH(Scaling!$F97, Scaling!$B$20:$B$29, 0))</f>
        <v>1.2014921020487623E-2</v>
      </c>
      <c r="I88" s="107">
        <f>INDEX(Scaling!G$20:G$29, MATCH(Scaling!$F97, Scaling!$B$20:$B$29, 0))</f>
        <v>1.0910373157715814E-2</v>
      </c>
      <c r="J88" s="107">
        <f>INDEX(Scaling!H$20:H$29, MATCH(Scaling!$F97, Scaling!$B$20:$B$29, 0))</f>
        <v>8.1831243544470134E-3</v>
      </c>
      <c r="K88" s="107">
        <f>INDEX(Scaling!I$20:I$29, MATCH(Scaling!$F97, Scaling!$B$20:$B$29, 0))</f>
        <v>8.4952567237965848E-3</v>
      </c>
      <c r="L88" s="107">
        <f>INDEX(Scaling!J$20:J$29, MATCH(Scaling!$F97, Scaling!$B$20:$B$29, 0))</f>
        <v>3.0175689625731028E-3</v>
      </c>
      <c r="M88" s="107">
        <f>INDEX(Scaling!K$20:K$29, MATCH(Scaling!$F97, Scaling!$B$20:$B$29, 0))</f>
        <v>3.0175689625731028E-3</v>
      </c>
      <c r="N88" s="120">
        <f t="shared" si="1"/>
        <v>5.4086580839786791E-2</v>
      </c>
    </row>
    <row r="89" spans="2:14" x14ac:dyDescent="0.5">
      <c r="B89" s="53" t="s">
        <v>161</v>
      </c>
      <c r="C89" s="29" t="s">
        <v>350</v>
      </c>
      <c r="D89" s="29" t="s">
        <v>103</v>
      </c>
      <c r="E89" s="51" t="s">
        <v>172</v>
      </c>
      <c r="F89" s="64"/>
      <c r="G89" s="107">
        <f>INDEX(Scaling!E$20:E$29, MATCH(Scaling!$F98, Scaling!$B$20:$B$29, 0))</f>
        <v>-3.3375315906203684E-2</v>
      </c>
      <c r="H89" s="107">
        <f>INDEX(Scaling!F$20:F$29, MATCH(Scaling!$F98, Scaling!$B$20:$B$29, 0))</f>
        <v>-2.4201010709072879E-2</v>
      </c>
      <c r="I89" s="107">
        <f>INDEX(Scaling!G$20:G$29, MATCH(Scaling!$F98, Scaling!$B$20:$B$29, 0))</f>
        <v>-1.9754294552546292E-2</v>
      </c>
      <c r="J89" s="107">
        <f>INDEX(Scaling!H$20:H$29, MATCH(Scaling!$F98, Scaling!$B$20:$B$29, 0))</f>
        <v>-1.9944556925700629E-2</v>
      </c>
      <c r="K89" s="107">
        <f>INDEX(Scaling!I$20:I$29, MATCH(Scaling!$F98, Scaling!$B$20:$B$29, 0))</f>
        <v>-1.9974316392409652E-2</v>
      </c>
      <c r="L89" s="107">
        <f>INDEX(Scaling!J$20:J$29, MATCH(Scaling!$F98, Scaling!$B$20:$B$29, 0))</f>
        <v>-1.9637602150136879E-2</v>
      </c>
      <c r="M89" s="107">
        <f>INDEX(Scaling!K$20:K$29, MATCH(Scaling!$F98, Scaling!$B$20:$B$29, 0))</f>
        <v>-1.9637602150136879E-2</v>
      </c>
      <c r="N89" s="120">
        <f t="shared" si="1"/>
        <v>-0.1565246987862069</v>
      </c>
    </row>
    <row r="90" spans="2:14" x14ac:dyDescent="0.5">
      <c r="B90" s="53" t="s">
        <v>161</v>
      </c>
      <c r="C90" s="29" t="s">
        <v>350</v>
      </c>
      <c r="D90" s="29" t="s">
        <v>103</v>
      </c>
      <c r="E90" s="51" t="s">
        <v>172</v>
      </c>
      <c r="F90" s="64"/>
      <c r="G90" s="107">
        <f>INDEX(Scaling!E$20:E$29, MATCH(Scaling!$F99, Scaling!$B$20:$B$29, 0))</f>
        <v>-3.3375315906203684E-2</v>
      </c>
      <c r="H90" s="107">
        <f>INDEX(Scaling!F$20:F$29, MATCH(Scaling!$F99, Scaling!$B$20:$B$29, 0))</f>
        <v>-2.4201010709072879E-2</v>
      </c>
      <c r="I90" s="107">
        <f>INDEX(Scaling!G$20:G$29, MATCH(Scaling!$F99, Scaling!$B$20:$B$29, 0))</f>
        <v>-1.9754294552546292E-2</v>
      </c>
      <c r="J90" s="107">
        <f>INDEX(Scaling!H$20:H$29, MATCH(Scaling!$F99, Scaling!$B$20:$B$29, 0))</f>
        <v>-1.9944556925700629E-2</v>
      </c>
      <c r="K90" s="107">
        <f>INDEX(Scaling!I$20:I$29, MATCH(Scaling!$F99, Scaling!$B$20:$B$29, 0))</f>
        <v>-1.9974316392409652E-2</v>
      </c>
      <c r="L90" s="107">
        <f>INDEX(Scaling!J$20:J$29, MATCH(Scaling!$F99, Scaling!$B$20:$B$29, 0))</f>
        <v>-1.9637602150136879E-2</v>
      </c>
      <c r="M90" s="107">
        <f>INDEX(Scaling!K$20:K$29, MATCH(Scaling!$F99, Scaling!$B$20:$B$29, 0))</f>
        <v>-1.9637602150136879E-2</v>
      </c>
      <c r="N90" s="120">
        <f t="shared" si="1"/>
        <v>-0.1565246987862069</v>
      </c>
    </row>
    <row r="91" spans="2:14" x14ac:dyDescent="0.5">
      <c r="B91" s="53" t="s">
        <v>161</v>
      </c>
      <c r="C91" s="29" t="s">
        <v>350</v>
      </c>
      <c r="D91" s="29" t="s">
        <v>103</v>
      </c>
      <c r="E91" s="51" t="s">
        <v>172</v>
      </c>
      <c r="F91" s="64"/>
      <c r="G91" s="107">
        <f>INDEX(Scaling!E$20:E$29, MATCH(Scaling!$F100, Scaling!$B$20:$B$29, 0))</f>
        <v>-3.3375315906203684E-2</v>
      </c>
      <c r="H91" s="107">
        <f>INDEX(Scaling!F$20:F$29, MATCH(Scaling!$F100, Scaling!$B$20:$B$29, 0))</f>
        <v>-2.4201010709072879E-2</v>
      </c>
      <c r="I91" s="107">
        <f>INDEX(Scaling!G$20:G$29, MATCH(Scaling!$F100, Scaling!$B$20:$B$29, 0))</f>
        <v>-1.9754294552546292E-2</v>
      </c>
      <c r="J91" s="107">
        <f>INDEX(Scaling!H$20:H$29, MATCH(Scaling!$F100, Scaling!$B$20:$B$29, 0))</f>
        <v>-1.9944556925700629E-2</v>
      </c>
      <c r="K91" s="107">
        <f>INDEX(Scaling!I$20:I$29, MATCH(Scaling!$F100, Scaling!$B$20:$B$29, 0))</f>
        <v>-1.9974316392409652E-2</v>
      </c>
      <c r="L91" s="107">
        <f>INDEX(Scaling!J$20:J$29, MATCH(Scaling!$F100, Scaling!$B$20:$B$29, 0))</f>
        <v>-1.9637602150136879E-2</v>
      </c>
      <c r="M91" s="107">
        <f>INDEX(Scaling!K$20:K$29, MATCH(Scaling!$F100, Scaling!$B$20:$B$29, 0))</f>
        <v>-1.9637602150136879E-2</v>
      </c>
      <c r="N91" s="120">
        <f t="shared" si="1"/>
        <v>-0.1565246987862069</v>
      </c>
    </row>
    <row r="92" spans="2:14" x14ac:dyDescent="0.5">
      <c r="B92" s="8" t="s">
        <v>175</v>
      </c>
      <c r="C92" s="29" t="s">
        <v>350</v>
      </c>
      <c r="D92" s="29" t="s">
        <v>103</v>
      </c>
      <c r="E92" s="51" t="s">
        <v>176</v>
      </c>
      <c r="F92" s="64"/>
      <c r="G92" s="107">
        <f>INDEX(Scaling!E$20:E$29, MATCH(Scaling!$F101, Scaling!$B$20:$B$29, 0))</f>
        <v>0</v>
      </c>
      <c r="H92" s="107">
        <f>INDEX(Scaling!F$20:F$29, MATCH(Scaling!$F101, Scaling!$B$20:$B$29, 0))</f>
        <v>0</v>
      </c>
      <c r="I92" s="107">
        <f>INDEX(Scaling!G$20:G$29, MATCH(Scaling!$F101, Scaling!$B$20:$B$29, 0))</f>
        <v>0</v>
      </c>
      <c r="J92" s="107">
        <f>INDEX(Scaling!H$20:H$29, MATCH(Scaling!$F101, Scaling!$B$20:$B$29, 0))</f>
        <v>0</v>
      </c>
      <c r="K92" s="107">
        <f>INDEX(Scaling!I$20:I$29, MATCH(Scaling!$F101, Scaling!$B$20:$B$29, 0))</f>
        <v>0</v>
      </c>
      <c r="L92" s="107">
        <f>INDEX(Scaling!J$20:J$29, MATCH(Scaling!$F101, Scaling!$B$20:$B$29, 0))</f>
        <v>0</v>
      </c>
      <c r="M92" s="107">
        <f>INDEX(Scaling!K$20:K$29, MATCH(Scaling!$F101, Scaling!$B$20:$B$29, 0))</f>
        <v>0</v>
      </c>
      <c r="N92" s="120">
        <f t="shared" si="1"/>
        <v>0</v>
      </c>
    </row>
    <row r="93" spans="2:14" x14ac:dyDescent="0.5">
      <c r="B93" s="8" t="s">
        <v>177</v>
      </c>
      <c r="C93" s="29" t="s">
        <v>350</v>
      </c>
      <c r="D93" s="29" t="s">
        <v>103</v>
      </c>
      <c r="E93" s="51" t="s">
        <v>176</v>
      </c>
      <c r="F93" s="64"/>
      <c r="G93" s="107">
        <f>INDEX(Scaling!E$20:E$29, MATCH(Scaling!$F102, Scaling!$B$20:$B$29, 0))</f>
        <v>0</v>
      </c>
      <c r="H93" s="107">
        <f>INDEX(Scaling!F$20:F$29, MATCH(Scaling!$F102, Scaling!$B$20:$B$29, 0))</f>
        <v>0</v>
      </c>
      <c r="I93" s="107">
        <f>INDEX(Scaling!G$20:G$29, MATCH(Scaling!$F102, Scaling!$B$20:$B$29, 0))</f>
        <v>0</v>
      </c>
      <c r="J93" s="107">
        <f>INDEX(Scaling!H$20:H$29, MATCH(Scaling!$F102, Scaling!$B$20:$B$29, 0))</f>
        <v>0</v>
      </c>
      <c r="K93" s="107">
        <f>INDEX(Scaling!I$20:I$29, MATCH(Scaling!$F102, Scaling!$B$20:$B$29, 0))</f>
        <v>0</v>
      </c>
      <c r="L93" s="107">
        <f>INDEX(Scaling!J$20:J$29, MATCH(Scaling!$F102, Scaling!$B$20:$B$29, 0))</f>
        <v>0</v>
      </c>
      <c r="M93" s="107">
        <f>INDEX(Scaling!K$20:K$29, MATCH(Scaling!$F102, Scaling!$B$20:$B$29, 0))</f>
        <v>0</v>
      </c>
      <c r="N93" s="120">
        <f t="shared" si="1"/>
        <v>0</v>
      </c>
    </row>
    <row r="94" spans="2:14" x14ac:dyDescent="0.5">
      <c r="B94" s="8" t="s">
        <v>178</v>
      </c>
      <c r="C94" s="29" t="s">
        <v>350</v>
      </c>
      <c r="D94" s="29" t="s">
        <v>103</v>
      </c>
      <c r="E94" s="51" t="s">
        <v>176</v>
      </c>
      <c r="F94" s="64"/>
      <c r="G94" s="107">
        <f>INDEX(Scaling!E$20:E$29, MATCH(Scaling!$F103, Scaling!$B$20:$B$29, 0))</f>
        <v>0</v>
      </c>
      <c r="H94" s="107">
        <f>INDEX(Scaling!F$20:F$29, MATCH(Scaling!$F103, Scaling!$B$20:$B$29, 0))</f>
        <v>0</v>
      </c>
      <c r="I94" s="107">
        <f>INDEX(Scaling!G$20:G$29, MATCH(Scaling!$F103, Scaling!$B$20:$B$29, 0))</f>
        <v>0</v>
      </c>
      <c r="J94" s="107">
        <f>INDEX(Scaling!H$20:H$29, MATCH(Scaling!$F103, Scaling!$B$20:$B$29, 0))</f>
        <v>0</v>
      </c>
      <c r="K94" s="107">
        <f>INDEX(Scaling!I$20:I$29, MATCH(Scaling!$F103, Scaling!$B$20:$B$29, 0))</f>
        <v>0</v>
      </c>
      <c r="L94" s="107">
        <f>INDEX(Scaling!J$20:J$29, MATCH(Scaling!$F103, Scaling!$B$20:$B$29, 0))</f>
        <v>0</v>
      </c>
      <c r="M94" s="107">
        <f>INDEX(Scaling!K$20:K$29, MATCH(Scaling!$F103, Scaling!$B$20:$B$29, 0))</f>
        <v>0</v>
      </c>
      <c r="N94" s="120">
        <f t="shared" si="1"/>
        <v>0</v>
      </c>
    </row>
    <row r="95" spans="2:14" x14ac:dyDescent="0.5">
      <c r="B95" s="8" t="s">
        <v>179</v>
      </c>
      <c r="C95" s="29" t="s">
        <v>350</v>
      </c>
      <c r="D95" s="29" t="s">
        <v>103</v>
      </c>
      <c r="E95" s="51" t="s">
        <v>176</v>
      </c>
      <c r="F95" s="64"/>
      <c r="G95" s="107">
        <f>INDEX(Scaling!E$20:E$29, MATCH(Scaling!$F104, Scaling!$B$20:$B$29, 0))</f>
        <v>0</v>
      </c>
      <c r="H95" s="107">
        <f>INDEX(Scaling!F$20:F$29, MATCH(Scaling!$F104, Scaling!$B$20:$B$29, 0))</f>
        <v>0</v>
      </c>
      <c r="I95" s="107">
        <f>INDEX(Scaling!G$20:G$29, MATCH(Scaling!$F104, Scaling!$B$20:$B$29, 0))</f>
        <v>0</v>
      </c>
      <c r="J95" s="107">
        <f>INDEX(Scaling!H$20:H$29, MATCH(Scaling!$F104, Scaling!$B$20:$B$29, 0))</f>
        <v>0</v>
      </c>
      <c r="K95" s="107">
        <f>INDEX(Scaling!I$20:I$29, MATCH(Scaling!$F104, Scaling!$B$20:$B$29, 0))</f>
        <v>0</v>
      </c>
      <c r="L95" s="107">
        <f>INDEX(Scaling!J$20:J$29, MATCH(Scaling!$F104, Scaling!$B$20:$B$29, 0))</f>
        <v>0</v>
      </c>
      <c r="M95" s="107">
        <f>INDEX(Scaling!K$20:K$29, MATCH(Scaling!$F104, Scaling!$B$20:$B$29, 0))</f>
        <v>0</v>
      </c>
      <c r="N95" s="120">
        <f t="shared" si="1"/>
        <v>0</v>
      </c>
    </row>
    <row r="96" spans="2:14" x14ac:dyDescent="0.5">
      <c r="B96" s="53" t="s">
        <v>180</v>
      </c>
      <c r="C96" s="29" t="s">
        <v>350</v>
      </c>
      <c r="D96" s="29" t="s">
        <v>103</v>
      </c>
      <c r="E96" s="51" t="s">
        <v>176</v>
      </c>
      <c r="F96" s="64"/>
      <c r="G96" s="107">
        <f>INDEX(Scaling!E$20:E$29, MATCH(Scaling!$F105, Scaling!$B$20:$B$29, 0))</f>
        <v>0</v>
      </c>
      <c r="H96" s="107">
        <f>INDEX(Scaling!F$20:F$29, MATCH(Scaling!$F105, Scaling!$B$20:$B$29, 0))</f>
        <v>0</v>
      </c>
      <c r="I96" s="107">
        <f>INDEX(Scaling!G$20:G$29, MATCH(Scaling!$F105, Scaling!$B$20:$B$29, 0))</f>
        <v>0</v>
      </c>
      <c r="J96" s="107">
        <f>INDEX(Scaling!H$20:H$29, MATCH(Scaling!$F105, Scaling!$B$20:$B$29, 0))</f>
        <v>0</v>
      </c>
      <c r="K96" s="107">
        <f>INDEX(Scaling!I$20:I$29, MATCH(Scaling!$F105, Scaling!$B$20:$B$29, 0))</f>
        <v>0</v>
      </c>
      <c r="L96" s="107">
        <f>INDEX(Scaling!J$20:J$29, MATCH(Scaling!$F105, Scaling!$B$20:$B$29, 0))</f>
        <v>0</v>
      </c>
      <c r="M96" s="107">
        <f>INDEX(Scaling!K$20:K$29, MATCH(Scaling!$F105, Scaling!$B$20:$B$29, 0))</f>
        <v>0</v>
      </c>
      <c r="N96" s="120">
        <f t="shared" si="1"/>
        <v>0</v>
      </c>
    </row>
    <row r="97" spans="2:14" x14ac:dyDescent="0.5">
      <c r="B97" s="53" t="s">
        <v>181</v>
      </c>
      <c r="C97" s="29" t="s">
        <v>350</v>
      </c>
      <c r="D97" s="29" t="s">
        <v>103</v>
      </c>
      <c r="E97" s="51" t="s">
        <v>176</v>
      </c>
      <c r="F97" s="64"/>
      <c r="G97" s="107">
        <f>INDEX(Scaling!E$20:E$29, MATCH(Scaling!$F106, Scaling!$B$20:$B$29, 0))</f>
        <v>0</v>
      </c>
      <c r="H97" s="107">
        <f>INDEX(Scaling!F$20:F$29, MATCH(Scaling!$F106, Scaling!$B$20:$B$29, 0))</f>
        <v>0</v>
      </c>
      <c r="I97" s="107">
        <f>INDEX(Scaling!G$20:G$29, MATCH(Scaling!$F106, Scaling!$B$20:$B$29, 0))</f>
        <v>0</v>
      </c>
      <c r="J97" s="107">
        <f>INDEX(Scaling!H$20:H$29, MATCH(Scaling!$F106, Scaling!$B$20:$B$29, 0))</f>
        <v>0</v>
      </c>
      <c r="K97" s="107">
        <f>INDEX(Scaling!I$20:I$29, MATCH(Scaling!$F106, Scaling!$B$20:$B$29, 0))</f>
        <v>0</v>
      </c>
      <c r="L97" s="107">
        <f>INDEX(Scaling!J$20:J$29, MATCH(Scaling!$F106, Scaling!$B$20:$B$29, 0))</f>
        <v>0</v>
      </c>
      <c r="M97" s="107">
        <f>INDEX(Scaling!K$20:K$29, MATCH(Scaling!$F106, Scaling!$B$20:$B$29, 0))</f>
        <v>0</v>
      </c>
      <c r="N97" s="120">
        <f t="shared" si="1"/>
        <v>0</v>
      </c>
    </row>
    <row r="98" spans="2:14" x14ac:dyDescent="0.5">
      <c r="B98" s="53" t="s">
        <v>161</v>
      </c>
      <c r="C98" s="29" t="s">
        <v>350</v>
      </c>
      <c r="D98" s="29" t="s">
        <v>103</v>
      </c>
      <c r="E98" s="51" t="s">
        <v>176</v>
      </c>
      <c r="F98" s="64"/>
      <c r="G98" s="107">
        <f>INDEX(Scaling!E$20:E$29, MATCH(Scaling!$F107, Scaling!$B$20:$B$29, 0))</f>
        <v>-3.3375315906203684E-2</v>
      </c>
      <c r="H98" s="107">
        <f>INDEX(Scaling!F$20:F$29, MATCH(Scaling!$F107, Scaling!$B$20:$B$29, 0))</f>
        <v>-2.4201010709072879E-2</v>
      </c>
      <c r="I98" s="107">
        <f>INDEX(Scaling!G$20:G$29, MATCH(Scaling!$F107, Scaling!$B$20:$B$29, 0))</f>
        <v>-1.9754294552546292E-2</v>
      </c>
      <c r="J98" s="107">
        <f>INDEX(Scaling!H$20:H$29, MATCH(Scaling!$F107, Scaling!$B$20:$B$29, 0))</f>
        <v>-1.9944556925700629E-2</v>
      </c>
      <c r="K98" s="107">
        <f>INDEX(Scaling!I$20:I$29, MATCH(Scaling!$F107, Scaling!$B$20:$B$29, 0))</f>
        <v>-1.9974316392409652E-2</v>
      </c>
      <c r="L98" s="107">
        <f>INDEX(Scaling!J$20:J$29, MATCH(Scaling!$F107, Scaling!$B$20:$B$29, 0))</f>
        <v>-1.9637602150136879E-2</v>
      </c>
      <c r="M98" s="107">
        <f>INDEX(Scaling!K$20:K$29, MATCH(Scaling!$F107, Scaling!$B$20:$B$29, 0))</f>
        <v>-1.9637602150136879E-2</v>
      </c>
      <c r="N98" s="120">
        <f t="shared" si="1"/>
        <v>-0.1565246987862069</v>
      </c>
    </row>
    <row r="99" spans="2:14" x14ac:dyDescent="0.5">
      <c r="B99" s="53" t="s">
        <v>161</v>
      </c>
      <c r="C99" s="29" t="s">
        <v>350</v>
      </c>
      <c r="D99" s="29" t="s">
        <v>103</v>
      </c>
      <c r="E99" s="51" t="s">
        <v>176</v>
      </c>
      <c r="F99" s="64"/>
      <c r="G99" s="107">
        <f>INDEX(Scaling!E$20:E$29, MATCH(Scaling!$F108, Scaling!$B$20:$B$29, 0))</f>
        <v>-3.3375315906203684E-2</v>
      </c>
      <c r="H99" s="107">
        <f>INDEX(Scaling!F$20:F$29, MATCH(Scaling!$F108, Scaling!$B$20:$B$29, 0))</f>
        <v>-2.4201010709072879E-2</v>
      </c>
      <c r="I99" s="107">
        <f>INDEX(Scaling!G$20:G$29, MATCH(Scaling!$F108, Scaling!$B$20:$B$29, 0))</f>
        <v>-1.9754294552546292E-2</v>
      </c>
      <c r="J99" s="107">
        <f>INDEX(Scaling!H$20:H$29, MATCH(Scaling!$F108, Scaling!$B$20:$B$29, 0))</f>
        <v>-1.9944556925700629E-2</v>
      </c>
      <c r="K99" s="107">
        <f>INDEX(Scaling!I$20:I$29, MATCH(Scaling!$F108, Scaling!$B$20:$B$29, 0))</f>
        <v>-1.9974316392409652E-2</v>
      </c>
      <c r="L99" s="107">
        <f>INDEX(Scaling!J$20:J$29, MATCH(Scaling!$F108, Scaling!$B$20:$B$29, 0))</f>
        <v>-1.9637602150136879E-2</v>
      </c>
      <c r="M99" s="107">
        <f>INDEX(Scaling!K$20:K$29, MATCH(Scaling!$F108, Scaling!$B$20:$B$29, 0))</f>
        <v>-1.9637602150136879E-2</v>
      </c>
      <c r="N99" s="120">
        <f t="shared" si="1"/>
        <v>-0.1565246987862069</v>
      </c>
    </row>
    <row r="100" spans="2:14" x14ac:dyDescent="0.5">
      <c r="B100" s="53" t="s">
        <v>161</v>
      </c>
      <c r="C100" s="29" t="s">
        <v>350</v>
      </c>
      <c r="D100" s="29" t="s">
        <v>103</v>
      </c>
      <c r="E100" s="51" t="s">
        <v>176</v>
      </c>
      <c r="F100" s="64"/>
      <c r="G100" s="107">
        <f>INDEX(Scaling!E$20:E$29, MATCH(Scaling!$F109, Scaling!$B$20:$B$29, 0))</f>
        <v>-3.3375315906203684E-2</v>
      </c>
      <c r="H100" s="107">
        <f>INDEX(Scaling!F$20:F$29, MATCH(Scaling!$F109, Scaling!$B$20:$B$29, 0))</f>
        <v>-2.4201010709072879E-2</v>
      </c>
      <c r="I100" s="107">
        <f>INDEX(Scaling!G$20:G$29, MATCH(Scaling!$F109, Scaling!$B$20:$B$29, 0))</f>
        <v>-1.9754294552546292E-2</v>
      </c>
      <c r="J100" s="107">
        <f>INDEX(Scaling!H$20:H$29, MATCH(Scaling!$F109, Scaling!$B$20:$B$29, 0))</f>
        <v>-1.9944556925700629E-2</v>
      </c>
      <c r="K100" s="107">
        <f>INDEX(Scaling!I$20:I$29, MATCH(Scaling!$F109, Scaling!$B$20:$B$29, 0))</f>
        <v>-1.9974316392409652E-2</v>
      </c>
      <c r="L100" s="107">
        <f>INDEX(Scaling!J$20:J$29, MATCH(Scaling!$F109, Scaling!$B$20:$B$29, 0))</f>
        <v>-1.9637602150136879E-2</v>
      </c>
      <c r="M100" s="107">
        <f>INDEX(Scaling!K$20:K$29, MATCH(Scaling!$F109, Scaling!$B$20:$B$29, 0))</f>
        <v>-1.9637602150136879E-2</v>
      </c>
      <c r="N100" s="120">
        <f t="shared" si="1"/>
        <v>-0.1565246987862069</v>
      </c>
    </row>
    <row r="101" spans="2:14" x14ac:dyDescent="0.5">
      <c r="B101" s="8" t="s">
        <v>182</v>
      </c>
      <c r="C101" s="29" t="s">
        <v>350</v>
      </c>
      <c r="D101" s="29" t="s">
        <v>103</v>
      </c>
      <c r="E101" s="51" t="s">
        <v>182</v>
      </c>
      <c r="F101" s="64"/>
      <c r="G101" s="107">
        <f>INDEX(Scaling!E$20:E$29, MATCH(Scaling!$F110, Scaling!$B$20:$B$29, 0))</f>
        <v>-3.3375315906203684E-2</v>
      </c>
      <c r="H101" s="107">
        <f>INDEX(Scaling!F$20:F$29, MATCH(Scaling!$F110, Scaling!$B$20:$B$29, 0))</f>
        <v>-2.4201010709072879E-2</v>
      </c>
      <c r="I101" s="107">
        <f>INDEX(Scaling!G$20:G$29, MATCH(Scaling!$F110, Scaling!$B$20:$B$29, 0))</f>
        <v>-1.9754294552546292E-2</v>
      </c>
      <c r="J101" s="107">
        <f>INDEX(Scaling!H$20:H$29, MATCH(Scaling!$F110, Scaling!$B$20:$B$29, 0))</f>
        <v>-1.9944556925700629E-2</v>
      </c>
      <c r="K101" s="107">
        <f>INDEX(Scaling!I$20:I$29, MATCH(Scaling!$F110, Scaling!$B$20:$B$29, 0))</f>
        <v>-1.9974316392409652E-2</v>
      </c>
      <c r="L101" s="107">
        <f>INDEX(Scaling!J$20:J$29, MATCH(Scaling!$F110, Scaling!$B$20:$B$29, 0))</f>
        <v>-1.9637602150136879E-2</v>
      </c>
      <c r="M101" s="107">
        <f>INDEX(Scaling!K$20:K$29, MATCH(Scaling!$F110, Scaling!$B$20:$B$29, 0))</f>
        <v>-1.9637602150136879E-2</v>
      </c>
      <c r="N101" s="120">
        <f t="shared" si="1"/>
        <v>-0.1565246987862069</v>
      </c>
    </row>
    <row r="102" spans="2:14" x14ac:dyDescent="0.5">
      <c r="B102" s="8" t="s">
        <v>183</v>
      </c>
      <c r="C102" s="29" t="s">
        <v>350</v>
      </c>
      <c r="D102" s="29" t="s">
        <v>103</v>
      </c>
      <c r="E102" s="51" t="s">
        <v>184</v>
      </c>
      <c r="F102" s="64"/>
      <c r="G102" s="107">
        <f>INDEX(Scaling!E$20:E$29, MATCH(Scaling!$F111, Scaling!$B$20:$B$29, 0))</f>
        <v>8.4477676581935501E-3</v>
      </c>
      <c r="H102" s="107">
        <f>INDEX(Scaling!F$20:F$29, MATCH(Scaling!$F111, Scaling!$B$20:$B$29, 0))</f>
        <v>1.2014921020487623E-2</v>
      </c>
      <c r="I102" s="107">
        <f>INDEX(Scaling!G$20:G$29, MATCH(Scaling!$F111, Scaling!$B$20:$B$29, 0))</f>
        <v>1.0910373157715814E-2</v>
      </c>
      <c r="J102" s="107">
        <f>INDEX(Scaling!H$20:H$29, MATCH(Scaling!$F111, Scaling!$B$20:$B$29, 0))</f>
        <v>8.1831243544470134E-3</v>
      </c>
      <c r="K102" s="107">
        <f>INDEX(Scaling!I$20:I$29, MATCH(Scaling!$F111, Scaling!$B$20:$B$29, 0))</f>
        <v>8.4952567237965848E-3</v>
      </c>
      <c r="L102" s="107">
        <f>INDEX(Scaling!J$20:J$29, MATCH(Scaling!$F111, Scaling!$B$20:$B$29, 0))</f>
        <v>3.0175689625731028E-3</v>
      </c>
      <c r="M102" s="107">
        <f>INDEX(Scaling!K$20:K$29, MATCH(Scaling!$F111, Scaling!$B$20:$B$29, 0))</f>
        <v>3.0175689625731028E-3</v>
      </c>
      <c r="N102" s="120">
        <f t="shared" si="1"/>
        <v>5.4086580839786791E-2</v>
      </c>
    </row>
    <row r="103" spans="2:14" x14ac:dyDescent="0.5">
      <c r="B103" s="8" t="s">
        <v>185</v>
      </c>
      <c r="C103" s="29" t="s">
        <v>350</v>
      </c>
      <c r="D103" s="29" t="s">
        <v>103</v>
      </c>
      <c r="E103" s="51" t="s">
        <v>184</v>
      </c>
      <c r="F103" s="64"/>
      <c r="G103" s="107">
        <f>INDEX(Scaling!E$20:E$29, MATCH(Scaling!$F112, Scaling!$B$20:$B$29, 0))</f>
        <v>8.4477676581935501E-3</v>
      </c>
      <c r="H103" s="107">
        <f>INDEX(Scaling!F$20:F$29, MATCH(Scaling!$F112, Scaling!$B$20:$B$29, 0))</f>
        <v>1.2014921020487623E-2</v>
      </c>
      <c r="I103" s="107">
        <f>INDEX(Scaling!G$20:G$29, MATCH(Scaling!$F112, Scaling!$B$20:$B$29, 0))</f>
        <v>1.0910373157715814E-2</v>
      </c>
      <c r="J103" s="107">
        <f>INDEX(Scaling!H$20:H$29, MATCH(Scaling!$F112, Scaling!$B$20:$B$29, 0))</f>
        <v>8.1831243544470134E-3</v>
      </c>
      <c r="K103" s="107">
        <f>INDEX(Scaling!I$20:I$29, MATCH(Scaling!$F112, Scaling!$B$20:$B$29, 0))</f>
        <v>8.4952567237965848E-3</v>
      </c>
      <c r="L103" s="107">
        <f>INDEX(Scaling!J$20:J$29, MATCH(Scaling!$F112, Scaling!$B$20:$B$29, 0))</f>
        <v>3.0175689625731028E-3</v>
      </c>
      <c r="M103" s="107">
        <f>INDEX(Scaling!K$20:K$29, MATCH(Scaling!$F112, Scaling!$B$20:$B$29, 0))</f>
        <v>3.0175689625731028E-3</v>
      </c>
      <c r="N103" s="120">
        <f t="shared" si="1"/>
        <v>5.4086580839786791E-2</v>
      </c>
    </row>
    <row r="104" spans="2:14" x14ac:dyDescent="0.5">
      <c r="B104" s="8" t="s">
        <v>186</v>
      </c>
      <c r="C104" s="29" t="s">
        <v>350</v>
      </c>
      <c r="D104" s="29" t="s">
        <v>103</v>
      </c>
      <c r="E104" s="51" t="s">
        <v>184</v>
      </c>
      <c r="F104" s="64"/>
      <c r="G104" s="107">
        <f>INDEX(Scaling!E$20:E$29, MATCH(Scaling!$F113, Scaling!$B$20:$B$29, 0))</f>
        <v>8.4477676581935501E-3</v>
      </c>
      <c r="H104" s="107">
        <f>INDEX(Scaling!F$20:F$29, MATCH(Scaling!$F113, Scaling!$B$20:$B$29, 0))</f>
        <v>1.2014921020487623E-2</v>
      </c>
      <c r="I104" s="107">
        <f>INDEX(Scaling!G$20:G$29, MATCH(Scaling!$F113, Scaling!$B$20:$B$29, 0))</f>
        <v>1.0910373157715814E-2</v>
      </c>
      <c r="J104" s="107">
        <f>INDEX(Scaling!H$20:H$29, MATCH(Scaling!$F113, Scaling!$B$20:$B$29, 0))</f>
        <v>8.1831243544470134E-3</v>
      </c>
      <c r="K104" s="107">
        <f>INDEX(Scaling!I$20:I$29, MATCH(Scaling!$F113, Scaling!$B$20:$B$29, 0))</f>
        <v>8.4952567237965848E-3</v>
      </c>
      <c r="L104" s="107">
        <f>INDEX(Scaling!J$20:J$29, MATCH(Scaling!$F113, Scaling!$B$20:$B$29, 0))</f>
        <v>3.0175689625731028E-3</v>
      </c>
      <c r="M104" s="107">
        <f>INDEX(Scaling!K$20:K$29, MATCH(Scaling!$F113, Scaling!$B$20:$B$29, 0))</f>
        <v>3.0175689625731028E-3</v>
      </c>
      <c r="N104" s="120">
        <f t="shared" si="1"/>
        <v>5.4086580839786791E-2</v>
      </c>
    </row>
    <row r="105" spans="2:14" x14ac:dyDescent="0.5">
      <c r="B105" s="8" t="s">
        <v>161</v>
      </c>
      <c r="C105" s="29" t="s">
        <v>350</v>
      </c>
      <c r="D105" s="29" t="s">
        <v>103</v>
      </c>
      <c r="E105" s="51" t="s">
        <v>184</v>
      </c>
      <c r="F105" s="64"/>
      <c r="G105" s="107">
        <f>INDEX(Scaling!E$20:E$29, MATCH(Scaling!$F114, Scaling!$B$20:$B$29, 0))</f>
        <v>-3.3375315906203684E-2</v>
      </c>
      <c r="H105" s="107">
        <f>INDEX(Scaling!F$20:F$29, MATCH(Scaling!$F114, Scaling!$B$20:$B$29, 0))</f>
        <v>-2.4201010709072879E-2</v>
      </c>
      <c r="I105" s="107">
        <f>INDEX(Scaling!G$20:G$29, MATCH(Scaling!$F114, Scaling!$B$20:$B$29, 0))</f>
        <v>-1.9754294552546292E-2</v>
      </c>
      <c r="J105" s="107">
        <f>INDEX(Scaling!H$20:H$29, MATCH(Scaling!$F114, Scaling!$B$20:$B$29, 0))</f>
        <v>-1.9944556925700629E-2</v>
      </c>
      <c r="K105" s="107">
        <f>INDEX(Scaling!I$20:I$29, MATCH(Scaling!$F114, Scaling!$B$20:$B$29, 0))</f>
        <v>-1.9974316392409652E-2</v>
      </c>
      <c r="L105" s="107">
        <f>INDEX(Scaling!J$20:J$29, MATCH(Scaling!$F114, Scaling!$B$20:$B$29, 0))</f>
        <v>-1.9637602150136879E-2</v>
      </c>
      <c r="M105" s="107">
        <f>INDEX(Scaling!K$20:K$29, MATCH(Scaling!$F114, Scaling!$B$20:$B$29, 0))</f>
        <v>-1.9637602150136879E-2</v>
      </c>
      <c r="N105" s="120">
        <f t="shared" si="1"/>
        <v>-0.1565246987862069</v>
      </c>
    </row>
    <row r="106" spans="2:14" x14ac:dyDescent="0.5">
      <c r="B106" s="53" t="s">
        <v>161</v>
      </c>
      <c r="C106" s="29" t="s">
        <v>350</v>
      </c>
      <c r="D106" s="29" t="s">
        <v>103</v>
      </c>
      <c r="E106" s="51" t="s">
        <v>184</v>
      </c>
      <c r="F106" s="64"/>
      <c r="G106" s="107">
        <f>INDEX(Scaling!E$20:E$29, MATCH(Scaling!$F115, Scaling!$B$20:$B$29, 0))</f>
        <v>-3.3375315906203684E-2</v>
      </c>
      <c r="H106" s="107">
        <f>INDEX(Scaling!F$20:F$29, MATCH(Scaling!$F115, Scaling!$B$20:$B$29, 0))</f>
        <v>-2.4201010709072879E-2</v>
      </c>
      <c r="I106" s="107">
        <f>INDEX(Scaling!G$20:G$29, MATCH(Scaling!$F115, Scaling!$B$20:$B$29, 0))</f>
        <v>-1.9754294552546292E-2</v>
      </c>
      <c r="J106" s="107">
        <f>INDEX(Scaling!H$20:H$29, MATCH(Scaling!$F115, Scaling!$B$20:$B$29, 0))</f>
        <v>-1.9944556925700629E-2</v>
      </c>
      <c r="K106" s="107">
        <f>INDEX(Scaling!I$20:I$29, MATCH(Scaling!$F115, Scaling!$B$20:$B$29, 0))</f>
        <v>-1.9974316392409652E-2</v>
      </c>
      <c r="L106" s="107">
        <f>INDEX(Scaling!J$20:J$29, MATCH(Scaling!$F115, Scaling!$B$20:$B$29, 0))</f>
        <v>-1.9637602150136879E-2</v>
      </c>
      <c r="M106" s="107">
        <f>INDEX(Scaling!K$20:K$29, MATCH(Scaling!$F115, Scaling!$B$20:$B$29, 0))</f>
        <v>-1.9637602150136879E-2</v>
      </c>
      <c r="N106" s="120">
        <f t="shared" si="1"/>
        <v>-0.1565246987862069</v>
      </c>
    </row>
    <row r="107" spans="2:14" x14ac:dyDescent="0.5">
      <c r="B107" s="53" t="s">
        <v>161</v>
      </c>
      <c r="C107" s="29" t="s">
        <v>350</v>
      </c>
      <c r="D107" s="29" t="s">
        <v>103</v>
      </c>
      <c r="E107" s="51" t="s">
        <v>184</v>
      </c>
      <c r="F107" s="64"/>
      <c r="G107" s="107">
        <f>INDEX(Scaling!E$20:E$29, MATCH(Scaling!$F116, Scaling!$B$20:$B$29, 0))</f>
        <v>-3.3375315906203684E-2</v>
      </c>
      <c r="H107" s="107">
        <f>INDEX(Scaling!F$20:F$29, MATCH(Scaling!$F116, Scaling!$B$20:$B$29, 0))</f>
        <v>-2.4201010709072879E-2</v>
      </c>
      <c r="I107" s="107">
        <f>INDEX(Scaling!G$20:G$29, MATCH(Scaling!$F116, Scaling!$B$20:$B$29, 0))</f>
        <v>-1.9754294552546292E-2</v>
      </c>
      <c r="J107" s="107">
        <f>INDEX(Scaling!H$20:H$29, MATCH(Scaling!$F116, Scaling!$B$20:$B$29, 0))</f>
        <v>-1.9944556925700629E-2</v>
      </c>
      <c r="K107" s="107">
        <f>INDEX(Scaling!I$20:I$29, MATCH(Scaling!$F116, Scaling!$B$20:$B$29, 0))</f>
        <v>-1.9974316392409652E-2</v>
      </c>
      <c r="L107" s="107">
        <f>INDEX(Scaling!J$20:J$29, MATCH(Scaling!$F116, Scaling!$B$20:$B$29, 0))</f>
        <v>-1.9637602150136879E-2</v>
      </c>
      <c r="M107" s="107">
        <f>INDEX(Scaling!K$20:K$29, MATCH(Scaling!$F116, Scaling!$B$20:$B$29, 0))</f>
        <v>-1.9637602150136879E-2</v>
      </c>
      <c r="N107" s="120">
        <f t="shared" si="1"/>
        <v>-0.1565246987862069</v>
      </c>
    </row>
    <row r="108" spans="2:14" x14ac:dyDescent="0.5">
      <c r="B108" s="53" t="s">
        <v>187</v>
      </c>
      <c r="C108" s="29" t="s">
        <v>350</v>
      </c>
      <c r="D108" s="29" t="s">
        <v>103</v>
      </c>
      <c r="E108" s="51" t="s">
        <v>187</v>
      </c>
      <c r="F108" s="64"/>
      <c r="G108" s="213"/>
      <c r="H108" s="213"/>
      <c r="I108" s="213"/>
      <c r="J108" s="213"/>
      <c r="K108" s="213"/>
      <c r="L108" s="213"/>
      <c r="M108" s="213"/>
      <c r="N108" s="120"/>
    </row>
    <row r="109" spans="2:14" x14ac:dyDescent="0.5">
      <c r="B109" s="8" t="s">
        <v>161</v>
      </c>
      <c r="C109" s="29" t="s">
        <v>350</v>
      </c>
      <c r="D109" s="29" t="s">
        <v>103</v>
      </c>
      <c r="E109" s="51" t="s">
        <v>187</v>
      </c>
      <c r="F109" s="64"/>
      <c r="G109" s="107">
        <f>INDEX(Scaling!E$20:E$29, MATCH(Scaling!$F118, Scaling!$B$20:$B$29, 0))</f>
        <v>-3.3375315906203684E-2</v>
      </c>
      <c r="H109" s="107">
        <f>INDEX(Scaling!F$20:F$29, MATCH(Scaling!$F118, Scaling!$B$20:$B$29, 0))</f>
        <v>-2.4201010709072879E-2</v>
      </c>
      <c r="I109" s="107">
        <f>INDEX(Scaling!G$20:G$29, MATCH(Scaling!$F118, Scaling!$B$20:$B$29, 0))</f>
        <v>-1.9754294552546292E-2</v>
      </c>
      <c r="J109" s="107">
        <f>INDEX(Scaling!H$20:H$29, MATCH(Scaling!$F118, Scaling!$B$20:$B$29, 0))</f>
        <v>-1.9944556925700629E-2</v>
      </c>
      <c r="K109" s="107">
        <f>INDEX(Scaling!I$20:I$29, MATCH(Scaling!$F118, Scaling!$B$20:$B$29, 0))</f>
        <v>-1.9974316392409652E-2</v>
      </c>
      <c r="L109" s="107">
        <f>INDEX(Scaling!J$20:J$29, MATCH(Scaling!$F118, Scaling!$B$20:$B$29, 0))</f>
        <v>-1.9637602150136879E-2</v>
      </c>
      <c r="M109" s="107">
        <f>INDEX(Scaling!K$20:K$29, MATCH(Scaling!$F118, Scaling!$B$20:$B$29, 0))</f>
        <v>-1.9637602150136879E-2</v>
      </c>
      <c r="N109" s="120">
        <f t="shared" si="1"/>
        <v>-0.1565246987862069</v>
      </c>
    </row>
    <row r="110" spans="2:14" x14ac:dyDescent="0.5">
      <c r="B110" s="53" t="s">
        <v>161</v>
      </c>
      <c r="C110" s="29" t="s">
        <v>350</v>
      </c>
      <c r="D110" s="29" t="s">
        <v>103</v>
      </c>
      <c r="E110" s="51" t="s">
        <v>187</v>
      </c>
      <c r="F110" s="64"/>
      <c r="G110" s="107">
        <f>INDEX(Scaling!E$20:E$29, MATCH(Scaling!$F119, Scaling!$B$20:$B$29, 0))</f>
        <v>-3.3375315906203684E-2</v>
      </c>
      <c r="H110" s="107">
        <f>INDEX(Scaling!F$20:F$29, MATCH(Scaling!$F119, Scaling!$B$20:$B$29, 0))</f>
        <v>-2.4201010709072879E-2</v>
      </c>
      <c r="I110" s="107">
        <f>INDEX(Scaling!G$20:G$29, MATCH(Scaling!$F119, Scaling!$B$20:$B$29, 0))</f>
        <v>-1.9754294552546292E-2</v>
      </c>
      <c r="J110" s="107">
        <f>INDEX(Scaling!H$20:H$29, MATCH(Scaling!$F119, Scaling!$B$20:$B$29, 0))</f>
        <v>-1.9944556925700629E-2</v>
      </c>
      <c r="K110" s="107">
        <f>INDEX(Scaling!I$20:I$29, MATCH(Scaling!$F119, Scaling!$B$20:$B$29, 0))</f>
        <v>-1.9974316392409652E-2</v>
      </c>
      <c r="L110" s="107">
        <f>INDEX(Scaling!J$20:J$29, MATCH(Scaling!$F119, Scaling!$B$20:$B$29, 0))</f>
        <v>-1.9637602150136879E-2</v>
      </c>
      <c r="M110" s="107">
        <f>INDEX(Scaling!K$20:K$29, MATCH(Scaling!$F119, Scaling!$B$20:$B$29, 0))</f>
        <v>-1.9637602150136879E-2</v>
      </c>
      <c r="N110" s="120">
        <f t="shared" si="1"/>
        <v>-0.1565246987862069</v>
      </c>
    </row>
    <row r="111" spans="2:14" x14ac:dyDescent="0.5">
      <c r="B111" s="53" t="s">
        <v>161</v>
      </c>
      <c r="C111" s="29" t="s">
        <v>350</v>
      </c>
      <c r="D111" s="29" t="s">
        <v>103</v>
      </c>
      <c r="E111" s="51" t="s">
        <v>187</v>
      </c>
      <c r="F111" s="64"/>
      <c r="G111" s="107">
        <f>INDEX(Scaling!E$20:E$29, MATCH(Scaling!$F120, Scaling!$B$20:$B$29, 0))</f>
        <v>-3.3375315906203684E-2</v>
      </c>
      <c r="H111" s="107">
        <f>INDEX(Scaling!F$20:F$29, MATCH(Scaling!$F120, Scaling!$B$20:$B$29, 0))</f>
        <v>-2.4201010709072879E-2</v>
      </c>
      <c r="I111" s="107">
        <f>INDEX(Scaling!G$20:G$29, MATCH(Scaling!$F120, Scaling!$B$20:$B$29, 0))</f>
        <v>-1.9754294552546292E-2</v>
      </c>
      <c r="J111" s="107">
        <f>INDEX(Scaling!H$20:H$29, MATCH(Scaling!$F120, Scaling!$B$20:$B$29, 0))</f>
        <v>-1.9944556925700629E-2</v>
      </c>
      <c r="K111" s="107">
        <f>INDEX(Scaling!I$20:I$29, MATCH(Scaling!$F120, Scaling!$B$20:$B$29, 0))</f>
        <v>-1.9974316392409652E-2</v>
      </c>
      <c r="L111" s="107">
        <f>INDEX(Scaling!J$20:J$29, MATCH(Scaling!$F120, Scaling!$B$20:$B$29, 0))</f>
        <v>-1.9637602150136879E-2</v>
      </c>
      <c r="M111" s="107">
        <f>INDEX(Scaling!K$20:K$29, MATCH(Scaling!$F120, Scaling!$B$20:$B$29, 0))</f>
        <v>-1.9637602150136879E-2</v>
      </c>
      <c r="N111" s="120">
        <f t="shared" si="1"/>
        <v>-0.1565246987862069</v>
      </c>
    </row>
    <row r="113" spans="1:14" ht="19" thickBot="1" x14ac:dyDescent="0.55000000000000004">
      <c r="A113" s="14" t="s">
        <v>394</v>
      </c>
    </row>
    <row r="114" spans="1:14" ht="19" thickTop="1" x14ac:dyDescent="0.5">
      <c r="A114" s="23"/>
    </row>
    <row r="115" spans="1:14" ht="17" thickBot="1" x14ac:dyDescent="0.55000000000000004">
      <c r="B115" s="27" t="s">
        <v>143</v>
      </c>
      <c r="C115" s="27" t="s">
        <v>96</v>
      </c>
      <c r="D115" s="27" t="s">
        <v>97</v>
      </c>
      <c r="E115" s="50" t="s">
        <v>144</v>
      </c>
      <c r="F115" s="12">
        <v>2024</v>
      </c>
      <c r="G115" s="12">
        <v>2025</v>
      </c>
      <c r="H115" s="12">
        <v>2026</v>
      </c>
      <c r="I115" s="12">
        <v>2027</v>
      </c>
      <c r="J115" s="12">
        <v>2028</v>
      </c>
      <c r="K115" s="12">
        <v>2029</v>
      </c>
      <c r="L115" s="12">
        <v>2030</v>
      </c>
      <c r="M115" s="12">
        <v>2031</v>
      </c>
      <c r="N115" s="10" t="s">
        <v>57</v>
      </c>
    </row>
    <row r="116" spans="1:14" x14ac:dyDescent="0.5">
      <c r="B116" s="8" t="s">
        <v>146</v>
      </c>
      <c r="C116" s="29" t="s">
        <v>350</v>
      </c>
      <c r="D116" s="29" t="s">
        <v>103</v>
      </c>
      <c r="E116" s="51" t="s">
        <v>147</v>
      </c>
      <c r="F116" s="64"/>
      <c r="G116" s="90">
        <f>Scaling!$G71</f>
        <v>0</v>
      </c>
      <c r="H116" s="90">
        <f>Scaling!$G71</f>
        <v>0</v>
      </c>
      <c r="I116" s="90">
        <f>Scaling!$G71</f>
        <v>0</v>
      </c>
      <c r="J116" s="90">
        <f>Scaling!$G71</f>
        <v>0</v>
      </c>
      <c r="K116" s="90">
        <f>Scaling!$G71</f>
        <v>0</v>
      </c>
      <c r="L116" s="90">
        <f>Scaling!$G71</f>
        <v>0</v>
      </c>
      <c r="M116" s="90">
        <f>Scaling!$G71</f>
        <v>0</v>
      </c>
      <c r="N116" s="120">
        <f t="shared" ref="N116:N165" si="2">SUM(G116:M116)</f>
        <v>0</v>
      </c>
    </row>
    <row r="117" spans="1:14" x14ac:dyDescent="0.5">
      <c r="B117" s="8" t="s">
        <v>148</v>
      </c>
      <c r="C117" s="29" t="s">
        <v>350</v>
      </c>
      <c r="D117" s="29" t="s">
        <v>103</v>
      </c>
      <c r="E117" s="51" t="s">
        <v>147</v>
      </c>
      <c r="F117" s="64"/>
      <c r="G117" s="90">
        <f>Scaling!$G72</f>
        <v>0</v>
      </c>
      <c r="H117" s="90">
        <f>Scaling!$G72</f>
        <v>0</v>
      </c>
      <c r="I117" s="90">
        <f>Scaling!$G72</f>
        <v>0</v>
      </c>
      <c r="J117" s="90">
        <f>Scaling!$G72</f>
        <v>0</v>
      </c>
      <c r="K117" s="90">
        <f>Scaling!$G72</f>
        <v>0</v>
      </c>
      <c r="L117" s="90">
        <f>Scaling!$G72</f>
        <v>0</v>
      </c>
      <c r="M117" s="90">
        <f>Scaling!$G72</f>
        <v>0</v>
      </c>
      <c r="N117" s="120">
        <f t="shared" si="2"/>
        <v>0</v>
      </c>
    </row>
    <row r="118" spans="1:14" x14ac:dyDescent="0.5">
      <c r="B118" s="8" t="s">
        <v>149</v>
      </c>
      <c r="C118" s="29" t="s">
        <v>350</v>
      </c>
      <c r="D118" s="29" t="s">
        <v>103</v>
      </c>
      <c r="E118" s="51" t="s">
        <v>147</v>
      </c>
      <c r="F118" s="64"/>
      <c r="G118" s="90">
        <f>Scaling!$G73</f>
        <v>0</v>
      </c>
      <c r="H118" s="90">
        <f>Scaling!$G73</f>
        <v>0</v>
      </c>
      <c r="I118" s="90">
        <f>Scaling!$G73</f>
        <v>0</v>
      </c>
      <c r="J118" s="90">
        <f>Scaling!$G73</f>
        <v>0</v>
      </c>
      <c r="K118" s="90">
        <f>Scaling!$G73</f>
        <v>0</v>
      </c>
      <c r="L118" s="90">
        <f>Scaling!$G73</f>
        <v>0</v>
      </c>
      <c r="M118" s="90">
        <f>Scaling!$G73</f>
        <v>0</v>
      </c>
      <c r="N118" s="120">
        <f t="shared" si="2"/>
        <v>0</v>
      </c>
    </row>
    <row r="119" spans="1:14" x14ac:dyDescent="0.5">
      <c r="B119" s="8" t="s">
        <v>150</v>
      </c>
      <c r="C119" s="29" t="s">
        <v>350</v>
      </c>
      <c r="D119" s="29" t="s">
        <v>103</v>
      </c>
      <c r="E119" s="51" t="s">
        <v>147</v>
      </c>
      <c r="F119" s="64"/>
      <c r="G119" s="90">
        <f>Scaling!$G74</f>
        <v>0</v>
      </c>
      <c r="H119" s="90">
        <f>Scaling!$G74</f>
        <v>0</v>
      </c>
      <c r="I119" s="90">
        <f>Scaling!$G74</f>
        <v>0</v>
      </c>
      <c r="J119" s="90">
        <f>Scaling!$G74</f>
        <v>0</v>
      </c>
      <c r="K119" s="90">
        <f>Scaling!$G74</f>
        <v>0</v>
      </c>
      <c r="L119" s="90">
        <f>Scaling!$G74</f>
        <v>0</v>
      </c>
      <c r="M119" s="90">
        <f>Scaling!$G74</f>
        <v>0</v>
      </c>
      <c r="N119" s="120">
        <f t="shared" si="2"/>
        <v>0</v>
      </c>
    </row>
    <row r="120" spans="1:14" x14ac:dyDescent="0.5">
      <c r="B120" s="8" t="s">
        <v>151</v>
      </c>
      <c r="C120" s="29" t="s">
        <v>350</v>
      </c>
      <c r="D120" s="29" t="s">
        <v>103</v>
      </c>
      <c r="E120" s="51" t="s">
        <v>147</v>
      </c>
      <c r="F120" s="64"/>
      <c r="G120" s="90">
        <f>Scaling!$G75</f>
        <v>0</v>
      </c>
      <c r="H120" s="90">
        <f>Scaling!$G75</f>
        <v>0</v>
      </c>
      <c r="I120" s="90">
        <f>Scaling!$G75</f>
        <v>0</v>
      </c>
      <c r="J120" s="90">
        <f>Scaling!$G75</f>
        <v>0</v>
      </c>
      <c r="K120" s="90">
        <f>Scaling!$G75</f>
        <v>0</v>
      </c>
      <c r="L120" s="90">
        <f>Scaling!$G75</f>
        <v>0</v>
      </c>
      <c r="M120" s="90">
        <f>Scaling!$G75</f>
        <v>0</v>
      </c>
      <c r="N120" s="120">
        <f t="shared" si="2"/>
        <v>0</v>
      </c>
    </row>
    <row r="121" spans="1:14" x14ac:dyDescent="0.5">
      <c r="B121" s="8" t="s">
        <v>152</v>
      </c>
      <c r="C121" s="29" t="s">
        <v>350</v>
      </c>
      <c r="D121" s="29" t="s">
        <v>103</v>
      </c>
      <c r="E121" s="51" t="s">
        <v>147</v>
      </c>
      <c r="F121" s="64"/>
      <c r="G121" s="90">
        <f>Scaling!$G76</f>
        <v>0</v>
      </c>
      <c r="H121" s="90">
        <f>Scaling!$G76</f>
        <v>0</v>
      </c>
      <c r="I121" s="90">
        <f>Scaling!$G76</f>
        <v>0</v>
      </c>
      <c r="J121" s="90">
        <f>Scaling!$G76</f>
        <v>0</v>
      </c>
      <c r="K121" s="90">
        <f>Scaling!$G76</f>
        <v>0</v>
      </c>
      <c r="L121" s="90">
        <f>Scaling!$G76</f>
        <v>0</v>
      </c>
      <c r="M121" s="90">
        <f>Scaling!$G76</f>
        <v>0</v>
      </c>
      <c r="N121" s="120">
        <f t="shared" si="2"/>
        <v>0</v>
      </c>
    </row>
    <row r="122" spans="1:14" x14ac:dyDescent="0.5">
      <c r="B122" s="8" t="s">
        <v>153</v>
      </c>
      <c r="C122" s="29" t="s">
        <v>350</v>
      </c>
      <c r="D122" s="29" t="s">
        <v>103</v>
      </c>
      <c r="E122" s="51" t="s">
        <v>147</v>
      </c>
      <c r="F122" s="64"/>
      <c r="G122" s="90">
        <f>Scaling!$G77</f>
        <v>0</v>
      </c>
      <c r="H122" s="90">
        <f>Scaling!$G77</f>
        <v>0</v>
      </c>
      <c r="I122" s="90">
        <f>Scaling!$G77</f>
        <v>0</v>
      </c>
      <c r="J122" s="90">
        <f>Scaling!$G77</f>
        <v>0</v>
      </c>
      <c r="K122" s="90">
        <f>Scaling!$G77</f>
        <v>0</v>
      </c>
      <c r="L122" s="90">
        <f>Scaling!$G77</f>
        <v>0</v>
      </c>
      <c r="M122" s="90">
        <f>Scaling!$G77</f>
        <v>0</v>
      </c>
      <c r="N122" s="120">
        <f t="shared" si="2"/>
        <v>0</v>
      </c>
    </row>
    <row r="123" spans="1:14" x14ac:dyDescent="0.5">
      <c r="B123" s="8" t="s">
        <v>154</v>
      </c>
      <c r="C123" s="29" t="s">
        <v>350</v>
      </c>
      <c r="D123" s="29" t="s">
        <v>103</v>
      </c>
      <c r="E123" s="51" t="s">
        <v>147</v>
      </c>
      <c r="F123" s="64"/>
      <c r="G123" s="90">
        <f>Scaling!$G78</f>
        <v>0</v>
      </c>
      <c r="H123" s="90">
        <f>Scaling!$G78</f>
        <v>0</v>
      </c>
      <c r="I123" s="90">
        <f>Scaling!$G78</f>
        <v>0</v>
      </c>
      <c r="J123" s="90">
        <f>Scaling!$G78</f>
        <v>0</v>
      </c>
      <c r="K123" s="90">
        <f>Scaling!$G78</f>
        <v>0</v>
      </c>
      <c r="L123" s="90">
        <f>Scaling!$G78</f>
        <v>0</v>
      </c>
      <c r="M123" s="90">
        <f>Scaling!$G78</f>
        <v>0</v>
      </c>
      <c r="N123" s="120">
        <f t="shared" si="2"/>
        <v>0</v>
      </c>
    </row>
    <row r="124" spans="1:14" x14ac:dyDescent="0.5">
      <c r="B124" s="8" t="s">
        <v>155</v>
      </c>
      <c r="C124" s="29" t="s">
        <v>350</v>
      </c>
      <c r="D124" s="29" t="s">
        <v>103</v>
      </c>
      <c r="E124" s="51" t="s">
        <v>147</v>
      </c>
      <c r="F124" s="64"/>
      <c r="G124" s="90">
        <f>Scaling!$G79</f>
        <v>0</v>
      </c>
      <c r="H124" s="90">
        <f>Scaling!$G79</f>
        <v>0</v>
      </c>
      <c r="I124" s="90">
        <f>Scaling!$G79</f>
        <v>0</v>
      </c>
      <c r="J124" s="90">
        <f>Scaling!$G79</f>
        <v>0</v>
      </c>
      <c r="K124" s="90">
        <f>Scaling!$G79</f>
        <v>0</v>
      </c>
      <c r="L124" s="90">
        <f>Scaling!$G79</f>
        <v>0</v>
      </c>
      <c r="M124" s="90">
        <f>Scaling!$G79</f>
        <v>0</v>
      </c>
      <c r="N124" s="120">
        <f t="shared" si="2"/>
        <v>0</v>
      </c>
    </row>
    <row r="125" spans="1:14" x14ac:dyDescent="0.5">
      <c r="B125" s="8" t="s">
        <v>156</v>
      </c>
      <c r="C125" s="29" t="s">
        <v>350</v>
      </c>
      <c r="D125" s="29" t="s">
        <v>103</v>
      </c>
      <c r="E125" s="51" t="s">
        <v>147</v>
      </c>
      <c r="F125" s="64"/>
      <c r="G125" s="90">
        <f>Scaling!$G80</f>
        <v>0</v>
      </c>
      <c r="H125" s="90">
        <f>Scaling!$G80</f>
        <v>0</v>
      </c>
      <c r="I125" s="90">
        <f>Scaling!$G80</f>
        <v>0</v>
      </c>
      <c r="J125" s="90">
        <f>Scaling!$G80</f>
        <v>0</v>
      </c>
      <c r="K125" s="90">
        <f>Scaling!$G80</f>
        <v>0</v>
      </c>
      <c r="L125" s="90">
        <f>Scaling!$G80</f>
        <v>0</v>
      </c>
      <c r="M125" s="90">
        <f>Scaling!$G80</f>
        <v>0</v>
      </c>
      <c r="N125" s="120">
        <f t="shared" si="2"/>
        <v>0</v>
      </c>
    </row>
    <row r="126" spans="1:14" x14ac:dyDescent="0.5">
      <c r="B126" s="8" t="s">
        <v>157</v>
      </c>
      <c r="C126" s="29" t="s">
        <v>350</v>
      </c>
      <c r="D126" s="29" t="s">
        <v>103</v>
      </c>
      <c r="E126" s="51" t="s">
        <v>147</v>
      </c>
      <c r="F126" s="64"/>
      <c r="G126" s="90">
        <f>Scaling!$G81</f>
        <v>0</v>
      </c>
      <c r="H126" s="90">
        <f>Scaling!$G81</f>
        <v>0</v>
      </c>
      <c r="I126" s="90">
        <f>Scaling!$G81</f>
        <v>0</v>
      </c>
      <c r="J126" s="90">
        <f>Scaling!$G81</f>
        <v>0</v>
      </c>
      <c r="K126" s="90">
        <f>Scaling!$G81</f>
        <v>0</v>
      </c>
      <c r="L126" s="90">
        <f>Scaling!$G81</f>
        <v>0</v>
      </c>
      <c r="M126" s="90">
        <f>Scaling!$G81</f>
        <v>0</v>
      </c>
      <c r="N126" s="120">
        <f t="shared" si="2"/>
        <v>0</v>
      </c>
    </row>
    <row r="127" spans="1:14" x14ac:dyDescent="0.5">
      <c r="B127" s="8" t="s">
        <v>158</v>
      </c>
      <c r="C127" s="29" t="s">
        <v>350</v>
      </c>
      <c r="D127" s="29" t="s">
        <v>103</v>
      </c>
      <c r="E127" s="51" t="s">
        <v>147</v>
      </c>
      <c r="F127" s="64"/>
      <c r="G127" s="90">
        <f>Scaling!$G82</f>
        <v>0</v>
      </c>
      <c r="H127" s="90">
        <f>Scaling!$G82</f>
        <v>0</v>
      </c>
      <c r="I127" s="90">
        <f>Scaling!$G82</f>
        <v>0</v>
      </c>
      <c r="J127" s="90">
        <f>Scaling!$G82</f>
        <v>0</v>
      </c>
      <c r="K127" s="90">
        <f>Scaling!$G82</f>
        <v>0</v>
      </c>
      <c r="L127" s="90">
        <f>Scaling!$G82</f>
        <v>0</v>
      </c>
      <c r="M127" s="90">
        <f>Scaling!$G82</f>
        <v>0</v>
      </c>
      <c r="N127" s="120">
        <f t="shared" si="2"/>
        <v>0</v>
      </c>
    </row>
    <row r="128" spans="1:14" x14ac:dyDescent="0.5">
      <c r="B128" s="8" t="s">
        <v>159</v>
      </c>
      <c r="C128" s="29" t="s">
        <v>350</v>
      </c>
      <c r="D128" s="29" t="s">
        <v>103</v>
      </c>
      <c r="E128" s="51" t="s">
        <v>147</v>
      </c>
      <c r="F128" s="64"/>
      <c r="G128" s="90">
        <f>Scaling!$G83</f>
        <v>0</v>
      </c>
      <c r="H128" s="90">
        <f>Scaling!$G83</f>
        <v>0</v>
      </c>
      <c r="I128" s="90">
        <f>Scaling!$G83</f>
        <v>0</v>
      </c>
      <c r="J128" s="90">
        <f>Scaling!$G83</f>
        <v>0</v>
      </c>
      <c r="K128" s="90">
        <f>Scaling!$G83</f>
        <v>0</v>
      </c>
      <c r="L128" s="90">
        <f>Scaling!$G83</f>
        <v>0</v>
      </c>
      <c r="M128" s="90">
        <f>Scaling!$G83</f>
        <v>0</v>
      </c>
      <c r="N128" s="120">
        <f t="shared" si="2"/>
        <v>0</v>
      </c>
    </row>
    <row r="129" spans="2:14" x14ac:dyDescent="0.5">
      <c r="B129" s="53" t="s">
        <v>160</v>
      </c>
      <c r="C129" s="29" t="s">
        <v>350</v>
      </c>
      <c r="D129" s="29" t="s">
        <v>103</v>
      </c>
      <c r="E129" s="51" t="s">
        <v>147</v>
      </c>
      <c r="F129" s="64"/>
      <c r="G129" s="90">
        <f>Scaling!$G84</f>
        <v>0</v>
      </c>
      <c r="H129" s="90">
        <f>Scaling!$G84</f>
        <v>0</v>
      </c>
      <c r="I129" s="90">
        <f>Scaling!$G84</f>
        <v>0</v>
      </c>
      <c r="J129" s="90">
        <f>Scaling!$G84</f>
        <v>0</v>
      </c>
      <c r="K129" s="90">
        <f>Scaling!$G84</f>
        <v>0</v>
      </c>
      <c r="L129" s="90">
        <f>Scaling!$G84</f>
        <v>0</v>
      </c>
      <c r="M129" s="90">
        <f>Scaling!$G84</f>
        <v>0</v>
      </c>
      <c r="N129" s="120">
        <f t="shared" si="2"/>
        <v>0</v>
      </c>
    </row>
    <row r="130" spans="2:14" x14ac:dyDescent="0.5">
      <c r="B130" s="53" t="s">
        <v>161</v>
      </c>
      <c r="C130" s="29" t="s">
        <v>350</v>
      </c>
      <c r="D130" s="29" t="s">
        <v>103</v>
      </c>
      <c r="E130" s="51" t="s">
        <v>147</v>
      </c>
      <c r="F130" s="64"/>
      <c r="G130" s="90">
        <f>Scaling!$G85</f>
        <v>0</v>
      </c>
      <c r="H130" s="90">
        <f>Scaling!$G85</f>
        <v>0</v>
      </c>
      <c r="I130" s="90">
        <f>Scaling!$G85</f>
        <v>0</v>
      </c>
      <c r="J130" s="90">
        <f>Scaling!$G85</f>
        <v>0</v>
      </c>
      <c r="K130" s="90">
        <f>Scaling!$G85</f>
        <v>0</v>
      </c>
      <c r="L130" s="90">
        <f>Scaling!$G85</f>
        <v>0</v>
      </c>
      <c r="M130" s="90">
        <f>Scaling!$G85</f>
        <v>0</v>
      </c>
      <c r="N130" s="120">
        <f t="shared" si="2"/>
        <v>0</v>
      </c>
    </row>
    <row r="131" spans="2:14" x14ac:dyDescent="0.5">
      <c r="B131" s="53" t="s">
        <v>161</v>
      </c>
      <c r="C131" s="29" t="s">
        <v>350</v>
      </c>
      <c r="D131" s="29" t="s">
        <v>103</v>
      </c>
      <c r="E131" s="51" t="s">
        <v>147</v>
      </c>
      <c r="F131" s="64"/>
      <c r="G131" s="90">
        <f>Scaling!$G86</f>
        <v>0</v>
      </c>
      <c r="H131" s="90">
        <f>Scaling!$G86</f>
        <v>0</v>
      </c>
      <c r="I131" s="90">
        <f>Scaling!$G86</f>
        <v>0</v>
      </c>
      <c r="J131" s="90">
        <f>Scaling!$G86</f>
        <v>0</v>
      </c>
      <c r="K131" s="90">
        <f>Scaling!$G86</f>
        <v>0</v>
      </c>
      <c r="L131" s="90">
        <f>Scaling!$G86</f>
        <v>0</v>
      </c>
      <c r="M131" s="90">
        <f>Scaling!$G86</f>
        <v>0</v>
      </c>
      <c r="N131" s="120">
        <f t="shared" si="2"/>
        <v>0</v>
      </c>
    </row>
    <row r="132" spans="2:14" x14ac:dyDescent="0.5">
      <c r="B132" s="8" t="s">
        <v>163</v>
      </c>
      <c r="C132" s="29" t="s">
        <v>350</v>
      </c>
      <c r="D132" s="29" t="s">
        <v>103</v>
      </c>
      <c r="E132" s="51" t="s">
        <v>162</v>
      </c>
      <c r="F132" s="64"/>
      <c r="G132" s="90">
        <f>Scaling!$G87</f>
        <v>0.01</v>
      </c>
      <c r="H132" s="90">
        <f>Scaling!$G87</f>
        <v>0.01</v>
      </c>
      <c r="I132" s="90">
        <f>Scaling!$G87</f>
        <v>0.01</v>
      </c>
      <c r="J132" s="90">
        <f>Scaling!$G87</f>
        <v>0.01</v>
      </c>
      <c r="K132" s="90">
        <f>Scaling!$G87</f>
        <v>0.01</v>
      </c>
      <c r="L132" s="90">
        <f>Scaling!$G87</f>
        <v>0.01</v>
      </c>
      <c r="M132" s="90">
        <f>Scaling!$G87</f>
        <v>0.01</v>
      </c>
      <c r="N132" s="120">
        <f t="shared" si="2"/>
        <v>7.0000000000000007E-2</v>
      </c>
    </row>
    <row r="133" spans="2:14" x14ac:dyDescent="0.5">
      <c r="B133" s="8" t="s">
        <v>164</v>
      </c>
      <c r="C133" s="29" t="s">
        <v>350</v>
      </c>
      <c r="D133" s="29" t="s">
        <v>103</v>
      </c>
      <c r="E133" s="51" t="s">
        <v>162</v>
      </c>
      <c r="F133" s="64"/>
      <c r="G133" s="90">
        <f>Scaling!$G88</f>
        <v>0.01</v>
      </c>
      <c r="H133" s="90">
        <f>Scaling!$G88</f>
        <v>0.01</v>
      </c>
      <c r="I133" s="90">
        <f>Scaling!$G88</f>
        <v>0.01</v>
      </c>
      <c r="J133" s="90">
        <f>Scaling!$G88</f>
        <v>0.01</v>
      </c>
      <c r="K133" s="90">
        <f>Scaling!$G88</f>
        <v>0.01</v>
      </c>
      <c r="L133" s="90">
        <f>Scaling!$G88</f>
        <v>0.01</v>
      </c>
      <c r="M133" s="90">
        <f>Scaling!$G88</f>
        <v>0.01</v>
      </c>
      <c r="N133" s="120">
        <f t="shared" si="2"/>
        <v>7.0000000000000007E-2</v>
      </c>
    </row>
    <row r="134" spans="2:14" x14ac:dyDescent="0.5">
      <c r="B134" s="53" t="s">
        <v>165</v>
      </c>
      <c r="C134" s="29" t="s">
        <v>350</v>
      </c>
      <c r="D134" s="29" t="s">
        <v>103</v>
      </c>
      <c r="E134" s="51" t="s">
        <v>162</v>
      </c>
      <c r="F134" s="64"/>
      <c r="G134" s="90">
        <f>Scaling!$G89</f>
        <v>0.01</v>
      </c>
      <c r="H134" s="90">
        <f>Scaling!$G89</f>
        <v>0.01</v>
      </c>
      <c r="I134" s="90">
        <f>Scaling!$G89</f>
        <v>0.01</v>
      </c>
      <c r="J134" s="90">
        <f>Scaling!$G89</f>
        <v>0.01</v>
      </c>
      <c r="K134" s="90">
        <f>Scaling!$G89</f>
        <v>0.01</v>
      </c>
      <c r="L134" s="90">
        <f>Scaling!$G89</f>
        <v>0.01</v>
      </c>
      <c r="M134" s="90">
        <f>Scaling!$G89</f>
        <v>0.01</v>
      </c>
      <c r="N134" s="120">
        <f t="shared" si="2"/>
        <v>7.0000000000000007E-2</v>
      </c>
    </row>
    <row r="135" spans="2:14" x14ac:dyDescent="0.5">
      <c r="B135" s="53" t="s">
        <v>161</v>
      </c>
      <c r="C135" s="29" t="s">
        <v>350</v>
      </c>
      <c r="D135" s="29" t="s">
        <v>103</v>
      </c>
      <c r="E135" s="51" t="s">
        <v>162</v>
      </c>
      <c r="F135" s="64"/>
      <c r="G135" s="90">
        <f>Scaling!$G90</f>
        <v>0</v>
      </c>
      <c r="H135" s="90">
        <f>Scaling!$G90</f>
        <v>0</v>
      </c>
      <c r="I135" s="90">
        <f>Scaling!$G90</f>
        <v>0</v>
      </c>
      <c r="J135" s="90">
        <f>Scaling!$G90</f>
        <v>0</v>
      </c>
      <c r="K135" s="90">
        <f>Scaling!$G90</f>
        <v>0</v>
      </c>
      <c r="L135" s="90">
        <f>Scaling!$G90</f>
        <v>0</v>
      </c>
      <c r="M135" s="90">
        <f>Scaling!$G90</f>
        <v>0</v>
      </c>
      <c r="N135" s="120">
        <f t="shared" si="2"/>
        <v>0</v>
      </c>
    </row>
    <row r="136" spans="2:14" x14ac:dyDescent="0.5">
      <c r="B136" s="8" t="s">
        <v>166</v>
      </c>
      <c r="C136" s="29" t="s">
        <v>350</v>
      </c>
      <c r="D136" s="29" t="s">
        <v>103</v>
      </c>
      <c r="E136" s="51" t="s">
        <v>166</v>
      </c>
      <c r="F136" s="114"/>
      <c r="G136" s="114"/>
      <c r="H136" s="114"/>
      <c r="I136" s="114"/>
      <c r="J136" s="114"/>
      <c r="K136" s="114"/>
      <c r="L136" s="114"/>
      <c r="M136" s="114"/>
      <c r="N136" s="120">
        <f t="shared" si="2"/>
        <v>0</v>
      </c>
    </row>
    <row r="137" spans="2:14" x14ac:dyDescent="0.5">
      <c r="B137" s="8" t="s">
        <v>167</v>
      </c>
      <c r="C137" s="29" t="s">
        <v>350</v>
      </c>
      <c r="D137" s="29" t="s">
        <v>103</v>
      </c>
      <c r="E137" s="51" t="s">
        <v>168</v>
      </c>
      <c r="F137" s="64"/>
      <c r="G137" s="90">
        <f>Scaling!$G92</f>
        <v>0.01</v>
      </c>
      <c r="H137" s="90">
        <f>Scaling!$G92</f>
        <v>0.01</v>
      </c>
      <c r="I137" s="90">
        <f>Scaling!$G92</f>
        <v>0.01</v>
      </c>
      <c r="J137" s="90">
        <f>Scaling!$G92</f>
        <v>0.01</v>
      </c>
      <c r="K137" s="90">
        <f>Scaling!$G92</f>
        <v>0.01</v>
      </c>
      <c r="L137" s="90">
        <f>Scaling!$G92</f>
        <v>0.01</v>
      </c>
      <c r="M137" s="90">
        <f>Scaling!$G92</f>
        <v>0.01</v>
      </c>
      <c r="N137" s="120">
        <f t="shared" si="2"/>
        <v>7.0000000000000007E-2</v>
      </c>
    </row>
    <row r="138" spans="2:14" x14ac:dyDescent="0.5">
      <c r="B138" s="8" t="s">
        <v>169</v>
      </c>
      <c r="C138" s="29" t="s">
        <v>350</v>
      </c>
      <c r="D138" s="29" t="s">
        <v>103</v>
      </c>
      <c r="E138" s="51" t="s">
        <v>168</v>
      </c>
      <c r="F138" s="64"/>
      <c r="G138" s="90">
        <f>Scaling!$G93</f>
        <v>0.01</v>
      </c>
      <c r="H138" s="90">
        <f>Scaling!$G93</f>
        <v>0.01</v>
      </c>
      <c r="I138" s="90">
        <f>Scaling!$G93</f>
        <v>0.01</v>
      </c>
      <c r="J138" s="90">
        <f>Scaling!$G93</f>
        <v>0.01</v>
      </c>
      <c r="K138" s="90">
        <f>Scaling!$G93</f>
        <v>0.01</v>
      </c>
      <c r="L138" s="90">
        <f>Scaling!$G93</f>
        <v>0.01</v>
      </c>
      <c r="M138" s="90">
        <f>Scaling!$G93</f>
        <v>0.01</v>
      </c>
      <c r="N138" s="120">
        <f t="shared" si="2"/>
        <v>7.0000000000000007E-2</v>
      </c>
    </row>
    <row r="139" spans="2:14" x14ac:dyDescent="0.5">
      <c r="B139" s="8" t="s">
        <v>170</v>
      </c>
      <c r="C139" s="29" t="s">
        <v>350</v>
      </c>
      <c r="D139" s="29" t="s">
        <v>103</v>
      </c>
      <c r="E139" s="51" t="s">
        <v>168</v>
      </c>
      <c r="F139" s="64"/>
      <c r="G139" s="90">
        <f>Scaling!$G94</f>
        <v>0.01</v>
      </c>
      <c r="H139" s="90">
        <f>Scaling!$G94</f>
        <v>0.01</v>
      </c>
      <c r="I139" s="90">
        <f>Scaling!$G94</f>
        <v>0.01</v>
      </c>
      <c r="J139" s="90">
        <f>Scaling!$G94</f>
        <v>0.01</v>
      </c>
      <c r="K139" s="90">
        <f>Scaling!$G94</f>
        <v>0.01</v>
      </c>
      <c r="L139" s="90">
        <f>Scaling!$G94</f>
        <v>0.01</v>
      </c>
      <c r="M139" s="90">
        <f>Scaling!$G94</f>
        <v>0.01</v>
      </c>
      <c r="N139" s="120">
        <f t="shared" si="2"/>
        <v>7.0000000000000007E-2</v>
      </c>
    </row>
    <row r="140" spans="2:14" x14ac:dyDescent="0.5">
      <c r="B140" s="8" t="s">
        <v>171</v>
      </c>
      <c r="C140" s="29" t="s">
        <v>350</v>
      </c>
      <c r="D140" s="29" t="s">
        <v>103</v>
      </c>
      <c r="E140" s="51" t="s">
        <v>172</v>
      </c>
      <c r="F140" s="64"/>
      <c r="G140" s="90">
        <f>Scaling!$G95</f>
        <v>0</v>
      </c>
      <c r="H140" s="90">
        <f>Scaling!$G95</f>
        <v>0</v>
      </c>
      <c r="I140" s="90">
        <f>Scaling!$G95</f>
        <v>0</v>
      </c>
      <c r="J140" s="90">
        <f>Scaling!$G95</f>
        <v>0</v>
      </c>
      <c r="K140" s="90">
        <f>Scaling!$G95</f>
        <v>0</v>
      </c>
      <c r="L140" s="90">
        <f>Scaling!$G95</f>
        <v>0</v>
      </c>
      <c r="M140" s="90">
        <f>Scaling!$G95</f>
        <v>0</v>
      </c>
      <c r="N140" s="120">
        <f t="shared" si="2"/>
        <v>0</v>
      </c>
    </row>
    <row r="141" spans="2:14" x14ac:dyDescent="0.5">
      <c r="B141" s="8" t="s">
        <v>173</v>
      </c>
      <c r="C141" s="29" t="s">
        <v>350</v>
      </c>
      <c r="D141" s="29" t="s">
        <v>103</v>
      </c>
      <c r="E141" s="51" t="s">
        <v>172</v>
      </c>
      <c r="F141" s="64"/>
      <c r="G141" s="90">
        <f>Scaling!$G96</f>
        <v>0</v>
      </c>
      <c r="H141" s="90">
        <f>Scaling!$G96</f>
        <v>0</v>
      </c>
      <c r="I141" s="90">
        <f>Scaling!$G96</f>
        <v>0</v>
      </c>
      <c r="J141" s="90">
        <f>Scaling!$G96</f>
        <v>0</v>
      </c>
      <c r="K141" s="90">
        <f>Scaling!$G96</f>
        <v>0</v>
      </c>
      <c r="L141" s="90">
        <f>Scaling!$G96</f>
        <v>0</v>
      </c>
      <c r="M141" s="90">
        <f>Scaling!$G96</f>
        <v>0</v>
      </c>
      <c r="N141" s="120">
        <f t="shared" si="2"/>
        <v>0</v>
      </c>
    </row>
    <row r="142" spans="2:14" x14ac:dyDescent="0.5">
      <c r="B142" s="8" t="s">
        <v>174</v>
      </c>
      <c r="C142" s="29" t="s">
        <v>350</v>
      </c>
      <c r="D142" s="29" t="s">
        <v>103</v>
      </c>
      <c r="E142" s="51" t="s">
        <v>172</v>
      </c>
      <c r="F142" s="64"/>
      <c r="G142" s="90">
        <f>Scaling!$G97</f>
        <v>0</v>
      </c>
      <c r="H142" s="90">
        <f>Scaling!$G97</f>
        <v>0</v>
      </c>
      <c r="I142" s="90">
        <f>Scaling!$G97</f>
        <v>0</v>
      </c>
      <c r="J142" s="90">
        <f>Scaling!$G97</f>
        <v>0</v>
      </c>
      <c r="K142" s="90">
        <f>Scaling!$G97</f>
        <v>0</v>
      </c>
      <c r="L142" s="90">
        <f>Scaling!$G97</f>
        <v>0</v>
      </c>
      <c r="M142" s="90">
        <f>Scaling!$G97</f>
        <v>0</v>
      </c>
      <c r="N142" s="120">
        <f t="shared" si="2"/>
        <v>0</v>
      </c>
    </row>
    <row r="143" spans="2:14" x14ac:dyDescent="0.5">
      <c r="B143" s="53" t="s">
        <v>161</v>
      </c>
      <c r="C143" s="29" t="s">
        <v>350</v>
      </c>
      <c r="D143" s="29" t="s">
        <v>103</v>
      </c>
      <c r="E143" s="51" t="s">
        <v>172</v>
      </c>
      <c r="F143" s="64"/>
      <c r="G143" s="90">
        <f>Scaling!$G98</f>
        <v>0</v>
      </c>
      <c r="H143" s="90">
        <f>Scaling!$G98</f>
        <v>0</v>
      </c>
      <c r="I143" s="90">
        <f>Scaling!$G98</f>
        <v>0</v>
      </c>
      <c r="J143" s="90">
        <f>Scaling!$G98</f>
        <v>0</v>
      </c>
      <c r="K143" s="90">
        <f>Scaling!$G98</f>
        <v>0</v>
      </c>
      <c r="L143" s="90">
        <f>Scaling!$G98</f>
        <v>0</v>
      </c>
      <c r="M143" s="90">
        <f>Scaling!$G98</f>
        <v>0</v>
      </c>
      <c r="N143" s="120">
        <f t="shared" si="2"/>
        <v>0</v>
      </c>
    </row>
    <row r="144" spans="2:14" x14ac:dyDescent="0.5">
      <c r="B144" s="53" t="s">
        <v>161</v>
      </c>
      <c r="C144" s="29" t="s">
        <v>350</v>
      </c>
      <c r="D144" s="29" t="s">
        <v>103</v>
      </c>
      <c r="E144" s="51" t="s">
        <v>172</v>
      </c>
      <c r="F144" s="64"/>
      <c r="G144" s="90">
        <f>Scaling!$G99</f>
        <v>0</v>
      </c>
      <c r="H144" s="90">
        <f>Scaling!$G99</f>
        <v>0</v>
      </c>
      <c r="I144" s="90">
        <f>Scaling!$G99</f>
        <v>0</v>
      </c>
      <c r="J144" s="90">
        <f>Scaling!$G99</f>
        <v>0</v>
      </c>
      <c r="K144" s="90">
        <f>Scaling!$G99</f>
        <v>0</v>
      </c>
      <c r="L144" s="90">
        <f>Scaling!$G99</f>
        <v>0</v>
      </c>
      <c r="M144" s="90">
        <f>Scaling!$G99</f>
        <v>0</v>
      </c>
      <c r="N144" s="120">
        <f t="shared" si="2"/>
        <v>0</v>
      </c>
    </row>
    <row r="145" spans="2:14" x14ac:dyDescent="0.5">
      <c r="B145" s="53" t="s">
        <v>161</v>
      </c>
      <c r="C145" s="29" t="s">
        <v>350</v>
      </c>
      <c r="D145" s="29" t="s">
        <v>103</v>
      </c>
      <c r="E145" s="51" t="s">
        <v>172</v>
      </c>
      <c r="F145" s="64"/>
      <c r="G145" s="90">
        <f>Scaling!$G100</f>
        <v>0</v>
      </c>
      <c r="H145" s="90">
        <f>Scaling!$G100</f>
        <v>0</v>
      </c>
      <c r="I145" s="90">
        <f>Scaling!$G100</f>
        <v>0</v>
      </c>
      <c r="J145" s="90">
        <f>Scaling!$G100</f>
        <v>0</v>
      </c>
      <c r="K145" s="90">
        <f>Scaling!$G100</f>
        <v>0</v>
      </c>
      <c r="L145" s="90">
        <f>Scaling!$G100</f>
        <v>0</v>
      </c>
      <c r="M145" s="90">
        <f>Scaling!$G100</f>
        <v>0</v>
      </c>
      <c r="N145" s="120">
        <f t="shared" si="2"/>
        <v>0</v>
      </c>
    </row>
    <row r="146" spans="2:14" x14ac:dyDescent="0.5">
      <c r="B146" s="8" t="s">
        <v>175</v>
      </c>
      <c r="C146" s="29" t="s">
        <v>350</v>
      </c>
      <c r="D146" s="29" t="s">
        <v>103</v>
      </c>
      <c r="E146" s="51" t="s">
        <v>176</v>
      </c>
      <c r="F146" s="64"/>
      <c r="G146" s="90">
        <f>Scaling!$G101</f>
        <v>0</v>
      </c>
      <c r="H146" s="90">
        <f>Scaling!$G101</f>
        <v>0</v>
      </c>
      <c r="I146" s="90">
        <f>Scaling!$G101</f>
        <v>0</v>
      </c>
      <c r="J146" s="90">
        <f>Scaling!$G101</f>
        <v>0</v>
      </c>
      <c r="K146" s="90">
        <f>Scaling!$G101</f>
        <v>0</v>
      </c>
      <c r="L146" s="90">
        <f>Scaling!$G101</f>
        <v>0</v>
      </c>
      <c r="M146" s="90">
        <f>Scaling!$G101</f>
        <v>0</v>
      </c>
      <c r="N146" s="120">
        <f t="shared" si="2"/>
        <v>0</v>
      </c>
    </row>
    <row r="147" spans="2:14" x14ac:dyDescent="0.5">
      <c r="B147" s="8" t="s">
        <v>177</v>
      </c>
      <c r="C147" s="29" t="s">
        <v>350</v>
      </c>
      <c r="D147" s="29" t="s">
        <v>103</v>
      </c>
      <c r="E147" s="51" t="s">
        <v>176</v>
      </c>
      <c r="F147" s="64"/>
      <c r="G147" s="90">
        <f>Scaling!$G102</f>
        <v>0</v>
      </c>
      <c r="H147" s="90">
        <f>Scaling!$G102</f>
        <v>0</v>
      </c>
      <c r="I147" s="90">
        <f>Scaling!$G102</f>
        <v>0</v>
      </c>
      <c r="J147" s="90">
        <f>Scaling!$G102</f>
        <v>0</v>
      </c>
      <c r="K147" s="90">
        <f>Scaling!$G102</f>
        <v>0</v>
      </c>
      <c r="L147" s="90">
        <f>Scaling!$G102</f>
        <v>0</v>
      </c>
      <c r="M147" s="90">
        <f>Scaling!$G102</f>
        <v>0</v>
      </c>
      <c r="N147" s="120">
        <f t="shared" si="2"/>
        <v>0</v>
      </c>
    </row>
    <row r="148" spans="2:14" x14ac:dyDescent="0.5">
      <c r="B148" s="8" t="s">
        <v>178</v>
      </c>
      <c r="C148" s="29" t="s">
        <v>350</v>
      </c>
      <c r="D148" s="29" t="s">
        <v>103</v>
      </c>
      <c r="E148" s="51" t="s">
        <v>176</v>
      </c>
      <c r="F148" s="64"/>
      <c r="G148" s="90">
        <f>Scaling!$G103</f>
        <v>0</v>
      </c>
      <c r="H148" s="90">
        <f>Scaling!$G103</f>
        <v>0</v>
      </c>
      <c r="I148" s="90">
        <f>Scaling!$G103</f>
        <v>0</v>
      </c>
      <c r="J148" s="90">
        <f>Scaling!$G103</f>
        <v>0</v>
      </c>
      <c r="K148" s="90">
        <f>Scaling!$G103</f>
        <v>0</v>
      </c>
      <c r="L148" s="90">
        <f>Scaling!$G103</f>
        <v>0</v>
      </c>
      <c r="M148" s="90">
        <f>Scaling!$G103</f>
        <v>0</v>
      </c>
      <c r="N148" s="120">
        <f t="shared" si="2"/>
        <v>0</v>
      </c>
    </row>
    <row r="149" spans="2:14" x14ac:dyDescent="0.5">
      <c r="B149" s="8" t="s">
        <v>179</v>
      </c>
      <c r="C149" s="29" t="s">
        <v>350</v>
      </c>
      <c r="D149" s="29" t="s">
        <v>103</v>
      </c>
      <c r="E149" s="51" t="s">
        <v>176</v>
      </c>
      <c r="F149" s="64"/>
      <c r="G149" s="90">
        <f>Scaling!$G104</f>
        <v>0</v>
      </c>
      <c r="H149" s="90">
        <f>Scaling!$G104</f>
        <v>0</v>
      </c>
      <c r="I149" s="90">
        <f>Scaling!$G104</f>
        <v>0</v>
      </c>
      <c r="J149" s="90">
        <f>Scaling!$G104</f>
        <v>0</v>
      </c>
      <c r="K149" s="90">
        <f>Scaling!$G104</f>
        <v>0</v>
      </c>
      <c r="L149" s="90">
        <f>Scaling!$G104</f>
        <v>0</v>
      </c>
      <c r="M149" s="90">
        <f>Scaling!$G104</f>
        <v>0</v>
      </c>
      <c r="N149" s="120">
        <f t="shared" si="2"/>
        <v>0</v>
      </c>
    </row>
    <row r="150" spans="2:14" x14ac:dyDescent="0.5">
      <c r="B150" s="53" t="s">
        <v>180</v>
      </c>
      <c r="C150" s="29" t="s">
        <v>350</v>
      </c>
      <c r="D150" s="29" t="s">
        <v>103</v>
      </c>
      <c r="E150" s="51" t="s">
        <v>176</v>
      </c>
      <c r="F150" s="64"/>
      <c r="G150" s="90">
        <f>Scaling!$G105</f>
        <v>0</v>
      </c>
      <c r="H150" s="90">
        <f>Scaling!$G105</f>
        <v>0</v>
      </c>
      <c r="I150" s="90">
        <f>Scaling!$G105</f>
        <v>0</v>
      </c>
      <c r="J150" s="90">
        <f>Scaling!$G105</f>
        <v>0</v>
      </c>
      <c r="K150" s="90">
        <f>Scaling!$G105</f>
        <v>0</v>
      </c>
      <c r="L150" s="90">
        <f>Scaling!$G105</f>
        <v>0</v>
      </c>
      <c r="M150" s="90">
        <f>Scaling!$G105</f>
        <v>0</v>
      </c>
      <c r="N150" s="120">
        <f t="shared" si="2"/>
        <v>0</v>
      </c>
    </row>
    <row r="151" spans="2:14" x14ac:dyDescent="0.5">
      <c r="B151" s="53" t="s">
        <v>181</v>
      </c>
      <c r="C151" s="29" t="s">
        <v>350</v>
      </c>
      <c r="D151" s="29" t="s">
        <v>103</v>
      </c>
      <c r="E151" s="51" t="s">
        <v>176</v>
      </c>
      <c r="F151" s="64"/>
      <c r="G151" s="90">
        <f>Scaling!$G106</f>
        <v>0</v>
      </c>
      <c r="H151" s="90">
        <f>Scaling!$G106</f>
        <v>0</v>
      </c>
      <c r="I151" s="90">
        <f>Scaling!$G106</f>
        <v>0</v>
      </c>
      <c r="J151" s="90">
        <f>Scaling!$G106</f>
        <v>0</v>
      </c>
      <c r="K151" s="90">
        <f>Scaling!$G106</f>
        <v>0</v>
      </c>
      <c r="L151" s="90">
        <f>Scaling!$G106</f>
        <v>0</v>
      </c>
      <c r="M151" s="90">
        <f>Scaling!$G106</f>
        <v>0</v>
      </c>
      <c r="N151" s="120">
        <f t="shared" si="2"/>
        <v>0</v>
      </c>
    </row>
    <row r="152" spans="2:14" x14ac:dyDescent="0.5">
      <c r="B152" s="53" t="s">
        <v>161</v>
      </c>
      <c r="C152" s="29" t="s">
        <v>350</v>
      </c>
      <c r="D152" s="29" t="s">
        <v>103</v>
      </c>
      <c r="E152" s="51" t="s">
        <v>176</v>
      </c>
      <c r="F152" s="64"/>
      <c r="G152" s="90">
        <f>Scaling!$G107</f>
        <v>0</v>
      </c>
      <c r="H152" s="90">
        <f>Scaling!$G107</f>
        <v>0</v>
      </c>
      <c r="I152" s="90">
        <f>Scaling!$G107</f>
        <v>0</v>
      </c>
      <c r="J152" s="90">
        <f>Scaling!$G107</f>
        <v>0</v>
      </c>
      <c r="K152" s="90">
        <f>Scaling!$G107</f>
        <v>0</v>
      </c>
      <c r="L152" s="90">
        <f>Scaling!$G107</f>
        <v>0</v>
      </c>
      <c r="M152" s="90">
        <f>Scaling!$G107</f>
        <v>0</v>
      </c>
      <c r="N152" s="120">
        <f t="shared" si="2"/>
        <v>0</v>
      </c>
    </row>
    <row r="153" spans="2:14" x14ac:dyDescent="0.5">
      <c r="B153" s="53" t="s">
        <v>161</v>
      </c>
      <c r="C153" s="29" t="s">
        <v>350</v>
      </c>
      <c r="D153" s="29" t="s">
        <v>103</v>
      </c>
      <c r="E153" s="51" t="s">
        <v>176</v>
      </c>
      <c r="F153" s="64"/>
      <c r="G153" s="90">
        <f>Scaling!$G108</f>
        <v>0</v>
      </c>
      <c r="H153" s="90">
        <f>Scaling!$G108</f>
        <v>0</v>
      </c>
      <c r="I153" s="90">
        <f>Scaling!$G108</f>
        <v>0</v>
      </c>
      <c r="J153" s="90">
        <f>Scaling!$G108</f>
        <v>0</v>
      </c>
      <c r="K153" s="90">
        <f>Scaling!$G108</f>
        <v>0</v>
      </c>
      <c r="L153" s="90">
        <f>Scaling!$G108</f>
        <v>0</v>
      </c>
      <c r="M153" s="90">
        <f>Scaling!$G108</f>
        <v>0</v>
      </c>
      <c r="N153" s="120">
        <f t="shared" si="2"/>
        <v>0</v>
      </c>
    </row>
    <row r="154" spans="2:14" x14ac:dyDescent="0.5">
      <c r="B154" s="53" t="s">
        <v>161</v>
      </c>
      <c r="C154" s="29" t="s">
        <v>350</v>
      </c>
      <c r="D154" s="29" t="s">
        <v>103</v>
      </c>
      <c r="E154" s="51" t="s">
        <v>176</v>
      </c>
      <c r="F154" s="64"/>
      <c r="G154" s="90">
        <f>Scaling!$G109</f>
        <v>0</v>
      </c>
      <c r="H154" s="90">
        <f>Scaling!$G109</f>
        <v>0</v>
      </c>
      <c r="I154" s="90">
        <f>Scaling!$G109</f>
        <v>0</v>
      </c>
      <c r="J154" s="90">
        <f>Scaling!$G109</f>
        <v>0</v>
      </c>
      <c r="K154" s="90">
        <f>Scaling!$G109</f>
        <v>0</v>
      </c>
      <c r="L154" s="90">
        <f>Scaling!$G109</f>
        <v>0</v>
      </c>
      <c r="M154" s="90">
        <f>Scaling!$G109</f>
        <v>0</v>
      </c>
      <c r="N154" s="120">
        <f t="shared" si="2"/>
        <v>0</v>
      </c>
    </row>
    <row r="155" spans="2:14" x14ac:dyDescent="0.5">
      <c r="B155" s="8" t="s">
        <v>182</v>
      </c>
      <c r="C155" s="29" t="s">
        <v>350</v>
      </c>
      <c r="D155" s="29" t="s">
        <v>103</v>
      </c>
      <c r="E155" s="51" t="s">
        <v>182</v>
      </c>
      <c r="F155" s="64"/>
      <c r="G155" s="90">
        <f>Scaling!$G110</f>
        <v>0</v>
      </c>
      <c r="H155" s="90">
        <f>Scaling!$G110</f>
        <v>0</v>
      </c>
      <c r="I155" s="90">
        <f>Scaling!$G110</f>
        <v>0</v>
      </c>
      <c r="J155" s="90">
        <f>Scaling!$G110</f>
        <v>0</v>
      </c>
      <c r="K155" s="90">
        <f>Scaling!$G110</f>
        <v>0</v>
      </c>
      <c r="L155" s="90">
        <f>Scaling!$G110</f>
        <v>0</v>
      </c>
      <c r="M155" s="90">
        <f>Scaling!$G110</f>
        <v>0</v>
      </c>
      <c r="N155" s="120">
        <f t="shared" si="2"/>
        <v>0</v>
      </c>
    </row>
    <row r="156" spans="2:14" x14ac:dyDescent="0.5">
      <c r="B156" s="8" t="s">
        <v>183</v>
      </c>
      <c r="C156" s="29" t="s">
        <v>350</v>
      </c>
      <c r="D156" s="29" t="s">
        <v>103</v>
      </c>
      <c r="E156" s="51" t="s">
        <v>184</v>
      </c>
      <c r="F156" s="64"/>
      <c r="G156" s="90">
        <f>Scaling!$G111</f>
        <v>0</v>
      </c>
      <c r="H156" s="90">
        <f>Scaling!$G111</f>
        <v>0</v>
      </c>
      <c r="I156" s="90">
        <f>Scaling!$G111</f>
        <v>0</v>
      </c>
      <c r="J156" s="90">
        <f>Scaling!$G111</f>
        <v>0</v>
      </c>
      <c r="K156" s="90">
        <f>Scaling!$G111</f>
        <v>0</v>
      </c>
      <c r="L156" s="90">
        <f>Scaling!$G111</f>
        <v>0</v>
      </c>
      <c r="M156" s="90">
        <f>Scaling!$G111</f>
        <v>0</v>
      </c>
      <c r="N156" s="120">
        <f t="shared" si="2"/>
        <v>0</v>
      </c>
    </row>
    <row r="157" spans="2:14" x14ac:dyDescent="0.5">
      <c r="B157" s="8" t="s">
        <v>185</v>
      </c>
      <c r="C157" s="29" t="s">
        <v>350</v>
      </c>
      <c r="D157" s="29" t="s">
        <v>103</v>
      </c>
      <c r="E157" s="51" t="s">
        <v>184</v>
      </c>
      <c r="F157" s="64"/>
      <c r="G157" s="90">
        <f>Scaling!$G112</f>
        <v>0</v>
      </c>
      <c r="H157" s="90">
        <f>Scaling!$G112</f>
        <v>0</v>
      </c>
      <c r="I157" s="90">
        <f>Scaling!$G112</f>
        <v>0</v>
      </c>
      <c r="J157" s="90">
        <f>Scaling!$G112</f>
        <v>0</v>
      </c>
      <c r="K157" s="90">
        <f>Scaling!$G112</f>
        <v>0</v>
      </c>
      <c r="L157" s="90">
        <f>Scaling!$G112</f>
        <v>0</v>
      </c>
      <c r="M157" s="90">
        <f>Scaling!$G112</f>
        <v>0</v>
      </c>
      <c r="N157" s="120">
        <f t="shared" si="2"/>
        <v>0</v>
      </c>
    </row>
    <row r="158" spans="2:14" x14ac:dyDescent="0.5">
      <c r="B158" s="8" t="s">
        <v>186</v>
      </c>
      <c r="C158" s="29" t="s">
        <v>350</v>
      </c>
      <c r="D158" s="29" t="s">
        <v>103</v>
      </c>
      <c r="E158" s="51" t="s">
        <v>184</v>
      </c>
      <c r="F158" s="64"/>
      <c r="G158" s="90">
        <f>Scaling!$G113</f>
        <v>0</v>
      </c>
      <c r="H158" s="90">
        <f>Scaling!$G113</f>
        <v>0</v>
      </c>
      <c r="I158" s="90">
        <f>Scaling!$G113</f>
        <v>0</v>
      </c>
      <c r="J158" s="90">
        <f>Scaling!$G113</f>
        <v>0</v>
      </c>
      <c r="K158" s="90">
        <f>Scaling!$G113</f>
        <v>0</v>
      </c>
      <c r="L158" s="90">
        <f>Scaling!$G113</f>
        <v>0</v>
      </c>
      <c r="M158" s="90">
        <f>Scaling!$G113</f>
        <v>0</v>
      </c>
      <c r="N158" s="120">
        <f t="shared" si="2"/>
        <v>0</v>
      </c>
    </row>
    <row r="159" spans="2:14" x14ac:dyDescent="0.5">
      <c r="B159" s="8" t="s">
        <v>161</v>
      </c>
      <c r="C159" s="29" t="s">
        <v>350</v>
      </c>
      <c r="D159" s="29" t="s">
        <v>103</v>
      </c>
      <c r="E159" s="51" t="s">
        <v>184</v>
      </c>
      <c r="F159" s="64"/>
      <c r="G159" s="90">
        <f>Scaling!$G114</f>
        <v>0</v>
      </c>
      <c r="H159" s="90">
        <f>Scaling!$G114</f>
        <v>0</v>
      </c>
      <c r="I159" s="90">
        <f>Scaling!$G114</f>
        <v>0</v>
      </c>
      <c r="J159" s="90">
        <f>Scaling!$G114</f>
        <v>0</v>
      </c>
      <c r="K159" s="90">
        <f>Scaling!$G114</f>
        <v>0</v>
      </c>
      <c r="L159" s="90">
        <f>Scaling!$G114</f>
        <v>0</v>
      </c>
      <c r="M159" s="90">
        <f>Scaling!$G114</f>
        <v>0</v>
      </c>
      <c r="N159" s="120">
        <f t="shared" si="2"/>
        <v>0</v>
      </c>
    </row>
    <row r="160" spans="2:14" x14ac:dyDescent="0.5">
      <c r="B160" s="53" t="s">
        <v>161</v>
      </c>
      <c r="C160" s="29" t="s">
        <v>350</v>
      </c>
      <c r="D160" s="29" t="s">
        <v>103</v>
      </c>
      <c r="E160" s="51" t="s">
        <v>184</v>
      </c>
      <c r="F160" s="64"/>
      <c r="G160" s="90">
        <f>Scaling!$G115</f>
        <v>0</v>
      </c>
      <c r="H160" s="90">
        <f>Scaling!$G115</f>
        <v>0</v>
      </c>
      <c r="I160" s="90">
        <f>Scaling!$G115</f>
        <v>0</v>
      </c>
      <c r="J160" s="90">
        <f>Scaling!$G115</f>
        <v>0</v>
      </c>
      <c r="K160" s="90">
        <f>Scaling!$G115</f>
        <v>0</v>
      </c>
      <c r="L160" s="90">
        <f>Scaling!$G115</f>
        <v>0</v>
      </c>
      <c r="M160" s="90">
        <f>Scaling!$G115</f>
        <v>0</v>
      </c>
      <c r="N160" s="120">
        <f t="shared" si="2"/>
        <v>0</v>
      </c>
    </row>
    <row r="161" spans="1:14" x14ac:dyDescent="0.5">
      <c r="B161" s="53" t="s">
        <v>161</v>
      </c>
      <c r="C161" s="29" t="s">
        <v>350</v>
      </c>
      <c r="D161" s="29" t="s">
        <v>103</v>
      </c>
      <c r="E161" s="51" t="s">
        <v>184</v>
      </c>
      <c r="F161" s="64"/>
      <c r="G161" s="90">
        <f>Scaling!$G116</f>
        <v>0</v>
      </c>
      <c r="H161" s="90">
        <f>Scaling!$G116</f>
        <v>0</v>
      </c>
      <c r="I161" s="90">
        <f>Scaling!$G116</f>
        <v>0</v>
      </c>
      <c r="J161" s="90">
        <f>Scaling!$G116</f>
        <v>0</v>
      </c>
      <c r="K161" s="90">
        <f>Scaling!$G116</f>
        <v>0</v>
      </c>
      <c r="L161" s="90">
        <f>Scaling!$G116</f>
        <v>0</v>
      </c>
      <c r="M161" s="90">
        <f>Scaling!$G116</f>
        <v>0</v>
      </c>
      <c r="N161" s="120">
        <f t="shared" si="2"/>
        <v>0</v>
      </c>
    </row>
    <row r="162" spans="1:14" x14ac:dyDescent="0.5">
      <c r="B162" s="53" t="s">
        <v>187</v>
      </c>
      <c r="C162" s="29" t="s">
        <v>350</v>
      </c>
      <c r="D162" s="29" t="s">
        <v>103</v>
      </c>
      <c r="E162" s="51" t="s">
        <v>187</v>
      </c>
      <c r="F162" s="64"/>
      <c r="G162" s="213"/>
      <c r="H162" s="213"/>
      <c r="I162" s="213"/>
      <c r="J162" s="213"/>
      <c r="K162" s="213"/>
      <c r="L162" s="213"/>
      <c r="M162" s="213"/>
      <c r="N162" s="120"/>
    </row>
    <row r="163" spans="1:14" x14ac:dyDescent="0.5">
      <c r="B163" s="8" t="s">
        <v>161</v>
      </c>
      <c r="C163" s="29" t="s">
        <v>350</v>
      </c>
      <c r="D163" s="29" t="s">
        <v>103</v>
      </c>
      <c r="E163" s="51" t="s">
        <v>187</v>
      </c>
      <c r="F163" s="64"/>
      <c r="G163" s="90">
        <f>Scaling!$G118</f>
        <v>0</v>
      </c>
      <c r="H163" s="90">
        <f>Scaling!$G118</f>
        <v>0</v>
      </c>
      <c r="I163" s="90">
        <f>Scaling!$G118</f>
        <v>0</v>
      </c>
      <c r="J163" s="90">
        <f>Scaling!$G118</f>
        <v>0</v>
      </c>
      <c r="K163" s="90">
        <f>Scaling!$G118</f>
        <v>0</v>
      </c>
      <c r="L163" s="90">
        <f>Scaling!$G118</f>
        <v>0</v>
      </c>
      <c r="M163" s="90">
        <f>Scaling!$G118</f>
        <v>0</v>
      </c>
      <c r="N163" s="120">
        <f t="shared" si="2"/>
        <v>0</v>
      </c>
    </row>
    <row r="164" spans="1:14" x14ac:dyDescent="0.5">
      <c r="B164" s="53" t="s">
        <v>161</v>
      </c>
      <c r="C164" s="29" t="s">
        <v>350</v>
      </c>
      <c r="D164" s="29" t="s">
        <v>103</v>
      </c>
      <c r="E164" s="51" t="s">
        <v>187</v>
      </c>
      <c r="F164" s="64"/>
      <c r="G164" s="90">
        <f>Scaling!$G119</f>
        <v>0</v>
      </c>
      <c r="H164" s="90">
        <f>Scaling!$G119</f>
        <v>0</v>
      </c>
      <c r="I164" s="90">
        <f>Scaling!$G119</f>
        <v>0</v>
      </c>
      <c r="J164" s="90">
        <f>Scaling!$G119</f>
        <v>0</v>
      </c>
      <c r="K164" s="90">
        <f>Scaling!$G119</f>
        <v>0</v>
      </c>
      <c r="L164" s="90">
        <f>Scaling!$G119</f>
        <v>0</v>
      </c>
      <c r="M164" s="90">
        <f>Scaling!$G119</f>
        <v>0</v>
      </c>
      <c r="N164" s="120">
        <f t="shared" si="2"/>
        <v>0</v>
      </c>
    </row>
    <row r="165" spans="1:14" x14ac:dyDescent="0.5">
      <c r="B165" s="53" t="s">
        <v>161</v>
      </c>
      <c r="C165" s="29" t="s">
        <v>350</v>
      </c>
      <c r="D165" s="29" t="s">
        <v>103</v>
      </c>
      <c r="E165" s="51" t="s">
        <v>187</v>
      </c>
      <c r="F165" s="64"/>
      <c r="G165" s="90">
        <f>Scaling!$G120</f>
        <v>0</v>
      </c>
      <c r="H165" s="90">
        <f>Scaling!$G120</f>
        <v>0</v>
      </c>
      <c r="I165" s="90">
        <f>Scaling!$G120</f>
        <v>0</v>
      </c>
      <c r="J165" s="90">
        <f>Scaling!$G120</f>
        <v>0</v>
      </c>
      <c r="K165" s="90">
        <f>Scaling!$G120</f>
        <v>0</v>
      </c>
      <c r="L165" s="90">
        <f>Scaling!$G120</f>
        <v>0</v>
      </c>
      <c r="M165" s="90">
        <f>Scaling!$G120</f>
        <v>0</v>
      </c>
      <c r="N165" s="120">
        <f t="shared" si="2"/>
        <v>0</v>
      </c>
    </row>
    <row r="167" spans="1:14" ht="19" thickBot="1" x14ac:dyDescent="0.55000000000000004">
      <c r="A167" s="14" t="s">
        <v>395</v>
      </c>
    </row>
    <row r="168" spans="1:14" ht="19" thickTop="1" x14ac:dyDescent="0.5">
      <c r="A168" s="23"/>
    </row>
    <row r="169" spans="1:14" ht="17" thickBot="1" x14ac:dyDescent="0.55000000000000004">
      <c r="B169" s="27" t="s">
        <v>143</v>
      </c>
      <c r="C169" s="27" t="s">
        <v>96</v>
      </c>
      <c r="D169" s="27" t="s">
        <v>97</v>
      </c>
      <c r="E169" s="50" t="s">
        <v>144</v>
      </c>
      <c r="F169" s="12">
        <v>2024</v>
      </c>
      <c r="G169" s="12">
        <v>2025</v>
      </c>
      <c r="H169" s="12">
        <v>2026</v>
      </c>
      <c r="I169" s="12">
        <v>2027</v>
      </c>
      <c r="J169" s="12">
        <v>2028</v>
      </c>
      <c r="K169" s="12">
        <v>2029</v>
      </c>
      <c r="L169" s="12">
        <v>2030</v>
      </c>
      <c r="M169" s="12">
        <v>2031</v>
      </c>
      <c r="N169" s="10" t="s">
        <v>57</v>
      </c>
    </row>
    <row r="170" spans="1:14" x14ac:dyDescent="0.5">
      <c r="B170" s="53" t="s">
        <v>194</v>
      </c>
      <c r="C170" s="29" t="s">
        <v>102</v>
      </c>
      <c r="D170" s="29"/>
      <c r="E170" s="51"/>
      <c r="F170" s="64"/>
      <c r="G170" s="98">
        <f>Overlays!F18</f>
        <v>0</v>
      </c>
      <c r="H170" s="98">
        <f>Overlays!G18</f>
        <v>-14.640211030814655</v>
      </c>
      <c r="I170" s="98">
        <f>Overlays!H18</f>
        <v>-17.890395508616653</v>
      </c>
      <c r="J170" s="98">
        <f>Overlays!I18</f>
        <v>-18.703043733018866</v>
      </c>
      <c r="K170" s="98">
        <f>Overlays!J18</f>
        <v>-19.376929610475642</v>
      </c>
      <c r="L170" s="98">
        <f>Overlays!K18</f>
        <v>3.0691444210434313</v>
      </c>
      <c r="M170" s="98">
        <f>Overlays!L18</f>
        <v>3.0841892466367802</v>
      </c>
      <c r="N170" s="119">
        <f>SUM(G170:M170)</f>
        <v>-64.45724621524559</v>
      </c>
    </row>
    <row r="172" spans="1:14" ht="19" thickBot="1" x14ac:dyDescent="0.55000000000000004">
      <c r="A172" s="14" t="s">
        <v>396</v>
      </c>
    </row>
    <row r="173" spans="1:14" ht="19" thickTop="1" x14ac:dyDescent="0.5">
      <c r="A173" s="23"/>
    </row>
    <row r="174" spans="1:14" ht="17" thickBot="1" x14ac:dyDescent="0.55000000000000004">
      <c r="B174" s="27" t="s">
        <v>143</v>
      </c>
      <c r="C174" s="27" t="s">
        <v>96</v>
      </c>
      <c r="D174" s="27" t="s">
        <v>97</v>
      </c>
      <c r="E174" s="50" t="s">
        <v>144</v>
      </c>
      <c r="F174" s="12">
        <v>2024</v>
      </c>
      <c r="G174" s="12">
        <v>2025</v>
      </c>
      <c r="H174" s="12">
        <v>2026</v>
      </c>
      <c r="I174" s="12">
        <v>2027</v>
      </c>
      <c r="J174" s="12">
        <v>2028</v>
      </c>
      <c r="K174" s="12">
        <v>2029</v>
      </c>
      <c r="L174" s="12">
        <v>2030</v>
      </c>
      <c r="M174" s="12">
        <v>2031</v>
      </c>
    </row>
    <row r="175" spans="1:14" x14ac:dyDescent="0.5">
      <c r="B175" s="8" t="s">
        <v>146</v>
      </c>
      <c r="C175" s="29" t="s">
        <v>102</v>
      </c>
      <c r="D175" s="29" t="s">
        <v>103</v>
      </c>
      <c r="E175" s="51" t="s">
        <v>147</v>
      </c>
      <c r="F175" s="98">
        <f>Baseline!H77</f>
        <v>97.046192679115435</v>
      </c>
      <c r="G175" s="98">
        <f>F175*(1+G8)*(1+G62)*(1+G116)</f>
        <v>97.664342595214237</v>
      </c>
      <c r="H175" s="98">
        <f t="shared" ref="H175:M175" si="3">G175*(1+H8)*(1+H62)*(1+H116)</f>
        <v>98.911551111838861</v>
      </c>
      <c r="I175" s="98">
        <f t="shared" si="3"/>
        <v>99.30653616292399</v>
      </c>
      <c r="J175" s="98">
        <f t="shared" si="3"/>
        <v>100.30836650483374</v>
      </c>
      <c r="K175" s="98">
        <f t="shared" si="3"/>
        <v>101.41006608012985</v>
      </c>
      <c r="L175" s="98">
        <f t="shared" si="3"/>
        <v>102.48381624986382</v>
      </c>
      <c r="M175" s="98">
        <f t="shared" si="3"/>
        <v>103.40310497016914</v>
      </c>
    </row>
    <row r="176" spans="1:14" x14ac:dyDescent="0.5">
      <c r="B176" s="8" t="s">
        <v>148</v>
      </c>
      <c r="C176" s="29" t="s">
        <v>102</v>
      </c>
      <c r="D176" s="29" t="s">
        <v>103</v>
      </c>
      <c r="E176" s="51" t="s">
        <v>147</v>
      </c>
      <c r="F176" s="98">
        <f>Baseline!H78</f>
        <v>4.0457150051446771</v>
      </c>
      <c r="G176" s="98">
        <f t="shared" ref="G176:M176" si="4">F176*(1+G9)*(1+G63)*(1+G117)</f>
        <v>4.0714847785067185</v>
      </c>
      <c r="H176" s="98">
        <f t="shared" si="4"/>
        <v>4.1234790924612765</v>
      </c>
      <c r="I176" s="98">
        <f t="shared" si="4"/>
        <v>4.1399454463064682</v>
      </c>
      <c r="J176" s="98">
        <f t="shared" si="4"/>
        <v>4.1817103000836298</v>
      </c>
      <c r="K176" s="98">
        <f t="shared" si="4"/>
        <v>4.2276385573381381</v>
      </c>
      <c r="L176" s="98">
        <f t="shared" si="4"/>
        <v>4.2724016444159911</v>
      </c>
      <c r="M176" s="98">
        <f t="shared" si="4"/>
        <v>4.3107254577169103</v>
      </c>
    </row>
    <row r="177" spans="2:24" x14ac:dyDescent="0.5">
      <c r="B177" s="8" t="s">
        <v>149</v>
      </c>
      <c r="C177" s="29" t="s">
        <v>102</v>
      </c>
      <c r="D177" s="29" t="s">
        <v>103</v>
      </c>
      <c r="E177" s="51" t="s">
        <v>147</v>
      </c>
      <c r="F177" s="98">
        <f>Baseline!H79</f>
        <v>31.773368892252169</v>
      </c>
      <c r="G177" s="98">
        <f t="shared" ref="G177:M177" si="5">F177*(1+G10)*(1+G64)*(1+G118)</f>
        <v>31.975754011881374</v>
      </c>
      <c r="H177" s="98">
        <f t="shared" si="5"/>
        <v>32.384095804488361</v>
      </c>
      <c r="I177" s="98">
        <f t="shared" si="5"/>
        <v>32.513415723061051</v>
      </c>
      <c r="J177" s="98">
        <f t="shared" si="5"/>
        <v>32.841419575063789</v>
      </c>
      <c r="K177" s="98">
        <f t="shared" si="5"/>
        <v>33.202121072443127</v>
      </c>
      <c r="L177" s="98">
        <f t="shared" si="5"/>
        <v>33.55367180616313</v>
      </c>
      <c r="M177" s="98">
        <f t="shared" si="5"/>
        <v>33.854651152414526</v>
      </c>
    </row>
    <row r="178" spans="2:24" x14ac:dyDescent="0.5">
      <c r="B178" s="8" t="s">
        <v>150</v>
      </c>
      <c r="C178" s="29" t="s">
        <v>102</v>
      </c>
      <c r="D178" s="29" t="s">
        <v>103</v>
      </c>
      <c r="E178" s="51" t="s">
        <v>147</v>
      </c>
      <c r="F178" s="98">
        <f>Baseline!H80</f>
        <v>21.492998587765491</v>
      </c>
      <c r="G178" s="98">
        <f t="shared" ref="G178:M178" si="6">F178*(1+G11)*(1+G65)*(1+G119)</f>
        <v>21.629901385360743</v>
      </c>
      <c r="H178" s="98">
        <f t="shared" si="6"/>
        <v>21.906122946932946</v>
      </c>
      <c r="I178" s="98">
        <f t="shared" si="6"/>
        <v>21.993601011870865</v>
      </c>
      <c r="J178" s="98">
        <f t="shared" si="6"/>
        <v>22.215478218275489</v>
      </c>
      <c r="K178" s="98">
        <f t="shared" si="6"/>
        <v>22.459473647279857</v>
      </c>
      <c r="L178" s="98">
        <f t="shared" si="6"/>
        <v>22.697279070085195</v>
      </c>
      <c r="M178" s="98">
        <f t="shared" si="6"/>
        <v>22.900875631906036</v>
      </c>
    </row>
    <row r="179" spans="2:24" x14ac:dyDescent="0.5">
      <c r="B179" s="8" t="s">
        <v>151</v>
      </c>
      <c r="C179" s="29" t="s">
        <v>102</v>
      </c>
      <c r="D179" s="29" t="s">
        <v>103</v>
      </c>
      <c r="E179" s="51" t="s">
        <v>147</v>
      </c>
      <c r="F179" s="98">
        <f>Baseline!H81</f>
        <v>13.805119977119022</v>
      </c>
      <c r="G179" s="98">
        <f t="shared" ref="G179:M179" si="7">F179*(1+G12)*(1+G66)*(1+G120)</f>
        <v>13.893053707644716</v>
      </c>
      <c r="H179" s="98">
        <f t="shared" si="7"/>
        <v>14.070472962673286</v>
      </c>
      <c r="I179" s="98">
        <f t="shared" si="7"/>
        <v>14.126660803420718</v>
      </c>
      <c r="J179" s="98">
        <f t="shared" si="7"/>
        <v>14.269174256910981</v>
      </c>
      <c r="K179" s="98">
        <f t="shared" si="7"/>
        <v>14.425894416618771</v>
      </c>
      <c r="L179" s="98">
        <f t="shared" si="7"/>
        <v>14.578638687253299</v>
      </c>
      <c r="M179" s="98">
        <f t="shared" si="7"/>
        <v>14.709410340700742</v>
      </c>
    </row>
    <row r="180" spans="2:24" x14ac:dyDescent="0.5">
      <c r="B180" s="8" t="s">
        <v>152</v>
      </c>
      <c r="C180" s="29" t="s">
        <v>102</v>
      </c>
      <c r="D180" s="29" t="s">
        <v>103</v>
      </c>
      <c r="E180" s="51" t="s">
        <v>147</v>
      </c>
      <c r="F180" s="98">
        <f>Baseline!H82</f>
        <v>28.297472712854272</v>
      </c>
      <c r="G180" s="98">
        <f t="shared" ref="G180:M180" si="8">F180*(1+G13)*(1+G67)*(1+G121)</f>
        <v>28.477717603461127</v>
      </c>
      <c r="H180" s="98">
        <f t="shared" si="8"/>
        <v>28.841388222494281</v>
      </c>
      <c r="I180" s="98">
        <f t="shared" si="8"/>
        <v>28.956560991219213</v>
      </c>
      <c r="J180" s="98">
        <f t="shared" si="8"/>
        <v>29.248682361264486</v>
      </c>
      <c r="K180" s="98">
        <f t="shared" si="8"/>
        <v>29.569924367870417</v>
      </c>
      <c r="L180" s="98">
        <f t="shared" si="8"/>
        <v>29.883016672572534</v>
      </c>
      <c r="M180" s="98">
        <f t="shared" si="8"/>
        <v>30.151069923915312</v>
      </c>
    </row>
    <row r="181" spans="2:24" x14ac:dyDescent="0.5">
      <c r="B181" s="8" t="s">
        <v>153</v>
      </c>
      <c r="C181" s="29" t="s">
        <v>102</v>
      </c>
      <c r="D181" s="29" t="s">
        <v>103</v>
      </c>
      <c r="E181" s="51" t="s">
        <v>147</v>
      </c>
      <c r="F181" s="98">
        <f>Baseline!H83</f>
        <v>6.2041357650564439</v>
      </c>
      <c r="G181" s="98">
        <f t="shared" ref="G181:M181" si="9">F181*(1+G14)*(1+G68)*(1+G122)</f>
        <v>6.2436539150916133</v>
      </c>
      <c r="H181" s="98">
        <f t="shared" si="9"/>
        <v>6.3233876042849557</v>
      </c>
      <c r="I181" s="98">
        <f t="shared" si="9"/>
        <v>6.3486388873538617</v>
      </c>
      <c r="J181" s="98">
        <f t="shared" si="9"/>
        <v>6.4126856189480899</v>
      </c>
      <c r="K181" s="98">
        <f t="shared" si="9"/>
        <v>6.4831169625046829</v>
      </c>
      <c r="L181" s="98">
        <f t="shared" si="9"/>
        <v>6.5517615084355985</v>
      </c>
      <c r="M181" s="98">
        <f t="shared" si="9"/>
        <v>6.6105313774083827</v>
      </c>
    </row>
    <row r="182" spans="2:24" x14ac:dyDescent="0.5">
      <c r="B182" s="8" t="s">
        <v>154</v>
      </c>
      <c r="C182" s="29" t="s">
        <v>102</v>
      </c>
      <c r="D182" s="29" t="s">
        <v>103</v>
      </c>
      <c r="E182" s="51" t="s">
        <v>147</v>
      </c>
      <c r="F182" s="98">
        <f>Baseline!H84</f>
        <v>31.882183617403307</v>
      </c>
      <c r="G182" s="98">
        <f t="shared" ref="G182:M182" si="10">F182*(1+G15)*(1+G69)*(1+G123)</f>
        <v>32.085261848337197</v>
      </c>
      <c r="H182" s="98">
        <f t="shared" si="10"/>
        <v>32.495002095104986</v>
      </c>
      <c r="I182" s="98">
        <f t="shared" si="10"/>
        <v>32.624764897510481</v>
      </c>
      <c r="J182" s="98">
        <f t="shared" si="10"/>
        <v>32.953892069143727</v>
      </c>
      <c r="K182" s="98">
        <f t="shared" si="10"/>
        <v>33.315828866262045</v>
      </c>
      <c r="L182" s="98">
        <f t="shared" si="10"/>
        <v>33.668583560965729</v>
      </c>
      <c r="M182" s="98">
        <f t="shared" si="10"/>
        <v>33.970593675624137</v>
      </c>
    </row>
    <row r="183" spans="2:24" x14ac:dyDescent="0.5">
      <c r="B183" s="8" t="s">
        <v>155</v>
      </c>
      <c r="C183" s="29" t="s">
        <v>102</v>
      </c>
      <c r="D183" s="29" t="s">
        <v>103</v>
      </c>
      <c r="E183" s="51" t="s">
        <v>147</v>
      </c>
      <c r="F183" s="98">
        <f>Baseline!H85</f>
        <v>17.310878015719418</v>
      </c>
      <c r="G183" s="98">
        <f t="shared" ref="G183:M183" si="11">F183*(1+G16)*(1+G70)*(1+G124)</f>
        <v>17.421142184746589</v>
      </c>
      <c r="H183" s="98">
        <f t="shared" si="11"/>
        <v>17.643616388993259</v>
      </c>
      <c r="I183" s="98">
        <f t="shared" si="11"/>
        <v>17.714072919523787</v>
      </c>
      <c r="J183" s="98">
        <f t="shared" si="11"/>
        <v>17.892777125865912</v>
      </c>
      <c r="K183" s="98">
        <f t="shared" si="11"/>
        <v>18.089295777772026</v>
      </c>
      <c r="L183" s="98">
        <f t="shared" si="11"/>
        <v>18.280828878602502</v>
      </c>
      <c r="M183" s="98">
        <f t="shared" si="11"/>
        <v>18.444809499161735</v>
      </c>
    </row>
    <row r="184" spans="2:24" x14ac:dyDescent="0.5">
      <c r="B184" s="8" t="s">
        <v>156</v>
      </c>
      <c r="C184" s="29" t="s">
        <v>102</v>
      </c>
      <c r="D184" s="29" t="s">
        <v>103</v>
      </c>
      <c r="E184" s="51" t="s">
        <v>147</v>
      </c>
      <c r="F184" s="98">
        <f>Baseline!H86</f>
        <v>62.149696279688989</v>
      </c>
      <c r="G184" s="98">
        <f t="shared" ref="G184:M184" si="12">F184*(1+G17)*(1+G71)*(1+G125)</f>
        <v>62.5455678587821</v>
      </c>
      <c r="H184" s="98">
        <f t="shared" si="12"/>
        <v>63.344297086233212</v>
      </c>
      <c r="I184" s="98">
        <f t="shared" si="12"/>
        <v>63.597250863009677</v>
      </c>
      <c r="J184" s="98">
        <f t="shared" si="12"/>
        <v>64.238836583732834</v>
      </c>
      <c r="K184" s="98">
        <f t="shared" si="12"/>
        <v>64.944379914242603</v>
      </c>
      <c r="L184" s="98">
        <f t="shared" si="12"/>
        <v>65.632024066856459</v>
      </c>
      <c r="M184" s="98">
        <f t="shared" si="12"/>
        <v>66.220749015080159</v>
      </c>
    </row>
    <row r="185" spans="2:24" x14ac:dyDescent="0.5">
      <c r="B185" s="8" t="s">
        <v>157</v>
      </c>
      <c r="C185" s="29" t="s">
        <v>102</v>
      </c>
      <c r="D185" s="29" t="s">
        <v>103</v>
      </c>
      <c r="E185" s="51" t="s">
        <v>147</v>
      </c>
      <c r="F185" s="98">
        <f>Baseline!H87</f>
        <v>70.7010370305142</v>
      </c>
      <c r="G185" s="98">
        <f t="shared" ref="G185:M185" si="13">F185*(1+G18)*(1+G72)*(1+G126)</f>
        <v>71.151377625049605</v>
      </c>
      <c r="H185" s="98">
        <f t="shared" si="13"/>
        <v>72.060006115094708</v>
      </c>
      <c r="I185" s="98">
        <f t="shared" si="13"/>
        <v>72.347764469671347</v>
      </c>
      <c r="J185" s="98">
        <f t="shared" si="13"/>
        <v>73.077627663128666</v>
      </c>
      <c r="K185" s="98">
        <f t="shared" si="13"/>
        <v>73.880248562714712</v>
      </c>
      <c r="L185" s="98">
        <f t="shared" si="13"/>
        <v>74.662507489274532</v>
      </c>
      <c r="M185" s="98">
        <f t="shared" si="13"/>
        <v>75.332236657021951</v>
      </c>
    </row>
    <row r="186" spans="2:24" x14ac:dyDescent="0.5">
      <c r="B186" s="8" t="s">
        <v>158</v>
      </c>
      <c r="C186" s="29" t="s">
        <v>102</v>
      </c>
      <c r="D186" s="29" t="s">
        <v>103</v>
      </c>
      <c r="E186" s="51" t="s">
        <v>147</v>
      </c>
      <c r="F186" s="98">
        <f>Baseline!H88</f>
        <v>22.976572000000001</v>
      </c>
      <c r="G186" s="98">
        <f t="shared" ref="G186:M186" si="14">F186*(1+G19)*(1+G73)*(1+G127)</f>
        <v>20.810632171859201</v>
      </c>
      <c r="H186" s="98">
        <f t="shared" si="14"/>
        <v>18.968752235820162</v>
      </c>
      <c r="I186" s="98">
        <f t="shared" si="14"/>
        <v>17.140050406932705</v>
      </c>
      <c r="J186" s="98">
        <f t="shared" si="14"/>
        <v>15.581667351465265</v>
      </c>
      <c r="K186" s="98">
        <f t="shared" si="14"/>
        <v>14.177522511116704</v>
      </c>
      <c r="L186" s="98">
        <f t="shared" si="14"/>
        <v>12.894873273069056</v>
      </c>
      <c r="M186" s="98">
        <f t="shared" si="14"/>
        <v>11.709487264244649</v>
      </c>
      <c r="N186" s="119"/>
      <c r="U186" s="119"/>
      <c r="V186" s="119"/>
      <c r="W186" s="119"/>
      <c r="X186" s="119"/>
    </row>
    <row r="187" spans="2:24" x14ac:dyDescent="0.5">
      <c r="B187" s="8" t="s">
        <v>159</v>
      </c>
      <c r="C187" s="29" t="s">
        <v>102</v>
      </c>
      <c r="D187" s="29" t="s">
        <v>103</v>
      </c>
      <c r="E187" s="51" t="s">
        <v>147</v>
      </c>
      <c r="F187" s="98">
        <f>Baseline!H89</f>
        <v>3.7439850000000003</v>
      </c>
      <c r="G187" s="98">
        <f t="shared" ref="G187:M187" si="15">F187*(1+G20)*(1+G74)*(1+G128)</f>
        <v>3.7678328599699178</v>
      </c>
      <c r="H187" s="98">
        <f t="shared" si="15"/>
        <v>3.8159494305349755</v>
      </c>
      <c r="I187" s="98">
        <f t="shared" si="15"/>
        <v>3.8311877213495027</v>
      </c>
      <c r="J187" s="98">
        <f t="shared" si="15"/>
        <v>3.8698377463438596</v>
      </c>
      <c r="K187" s="98">
        <f t="shared" si="15"/>
        <v>3.912340667587288</v>
      </c>
      <c r="L187" s="98">
        <f t="shared" si="15"/>
        <v>3.9537653172128944</v>
      </c>
      <c r="M187" s="98">
        <f t="shared" si="15"/>
        <v>3.9892309350230919</v>
      </c>
    </row>
    <row r="188" spans="2:24" x14ac:dyDescent="0.5">
      <c r="B188" s="53" t="s">
        <v>160</v>
      </c>
      <c r="C188" s="29" t="s">
        <v>102</v>
      </c>
      <c r="D188" s="29" t="s">
        <v>103</v>
      </c>
      <c r="E188" s="51" t="s">
        <v>147</v>
      </c>
      <c r="F188" s="98">
        <f>Baseline!H90</f>
        <v>51.545229593399867</v>
      </c>
      <c r="G188" s="98">
        <f t="shared" ref="G188:M188" si="16">F188*(1+G21)*(1+G75)*(1+G129)</f>
        <v>51.873554471159963</v>
      </c>
      <c r="H188" s="98">
        <f t="shared" si="16"/>
        <v>52.535998278232618</v>
      </c>
      <c r="I188" s="98">
        <f t="shared" si="16"/>
        <v>52.745791105566539</v>
      </c>
      <c r="J188" s="98">
        <f t="shared" si="16"/>
        <v>53.277904458618103</v>
      </c>
      <c r="K188" s="98">
        <f t="shared" si="16"/>
        <v>53.863062474444213</v>
      </c>
      <c r="L188" s="98">
        <f t="shared" si="16"/>
        <v>54.433375409933547</v>
      </c>
      <c r="M188" s="98">
        <f t="shared" si="16"/>
        <v>54.921647508432443</v>
      </c>
    </row>
    <row r="189" spans="2:24" x14ac:dyDescent="0.5">
      <c r="B189" s="53" t="s">
        <v>161</v>
      </c>
      <c r="C189" s="29" t="s">
        <v>102</v>
      </c>
      <c r="D189" s="29" t="s">
        <v>103</v>
      </c>
      <c r="E189" s="51" t="s">
        <v>147</v>
      </c>
      <c r="F189" s="98">
        <f>Baseline!H91</f>
        <v>0</v>
      </c>
      <c r="G189" s="98">
        <f t="shared" ref="G189:M189" si="17">F189*(1+G22)*(1+G76)*(1+G130)</f>
        <v>0</v>
      </c>
      <c r="H189" s="98">
        <f t="shared" si="17"/>
        <v>0</v>
      </c>
      <c r="I189" s="98">
        <f t="shared" si="17"/>
        <v>0</v>
      </c>
      <c r="J189" s="98">
        <f t="shared" si="17"/>
        <v>0</v>
      </c>
      <c r="K189" s="98">
        <f t="shared" si="17"/>
        <v>0</v>
      </c>
      <c r="L189" s="98">
        <f t="shared" si="17"/>
        <v>0</v>
      </c>
      <c r="M189" s="98">
        <f t="shared" si="17"/>
        <v>0</v>
      </c>
    </row>
    <row r="190" spans="2:24" x14ac:dyDescent="0.5">
      <c r="B190" s="53" t="s">
        <v>161</v>
      </c>
      <c r="C190" s="29" t="s">
        <v>102</v>
      </c>
      <c r="D190" s="29" t="s">
        <v>103</v>
      </c>
      <c r="E190" s="51" t="s">
        <v>147</v>
      </c>
      <c r="F190" s="98">
        <f>Baseline!H92</f>
        <v>0</v>
      </c>
      <c r="G190" s="98">
        <f t="shared" ref="G190:M190" si="18">F190*(1+G23)*(1+G77)*(1+G131)</f>
        <v>0</v>
      </c>
      <c r="H190" s="98">
        <f t="shared" si="18"/>
        <v>0</v>
      </c>
      <c r="I190" s="98">
        <f t="shared" si="18"/>
        <v>0</v>
      </c>
      <c r="J190" s="98">
        <f t="shared" si="18"/>
        <v>0</v>
      </c>
      <c r="K190" s="98">
        <f t="shared" si="18"/>
        <v>0</v>
      </c>
      <c r="L190" s="98">
        <f t="shared" si="18"/>
        <v>0</v>
      </c>
      <c r="M190" s="98">
        <f t="shared" si="18"/>
        <v>0</v>
      </c>
    </row>
    <row r="191" spans="2:24" x14ac:dyDescent="0.5">
      <c r="B191" s="8" t="s">
        <v>163</v>
      </c>
      <c r="C191" s="29" t="s">
        <v>102</v>
      </c>
      <c r="D191" s="29" t="s">
        <v>103</v>
      </c>
      <c r="E191" s="51" t="s">
        <v>162</v>
      </c>
      <c r="F191" s="98">
        <f>Baseline!H93</f>
        <v>175.62</v>
      </c>
      <c r="G191" s="98">
        <f t="shared" ref="G191:M191" si="19">F191*(1+G24)*(1+G78)*(1+G132)</f>
        <v>181.80158652771019</v>
      </c>
      <c r="H191" s="98">
        <f t="shared" si="19"/>
        <v>183.00886957014058</v>
      </c>
      <c r="I191" s="98">
        <f t="shared" si="19"/>
        <v>184.78793389049261</v>
      </c>
      <c r="J191" s="98">
        <f t="shared" si="19"/>
        <v>188.83296831075342</v>
      </c>
      <c r="K191" s="98">
        <f t="shared" si="19"/>
        <v>193.12060431967257</v>
      </c>
      <c r="L191" s="98">
        <f t="shared" si="19"/>
        <v>197.36027418387536</v>
      </c>
      <c r="M191" s="98">
        <f t="shared" si="19"/>
        <v>201.44257168082126</v>
      </c>
    </row>
    <row r="192" spans="2:24" x14ac:dyDescent="0.5">
      <c r="B192" s="8" t="s">
        <v>164</v>
      </c>
      <c r="C192" s="29" t="s">
        <v>102</v>
      </c>
      <c r="D192" s="29" t="s">
        <v>103</v>
      </c>
      <c r="E192" s="51" t="s">
        <v>162</v>
      </c>
      <c r="F192" s="98">
        <f>Baseline!H94</f>
        <v>27.275317000000001</v>
      </c>
      <c r="G192" s="98">
        <f t="shared" ref="G192:M192" si="20">F192*(1+G25)*(1+G79)*(1+G133)</f>
        <v>28.235371276883185</v>
      </c>
      <c r="H192" s="98">
        <f t="shared" si="20"/>
        <v>28.422872858086997</v>
      </c>
      <c r="I192" s="98">
        <f t="shared" si="20"/>
        <v>28.699177056361631</v>
      </c>
      <c r="J192" s="98">
        <f t="shared" si="20"/>
        <v>29.327406165167712</v>
      </c>
      <c r="K192" s="98">
        <f t="shared" si="20"/>
        <v>29.993313415616889</v>
      </c>
      <c r="L192" s="98">
        <f t="shared" si="20"/>
        <v>30.651771105637831</v>
      </c>
      <c r="M192" s="98">
        <f t="shared" si="20"/>
        <v>31.285787495100905</v>
      </c>
    </row>
    <row r="193" spans="2:13" x14ac:dyDescent="0.5">
      <c r="B193" s="53" t="s">
        <v>165</v>
      </c>
      <c r="C193" s="29" t="s">
        <v>102</v>
      </c>
      <c r="D193" s="29" t="s">
        <v>103</v>
      </c>
      <c r="E193" s="51" t="s">
        <v>162</v>
      </c>
      <c r="F193" s="98">
        <f>Baseline!H95</f>
        <v>0</v>
      </c>
      <c r="G193" s="98">
        <f t="shared" ref="G193:M193" si="21">F193*(1+G26)*(1+G80)*(1+G134)</f>
        <v>0</v>
      </c>
      <c r="H193" s="98">
        <f t="shared" si="21"/>
        <v>0</v>
      </c>
      <c r="I193" s="98">
        <f t="shared" si="21"/>
        <v>0</v>
      </c>
      <c r="J193" s="98">
        <f t="shared" si="21"/>
        <v>0</v>
      </c>
      <c r="K193" s="98">
        <f t="shared" si="21"/>
        <v>0</v>
      </c>
      <c r="L193" s="98">
        <f t="shared" si="21"/>
        <v>0</v>
      </c>
      <c r="M193" s="98">
        <f t="shared" si="21"/>
        <v>0</v>
      </c>
    </row>
    <row r="194" spans="2:13" x14ac:dyDescent="0.5">
      <c r="B194" s="53" t="s">
        <v>161</v>
      </c>
      <c r="C194" s="29" t="s">
        <v>102</v>
      </c>
      <c r="D194" s="29" t="s">
        <v>103</v>
      </c>
      <c r="E194" s="51" t="s">
        <v>162</v>
      </c>
      <c r="F194" s="98">
        <f>Baseline!H96</f>
        <v>0</v>
      </c>
      <c r="G194" s="98">
        <f t="shared" ref="G194:M194" si="22">F194*(1+G27)*(1+G81)*(1+G135)</f>
        <v>0</v>
      </c>
      <c r="H194" s="98">
        <f t="shared" si="22"/>
        <v>0</v>
      </c>
      <c r="I194" s="98">
        <f t="shared" si="22"/>
        <v>0</v>
      </c>
      <c r="J194" s="98">
        <f t="shared" si="22"/>
        <v>0</v>
      </c>
      <c r="K194" s="98">
        <f t="shared" si="22"/>
        <v>0</v>
      </c>
      <c r="L194" s="98">
        <f t="shared" si="22"/>
        <v>0</v>
      </c>
      <c r="M194" s="98">
        <f t="shared" si="22"/>
        <v>0</v>
      </c>
    </row>
    <row r="195" spans="2:13" x14ac:dyDescent="0.5">
      <c r="B195" s="8" t="s">
        <v>166</v>
      </c>
      <c r="C195" s="29" t="s">
        <v>102</v>
      </c>
      <c r="D195" s="29" t="s">
        <v>103</v>
      </c>
      <c r="E195" s="51" t="s">
        <v>166</v>
      </c>
      <c r="F195" s="114"/>
      <c r="G195" s="114"/>
      <c r="H195" s="114"/>
      <c r="I195" s="114"/>
      <c r="J195" s="114"/>
      <c r="K195" s="114"/>
      <c r="L195" s="114"/>
      <c r="M195" s="114"/>
    </row>
    <row r="196" spans="2:13" x14ac:dyDescent="0.5">
      <c r="B196" s="8" t="s">
        <v>167</v>
      </c>
      <c r="C196" s="29" t="s">
        <v>102</v>
      </c>
      <c r="D196" s="29" t="s">
        <v>103</v>
      </c>
      <c r="E196" s="51" t="s">
        <v>168</v>
      </c>
      <c r="F196" s="98">
        <f>Baseline!H98</f>
        <v>15.786951989364759</v>
      </c>
      <c r="G196" s="98">
        <f t="shared" ref="G196:M196" si="23">F196*(1+G29)*(1+G83)*(1+G137)</f>
        <v>16.005759232662449</v>
      </c>
      <c r="H196" s="98">
        <f t="shared" si="23"/>
        <v>16.289682775774523</v>
      </c>
      <c r="I196" s="98">
        <f t="shared" si="23"/>
        <v>16.491999810305703</v>
      </c>
      <c r="J196" s="98">
        <f t="shared" si="23"/>
        <v>16.757743429763014</v>
      </c>
      <c r="K196" s="98">
        <f t="shared" si="23"/>
        <v>17.036856637939213</v>
      </c>
      <c r="L196" s="98">
        <f t="shared" si="23"/>
        <v>17.316541340465417</v>
      </c>
      <c r="M196" s="98">
        <f t="shared" si="23"/>
        <v>17.583837265761318</v>
      </c>
    </row>
    <row r="197" spans="2:13" x14ac:dyDescent="0.5">
      <c r="B197" s="8" t="s">
        <v>169</v>
      </c>
      <c r="C197" s="29" t="s">
        <v>102</v>
      </c>
      <c r="D197" s="29" t="s">
        <v>103</v>
      </c>
      <c r="E197" s="51" t="s">
        <v>168</v>
      </c>
      <c r="F197" s="98">
        <f>Baseline!H99</f>
        <v>32.277898107214718</v>
      </c>
      <c r="G197" s="98">
        <f t="shared" ref="G197:M197" si="24">F197*(1+G30)*(1+G84)*(1+G138)</f>
        <v>32.725269956387457</v>
      </c>
      <c r="H197" s="98">
        <f t="shared" si="24"/>
        <v>33.305778163480547</v>
      </c>
      <c r="I197" s="98">
        <f t="shared" si="24"/>
        <v>33.719434240369274</v>
      </c>
      <c r="J197" s="98">
        <f t="shared" si="24"/>
        <v>34.262771895241727</v>
      </c>
      <c r="K197" s="98">
        <f t="shared" si="24"/>
        <v>34.833444923192808</v>
      </c>
      <c r="L197" s="98">
        <f t="shared" si="24"/>
        <v>35.405286424729589</v>
      </c>
      <c r="M197" s="98">
        <f t="shared" si="24"/>
        <v>35.951797913900329</v>
      </c>
    </row>
    <row r="198" spans="2:13" x14ac:dyDescent="0.5">
      <c r="B198" s="8" t="s">
        <v>170</v>
      </c>
      <c r="C198" s="29" t="s">
        <v>102</v>
      </c>
      <c r="D198" s="29" t="s">
        <v>103</v>
      </c>
      <c r="E198" s="51" t="s">
        <v>168</v>
      </c>
      <c r="F198" s="98">
        <f>Baseline!H100</f>
        <v>21.6776817119862</v>
      </c>
      <c r="G198" s="98">
        <f t="shared" ref="G198:M198" si="25">F198*(1+G31)*(1+G85)*(1+G139)</f>
        <v>21.978134502346226</v>
      </c>
      <c r="H198" s="98">
        <f t="shared" si="25"/>
        <v>22.368001032773961</v>
      </c>
      <c r="I198" s="98">
        <f t="shared" si="25"/>
        <v>22.645810472014318</v>
      </c>
      <c r="J198" s="98">
        <f t="shared" si="25"/>
        <v>23.010713437670233</v>
      </c>
      <c r="K198" s="98">
        <f t="shared" si="25"/>
        <v>23.393974708910623</v>
      </c>
      <c r="L198" s="98">
        <f t="shared" si="25"/>
        <v>23.778020721412528</v>
      </c>
      <c r="M198" s="98">
        <f t="shared" si="25"/>
        <v>24.145055218976015</v>
      </c>
    </row>
    <row r="199" spans="2:13" x14ac:dyDescent="0.5">
      <c r="B199" s="8" t="s">
        <v>171</v>
      </c>
      <c r="C199" s="29" t="s">
        <v>102</v>
      </c>
      <c r="D199" s="29" t="s">
        <v>103</v>
      </c>
      <c r="E199" s="51" t="s">
        <v>172</v>
      </c>
      <c r="F199" s="98">
        <f>Baseline!H101</f>
        <v>19.10447923227176</v>
      </c>
      <c r="G199" s="98">
        <f t="shared" ref="G199:M199" si="26">F199*(1+G32)*(1+G86)*(1+G140)</f>
        <v>19.265869434056775</v>
      </c>
      <c r="H199" s="98">
        <f t="shared" si="26"/>
        <v>19.497347333697995</v>
      </c>
      <c r="I199" s="98">
        <f t="shared" si="26"/>
        <v>19.710070668694236</v>
      </c>
      <c r="J199" s="98">
        <f t="shared" si="26"/>
        <v>19.8713606280111</v>
      </c>
      <c r="K199" s="98">
        <f t="shared" si="26"/>
        <v>20.040172937997198</v>
      </c>
      <c r="L199" s="98">
        <f t="shared" si="26"/>
        <v>20.100645541859496</v>
      </c>
      <c r="M199" s="98">
        <f t="shared" si="26"/>
        <v>20.161300625974295</v>
      </c>
    </row>
    <row r="200" spans="2:13" x14ac:dyDescent="0.5">
      <c r="B200" s="8" t="s">
        <v>173</v>
      </c>
      <c r="C200" s="29" t="s">
        <v>102</v>
      </c>
      <c r="D200" s="29" t="s">
        <v>103</v>
      </c>
      <c r="E200" s="51" t="s">
        <v>172</v>
      </c>
      <c r="F200" s="98">
        <f>Baseline!H102</f>
        <v>97.417655878726109</v>
      </c>
      <c r="G200" s="98">
        <f t="shared" ref="G200:M200" si="27">F200*(1+G33)*(1+G87)*(1+G141)</f>
        <v>96.842214511411953</v>
      </c>
      <c r="H200" s="98">
        <f t="shared" si="27"/>
        <v>96.46782501192834</v>
      </c>
      <c r="I200" s="98">
        <f t="shared" si="27"/>
        <v>94.923123170825178</v>
      </c>
      <c r="J200" s="98">
        <f t="shared" si="27"/>
        <v>96.040597994141137</v>
      </c>
      <c r="K200" s="98">
        <f t="shared" si="27"/>
        <v>97.266803302862471</v>
      </c>
      <c r="L200" s="98">
        <f t="shared" si="27"/>
        <v>98.417968708565965</v>
      </c>
      <c r="M200" s="98">
        <f t="shared" si="27"/>
        <v>99.459103600561207</v>
      </c>
    </row>
    <row r="201" spans="2:13" x14ac:dyDescent="0.5">
      <c r="B201" s="8" t="s">
        <v>174</v>
      </c>
      <c r="C201" s="29" t="s">
        <v>102</v>
      </c>
      <c r="D201" s="29" t="s">
        <v>103</v>
      </c>
      <c r="E201" s="51" t="s">
        <v>172</v>
      </c>
      <c r="F201" s="98">
        <f>Baseline!H103</f>
        <v>4.7173109431847129</v>
      </c>
      <c r="G201" s="98">
        <f t="shared" ref="G201:M201" si="28">F201*(1+G34)*(1+G88)*(1+G142)</f>
        <v>4.7571616900041915</v>
      </c>
      <c r="H201" s="98">
        <f t="shared" si="28"/>
        <v>4.8143186119912817</v>
      </c>
      <c r="I201" s="98">
        <f t="shared" si="28"/>
        <v>4.8668446245482428</v>
      </c>
      <c r="J201" s="98">
        <f t="shared" si="28"/>
        <v>4.906670619324693</v>
      </c>
      <c r="K201" s="98">
        <f t="shared" si="28"/>
        <v>4.9483540458949662</v>
      </c>
      <c r="L201" s="98">
        <f t="shared" si="28"/>
        <v>4.9632860454796814</v>
      </c>
      <c r="M201" s="98">
        <f t="shared" si="28"/>
        <v>4.9782631034028935</v>
      </c>
    </row>
    <row r="202" spans="2:13" x14ac:dyDescent="0.5">
      <c r="B202" s="53" t="s">
        <v>161</v>
      </c>
      <c r="C202" s="29" t="s">
        <v>102</v>
      </c>
      <c r="D202" s="29" t="s">
        <v>103</v>
      </c>
      <c r="E202" s="51" t="s">
        <v>172</v>
      </c>
      <c r="F202" s="98">
        <f>Baseline!H104</f>
        <v>0</v>
      </c>
      <c r="G202" s="98">
        <f t="shared" ref="G202:M202" si="29">F202*(1+G35)*(1+G89)*(1+G143)</f>
        <v>0</v>
      </c>
      <c r="H202" s="98">
        <f t="shared" si="29"/>
        <v>0</v>
      </c>
      <c r="I202" s="98">
        <f t="shared" si="29"/>
        <v>0</v>
      </c>
      <c r="J202" s="98">
        <f t="shared" si="29"/>
        <v>0</v>
      </c>
      <c r="K202" s="98">
        <f t="shared" si="29"/>
        <v>0</v>
      </c>
      <c r="L202" s="98">
        <f t="shared" si="29"/>
        <v>0</v>
      </c>
      <c r="M202" s="98">
        <f t="shared" si="29"/>
        <v>0</v>
      </c>
    </row>
    <row r="203" spans="2:13" x14ac:dyDescent="0.5">
      <c r="B203" s="53" t="s">
        <v>161</v>
      </c>
      <c r="C203" s="29" t="s">
        <v>102</v>
      </c>
      <c r="D203" s="29" t="s">
        <v>103</v>
      </c>
      <c r="E203" s="51" t="s">
        <v>172</v>
      </c>
      <c r="F203" s="98">
        <f>Baseline!H105</f>
        <v>0</v>
      </c>
      <c r="G203" s="98">
        <f t="shared" ref="G203:M203" si="30">F203*(1+G36)*(1+G90)*(1+G144)</f>
        <v>0</v>
      </c>
      <c r="H203" s="98">
        <f t="shared" si="30"/>
        <v>0</v>
      </c>
      <c r="I203" s="98">
        <f t="shared" si="30"/>
        <v>0</v>
      </c>
      <c r="J203" s="98">
        <f t="shared" si="30"/>
        <v>0</v>
      </c>
      <c r="K203" s="98">
        <f t="shared" si="30"/>
        <v>0</v>
      </c>
      <c r="L203" s="98">
        <f t="shared" si="30"/>
        <v>0</v>
      </c>
      <c r="M203" s="98">
        <f t="shared" si="30"/>
        <v>0</v>
      </c>
    </row>
    <row r="204" spans="2:13" x14ac:dyDescent="0.5">
      <c r="B204" s="53" t="s">
        <v>161</v>
      </c>
      <c r="C204" s="29" t="s">
        <v>102</v>
      </c>
      <c r="D204" s="29" t="s">
        <v>103</v>
      </c>
      <c r="E204" s="51" t="s">
        <v>172</v>
      </c>
      <c r="F204" s="98">
        <f>Baseline!H106</f>
        <v>0</v>
      </c>
      <c r="G204" s="98">
        <f t="shared" ref="G204:M204" si="31">F204*(1+G37)*(1+G91)*(1+G145)</f>
        <v>0</v>
      </c>
      <c r="H204" s="98">
        <f t="shared" si="31"/>
        <v>0</v>
      </c>
      <c r="I204" s="98">
        <f t="shared" si="31"/>
        <v>0</v>
      </c>
      <c r="J204" s="98">
        <f t="shared" si="31"/>
        <v>0</v>
      </c>
      <c r="K204" s="98">
        <f t="shared" si="31"/>
        <v>0</v>
      </c>
      <c r="L204" s="98">
        <f t="shared" si="31"/>
        <v>0</v>
      </c>
      <c r="M204" s="98">
        <f t="shared" si="31"/>
        <v>0</v>
      </c>
    </row>
    <row r="205" spans="2:13" x14ac:dyDescent="0.5">
      <c r="B205" s="8" t="s">
        <v>175</v>
      </c>
      <c r="C205" s="29" t="s">
        <v>102</v>
      </c>
      <c r="D205" s="29" t="s">
        <v>103</v>
      </c>
      <c r="E205" s="51" t="s">
        <v>176</v>
      </c>
      <c r="F205" s="98">
        <f>Baseline!H107</f>
        <v>0</v>
      </c>
      <c r="G205" s="98">
        <f t="shared" ref="G205:M205" si="32">F205*(1+G38)*(1+G92)*(1+G146)</f>
        <v>0</v>
      </c>
      <c r="H205" s="98">
        <f t="shared" si="32"/>
        <v>0</v>
      </c>
      <c r="I205" s="98">
        <f t="shared" si="32"/>
        <v>0</v>
      </c>
      <c r="J205" s="98">
        <f t="shared" si="32"/>
        <v>0</v>
      </c>
      <c r="K205" s="98">
        <f t="shared" si="32"/>
        <v>0</v>
      </c>
      <c r="L205" s="98">
        <f t="shared" si="32"/>
        <v>0</v>
      </c>
      <c r="M205" s="98">
        <f t="shared" si="32"/>
        <v>0</v>
      </c>
    </row>
    <row r="206" spans="2:13" x14ac:dyDescent="0.5">
      <c r="B206" s="8" t="s">
        <v>177</v>
      </c>
      <c r="C206" s="29" t="s">
        <v>102</v>
      </c>
      <c r="D206" s="29" t="s">
        <v>103</v>
      </c>
      <c r="E206" s="51" t="s">
        <v>176</v>
      </c>
      <c r="F206" s="98">
        <f>Baseline!H108</f>
        <v>0</v>
      </c>
      <c r="G206" s="98">
        <f t="shared" ref="G206:M206" si="33">F206*(1+G39)*(1+G93)*(1+G147)</f>
        <v>0</v>
      </c>
      <c r="H206" s="98">
        <f t="shared" si="33"/>
        <v>0</v>
      </c>
      <c r="I206" s="98">
        <f t="shared" si="33"/>
        <v>0</v>
      </c>
      <c r="J206" s="98">
        <f t="shared" si="33"/>
        <v>0</v>
      </c>
      <c r="K206" s="98">
        <f t="shared" si="33"/>
        <v>0</v>
      </c>
      <c r="L206" s="98">
        <f t="shared" si="33"/>
        <v>0</v>
      </c>
      <c r="M206" s="98">
        <f t="shared" si="33"/>
        <v>0</v>
      </c>
    </row>
    <row r="207" spans="2:13" x14ac:dyDescent="0.5">
      <c r="B207" s="8" t="s">
        <v>178</v>
      </c>
      <c r="C207" s="29" t="s">
        <v>102</v>
      </c>
      <c r="D207" s="29" t="s">
        <v>103</v>
      </c>
      <c r="E207" s="51" t="s">
        <v>176</v>
      </c>
      <c r="F207" s="98">
        <f>Baseline!H109</f>
        <v>0</v>
      </c>
      <c r="G207" s="98">
        <f t="shared" ref="G207:M207" si="34">F207*(1+G40)*(1+G94)*(1+G148)</f>
        <v>0</v>
      </c>
      <c r="H207" s="98">
        <f t="shared" si="34"/>
        <v>0</v>
      </c>
      <c r="I207" s="98">
        <f t="shared" si="34"/>
        <v>0</v>
      </c>
      <c r="J207" s="98">
        <f t="shared" si="34"/>
        <v>0</v>
      </c>
      <c r="K207" s="98">
        <f t="shared" si="34"/>
        <v>0</v>
      </c>
      <c r="L207" s="98">
        <f t="shared" si="34"/>
        <v>0</v>
      </c>
      <c r="M207" s="98">
        <f t="shared" si="34"/>
        <v>0</v>
      </c>
    </row>
    <row r="208" spans="2:13" x14ac:dyDescent="0.5">
      <c r="B208" s="8" t="s">
        <v>179</v>
      </c>
      <c r="C208" s="29" t="s">
        <v>102</v>
      </c>
      <c r="D208" s="29" t="s">
        <v>103</v>
      </c>
      <c r="E208" s="51" t="s">
        <v>176</v>
      </c>
      <c r="F208" s="98">
        <f>Baseline!H110</f>
        <v>90.056985525012379</v>
      </c>
      <c r="G208" s="98">
        <f t="shared" ref="G208:M208" si="35">F208*(1+G41)*(1+G95)*(1+G149)</f>
        <v>90.343801094534342</v>
      </c>
      <c r="H208" s="98">
        <f t="shared" si="35"/>
        <v>90.920662388816311</v>
      </c>
      <c r="I208" s="98">
        <f t="shared" si="35"/>
        <v>91.10219984361639</v>
      </c>
      <c r="J208" s="98">
        <f t="shared" si="35"/>
        <v>91.561731267954485</v>
      </c>
      <c r="K208" s="98">
        <f t="shared" si="35"/>
        <v>92.064548350746989</v>
      </c>
      <c r="L208" s="98">
        <f t="shared" si="35"/>
        <v>92.551947325223466</v>
      </c>
      <c r="M208" s="98">
        <f t="shared" si="35"/>
        <v>92.967046822547687</v>
      </c>
    </row>
    <row r="209" spans="2:13" x14ac:dyDescent="0.5">
      <c r="B209" s="53" t="s">
        <v>180</v>
      </c>
      <c r="C209" s="29" t="s">
        <v>102</v>
      </c>
      <c r="D209" s="29" t="s">
        <v>103</v>
      </c>
      <c r="E209" s="51" t="s">
        <v>176</v>
      </c>
      <c r="F209" s="98">
        <f>Baseline!H111</f>
        <v>43.748973129880007</v>
      </c>
      <c r="G209" s="98">
        <f t="shared" ref="G209:M209" si="36">F209*(1+G42)*(1+G96)*(1+G150)</f>
        <v>43.888305870933863</v>
      </c>
      <c r="H209" s="98">
        <f t="shared" si="36"/>
        <v>44.168540536974291</v>
      </c>
      <c r="I209" s="98">
        <f t="shared" si="36"/>
        <v>44.2567300004103</v>
      </c>
      <c r="J209" s="98">
        <f t="shared" si="36"/>
        <v>44.479966741219478</v>
      </c>
      <c r="K209" s="98">
        <f t="shared" si="36"/>
        <v>44.724231313435524</v>
      </c>
      <c r="L209" s="98">
        <f t="shared" si="36"/>
        <v>44.96100589026144</v>
      </c>
      <c r="M209" s="98">
        <f t="shared" si="36"/>
        <v>45.162657951440195</v>
      </c>
    </row>
    <row r="210" spans="2:13" x14ac:dyDescent="0.5">
      <c r="B210" s="53" t="s">
        <v>181</v>
      </c>
      <c r="C210" s="29" t="s">
        <v>102</v>
      </c>
      <c r="D210" s="29" t="s">
        <v>103</v>
      </c>
      <c r="E210" s="51" t="s">
        <v>176</v>
      </c>
      <c r="F210" s="98">
        <f>Baseline!H112</f>
        <v>12.620755707126646</v>
      </c>
      <c r="G210" s="98">
        <f t="shared" ref="G210:M210" si="37">F210*(1+G43)*(1+G97)*(1+G151)</f>
        <v>12.660950581681178</v>
      </c>
      <c r="H210" s="98">
        <f t="shared" si="37"/>
        <v>12.741793010834078</v>
      </c>
      <c r="I210" s="98">
        <f t="shared" si="37"/>
        <v>12.767234011944304</v>
      </c>
      <c r="J210" s="98">
        <f t="shared" si="37"/>
        <v>12.831633611958766</v>
      </c>
      <c r="K210" s="98">
        <f t="shared" si="37"/>
        <v>12.902099345741648</v>
      </c>
      <c r="L210" s="98">
        <f t="shared" si="37"/>
        <v>12.970404356762289</v>
      </c>
      <c r="M210" s="98">
        <f t="shared" si="37"/>
        <v>13.028577182771716</v>
      </c>
    </row>
    <row r="211" spans="2:13" x14ac:dyDescent="0.5">
      <c r="B211" s="53" t="s">
        <v>161</v>
      </c>
      <c r="C211" s="29" t="s">
        <v>102</v>
      </c>
      <c r="D211" s="29" t="s">
        <v>103</v>
      </c>
      <c r="E211" s="51" t="s">
        <v>176</v>
      </c>
      <c r="F211" s="98">
        <f>Baseline!H113</f>
        <v>0</v>
      </c>
      <c r="G211" s="98">
        <f t="shared" ref="G211:M211" si="38">F211*(1+G44)*(1+G98)*(1+G152)</f>
        <v>0</v>
      </c>
      <c r="H211" s="98">
        <f t="shared" si="38"/>
        <v>0</v>
      </c>
      <c r="I211" s="98">
        <f t="shared" si="38"/>
        <v>0</v>
      </c>
      <c r="J211" s="98">
        <f t="shared" si="38"/>
        <v>0</v>
      </c>
      <c r="K211" s="98">
        <f t="shared" si="38"/>
        <v>0</v>
      </c>
      <c r="L211" s="98">
        <f t="shared" si="38"/>
        <v>0</v>
      </c>
      <c r="M211" s="98">
        <f t="shared" si="38"/>
        <v>0</v>
      </c>
    </row>
    <row r="212" spans="2:13" x14ac:dyDescent="0.5">
      <c r="B212" s="53" t="s">
        <v>161</v>
      </c>
      <c r="C212" s="29" t="s">
        <v>102</v>
      </c>
      <c r="D212" s="29" t="s">
        <v>103</v>
      </c>
      <c r="E212" s="51" t="s">
        <v>176</v>
      </c>
      <c r="F212" s="98">
        <f>Baseline!H114</f>
        <v>0</v>
      </c>
      <c r="G212" s="98">
        <f t="shared" ref="G212:M212" si="39">F212*(1+G45)*(1+G99)*(1+G153)</f>
        <v>0</v>
      </c>
      <c r="H212" s="98">
        <f t="shared" si="39"/>
        <v>0</v>
      </c>
      <c r="I212" s="98">
        <f t="shared" si="39"/>
        <v>0</v>
      </c>
      <c r="J212" s="98">
        <f t="shared" si="39"/>
        <v>0</v>
      </c>
      <c r="K212" s="98">
        <f t="shared" si="39"/>
        <v>0</v>
      </c>
      <c r="L212" s="98">
        <f t="shared" si="39"/>
        <v>0</v>
      </c>
      <c r="M212" s="98">
        <f t="shared" si="39"/>
        <v>0</v>
      </c>
    </row>
    <row r="213" spans="2:13" x14ac:dyDescent="0.5">
      <c r="B213" s="53" t="s">
        <v>161</v>
      </c>
      <c r="C213" s="29" t="s">
        <v>102</v>
      </c>
      <c r="D213" s="29" t="s">
        <v>103</v>
      </c>
      <c r="E213" s="51" t="s">
        <v>176</v>
      </c>
      <c r="F213" s="98">
        <f>Baseline!H115</f>
        <v>0</v>
      </c>
      <c r="G213" s="98">
        <f t="shared" ref="G213:M213" si="40">F213*(1+G46)*(1+G100)*(1+G154)</f>
        <v>0</v>
      </c>
      <c r="H213" s="98">
        <f t="shared" si="40"/>
        <v>0</v>
      </c>
      <c r="I213" s="98">
        <f t="shared" si="40"/>
        <v>0</v>
      </c>
      <c r="J213" s="98">
        <f t="shared" si="40"/>
        <v>0</v>
      </c>
      <c r="K213" s="98">
        <f t="shared" si="40"/>
        <v>0</v>
      </c>
      <c r="L213" s="98">
        <f t="shared" si="40"/>
        <v>0</v>
      </c>
      <c r="M213" s="98">
        <f t="shared" si="40"/>
        <v>0</v>
      </c>
    </row>
    <row r="214" spans="2:13" x14ac:dyDescent="0.5">
      <c r="B214" s="8" t="s">
        <v>182</v>
      </c>
      <c r="C214" s="29" t="s">
        <v>102</v>
      </c>
      <c r="D214" s="29" t="s">
        <v>103</v>
      </c>
      <c r="E214" s="51" t="s">
        <v>182</v>
      </c>
      <c r="F214" s="98">
        <f>Baseline!H116</f>
        <v>0</v>
      </c>
      <c r="G214" s="98">
        <f t="shared" ref="G214:M214" si="41">F214*(1+G47)*(1+G101)*(1+G155)</f>
        <v>0</v>
      </c>
      <c r="H214" s="98">
        <f t="shared" si="41"/>
        <v>0</v>
      </c>
      <c r="I214" s="98">
        <f t="shared" si="41"/>
        <v>0</v>
      </c>
      <c r="J214" s="98">
        <f t="shared" si="41"/>
        <v>0</v>
      </c>
      <c r="K214" s="98">
        <f t="shared" si="41"/>
        <v>0</v>
      </c>
      <c r="L214" s="98">
        <f t="shared" si="41"/>
        <v>0</v>
      </c>
      <c r="M214" s="98">
        <f t="shared" si="41"/>
        <v>0</v>
      </c>
    </row>
    <row r="215" spans="2:13" x14ac:dyDescent="0.5">
      <c r="B215" s="8" t="s">
        <v>183</v>
      </c>
      <c r="C215" s="29" t="s">
        <v>102</v>
      </c>
      <c r="D215" s="29" t="s">
        <v>103</v>
      </c>
      <c r="E215" s="51" t="s">
        <v>184</v>
      </c>
      <c r="F215" s="98">
        <f>Baseline!H117</f>
        <v>0</v>
      </c>
      <c r="G215" s="98">
        <f t="shared" ref="G215:M215" si="42">F215*(1+G48)*(1+G102)*(1+G156)</f>
        <v>0</v>
      </c>
      <c r="H215" s="98">
        <f t="shared" si="42"/>
        <v>0</v>
      </c>
      <c r="I215" s="98">
        <f t="shared" si="42"/>
        <v>0</v>
      </c>
      <c r="J215" s="98">
        <f t="shared" si="42"/>
        <v>0</v>
      </c>
      <c r="K215" s="98">
        <f t="shared" si="42"/>
        <v>0</v>
      </c>
      <c r="L215" s="98">
        <f t="shared" si="42"/>
        <v>0</v>
      </c>
      <c r="M215" s="98">
        <f t="shared" si="42"/>
        <v>0</v>
      </c>
    </row>
    <row r="216" spans="2:13" x14ac:dyDescent="0.5">
      <c r="B216" s="8" t="s">
        <v>185</v>
      </c>
      <c r="C216" s="29" t="s">
        <v>102</v>
      </c>
      <c r="D216" s="29" t="s">
        <v>103</v>
      </c>
      <c r="E216" s="51" t="s">
        <v>184</v>
      </c>
      <c r="F216" s="98">
        <f>Baseline!H118</f>
        <v>0</v>
      </c>
      <c r="G216" s="98">
        <f t="shared" ref="G216:M216" si="43">F216*(1+G49)*(1+G103)*(1+G157)</f>
        <v>0</v>
      </c>
      <c r="H216" s="98">
        <f t="shared" si="43"/>
        <v>0</v>
      </c>
      <c r="I216" s="98">
        <f t="shared" si="43"/>
        <v>0</v>
      </c>
      <c r="J216" s="98">
        <f t="shared" si="43"/>
        <v>0</v>
      </c>
      <c r="K216" s="98">
        <f t="shared" si="43"/>
        <v>0</v>
      </c>
      <c r="L216" s="98">
        <f t="shared" si="43"/>
        <v>0</v>
      </c>
      <c r="M216" s="98">
        <f t="shared" si="43"/>
        <v>0</v>
      </c>
    </row>
    <row r="217" spans="2:13" x14ac:dyDescent="0.5">
      <c r="B217" s="8" t="s">
        <v>186</v>
      </c>
      <c r="C217" s="29" t="s">
        <v>102</v>
      </c>
      <c r="D217" s="29" t="s">
        <v>103</v>
      </c>
      <c r="E217" s="51" t="s">
        <v>184</v>
      </c>
      <c r="F217" s="98">
        <f>Baseline!H119</f>
        <v>7.3246539999999998</v>
      </c>
      <c r="G217" s="98">
        <f t="shared" ref="G217:M217" si="44">F217*(1+G50)*(1+G104)*(1+G158)</f>
        <v>7.3865309751686574</v>
      </c>
      <c r="H217" s="98">
        <f t="shared" si="44"/>
        <v>7.4752795614506944</v>
      </c>
      <c r="I217" s="98">
        <f t="shared" si="44"/>
        <v>7.5568376509243675</v>
      </c>
      <c r="J217" s="98">
        <f t="shared" si="44"/>
        <v>7.6186761931482492</v>
      </c>
      <c r="K217" s="98">
        <f t="shared" si="44"/>
        <v>7.6833988033045211</v>
      </c>
      <c r="L217" s="98">
        <f t="shared" si="44"/>
        <v>7.7065839890604444</v>
      </c>
      <c r="M217" s="98">
        <f t="shared" si="44"/>
        <v>7.729839137713296</v>
      </c>
    </row>
    <row r="218" spans="2:13" x14ac:dyDescent="0.5">
      <c r="B218" s="8" t="s">
        <v>161</v>
      </c>
      <c r="C218" s="29" t="s">
        <v>102</v>
      </c>
      <c r="D218" s="29" t="s">
        <v>103</v>
      </c>
      <c r="E218" s="51" t="s">
        <v>184</v>
      </c>
      <c r="F218" s="98">
        <f>Baseline!H120</f>
        <v>0</v>
      </c>
      <c r="G218" s="98">
        <f t="shared" ref="G218:M218" si="45">F218*(1+G51)*(1+G105)*(1+G159)</f>
        <v>0</v>
      </c>
      <c r="H218" s="98">
        <f t="shared" si="45"/>
        <v>0</v>
      </c>
      <c r="I218" s="98">
        <f t="shared" si="45"/>
        <v>0</v>
      </c>
      <c r="J218" s="98">
        <f t="shared" si="45"/>
        <v>0</v>
      </c>
      <c r="K218" s="98">
        <f t="shared" si="45"/>
        <v>0</v>
      </c>
      <c r="L218" s="98">
        <f t="shared" si="45"/>
        <v>0</v>
      </c>
      <c r="M218" s="98">
        <f t="shared" si="45"/>
        <v>0</v>
      </c>
    </row>
    <row r="219" spans="2:13" x14ac:dyDescent="0.5">
      <c r="B219" s="53" t="s">
        <v>161</v>
      </c>
      <c r="C219" s="29" t="s">
        <v>102</v>
      </c>
      <c r="D219" s="29" t="s">
        <v>103</v>
      </c>
      <c r="E219" s="51" t="s">
        <v>184</v>
      </c>
      <c r="F219" s="98">
        <f>Baseline!H121</f>
        <v>0</v>
      </c>
      <c r="G219" s="98">
        <f t="shared" ref="G219:M219" si="46">F219*(1+G52)*(1+G106)*(1+G160)</f>
        <v>0</v>
      </c>
      <c r="H219" s="98">
        <f t="shared" si="46"/>
        <v>0</v>
      </c>
      <c r="I219" s="98">
        <f t="shared" si="46"/>
        <v>0</v>
      </c>
      <c r="J219" s="98">
        <f t="shared" si="46"/>
        <v>0</v>
      </c>
      <c r="K219" s="98">
        <f t="shared" si="46"/>
        <v>0</v>
      </c>
      <c r="L219" s="98">
        <f t="shared" si="46"/>
        <v>0</v>
      </c>
      <c r="M219" s="98">
        <f t="shared" si="46"/>
        <v>0</v>
      </c>
    </row>
    <row r="220" spans="2:13" x14ac:dyDescent="0.5">
      <c r="B220" s="53" t="s">
        <v>161</v>
      </c>
      <c r="C220" s="29" t="s">
        <v>102</v>
      </c>
      <c r="D220" s="29" t="s">
        <v>103</v>
      </c>
      <c r="E220" s="51" t="s">
        <v>184</v>
      </c>
      <c r="F220" s="98">
        <f>Baseline!H122</f>
        <v>0</v>
      </c>
      <c r="G220" s="98">
        <f t="shared" ref="G220:M220" si="47">F220*(1+G53)*(1+G107)*(1+G161)</f>
        <v>0</v>
      </c>
      <c r="H220" s="98">
        <f t="shared" si="47"/>
        <v>0</v>
      </c>
      <c r="I220" s="98">
        <f t="shared" si="47"/>
        <v>0</v>
      </c>
      <c r="J220" s="98">
        <f t="shared" si="47"/>
        <v>0</v>
      </c>
      <c r="K220" s="98">
        <f t="shared" si="47"/>
        <v>0</v>
      </c>
      <c r="L220" s="98">
        <f t="shared" si="47"/>
        <v>0</v>
      </c>
      <c r="M220" s="98">
        <f t="shared" si="47"/>
        <v>0</v>
      </c>
    </row>
    <row r="221" spans="2:13" x14ac:dyDescent="0.5">
      <c r="B221" s="53" t="s">
        <v>187</v>
      </c>
      <c r="C221" s="29" t="s">
        <v>102</v>
      </c>
      <c r="D221" s="29" t="s">
        <v>103</v>
      </c>
      <c r="E221" s="51" t="s">
        <v>187</v>
      </c>
      <c r="F221" s="213"/>
      <c r="G221" s="213"/>
      <c r="H221" s="213"/>
      <c r="I221" s="213"/>
      <c r="J221" s="213"/>
      <c r="K221" s="213"/>
      <c r="L221" s="213"/>
      <c r="M221" s="213"/>
    </row>
    <row r="222" spans="2:13" x14ac:dyDescent="0.5">
      <c r="B222" s="8" t="s">
        <v>161</v>
      </c>
      <c r="C222" s="29" t="s">
        <v>102</v>
      </c>
      <c r="D222" s="29" t="s">
        <v>103</v>
      </c>
      <c r="E222" s="51" t="s">
        <v>187</v>
      </c>
      <c r="F222" s="98">
        <f>Baseline!H124</f>
        <v>0</v>
      </c>
      <c r="G222" s="98">
        <f t="shared" ref="G222:M222" si="48">F222*(1+G55)*(1+G109)*(1+G163)</f>
        <v>0</v>
      </c>
      <c r="H222" s="98">
        <f t="shared" si="48"/>
        <v>0</v>
      </c>
      <c r="I222" s="98">
        <f t="shared" si="48"/>
        <v>0</v>
      </c>
      <c r="J222" s="98">
        <f t="shared" si="48"/>
        <v>0</v>
      </c>
      <c r="K222" s="98">
        <f t="shared" si="48"/>
        <v>0</v>
      </c>
      <c r="L222" s="98">
        <f t="shared" si="48"/>
        <v>0</v>
      </c>
      <c r="M222" s="98">
        <f t="shared" si="48"/>
        <v>0</v>
      </c>
    </row>
    <row r="223" spans="2:13" x14ac:dyDescent="0.5">
      <c r="B223" s="53" t="s">
        <v>161</v>
      </c>
      <c r="C223" s="29" t="s">
        <v>102</v>
      </c>
      <c r="D223" s="29" t="s">
        <v>103</v>
      </c>
      <c r="E223" s="51" t="s">
        <v>187</v>
      </c>
      <c r="F223" s="98">
        <f>Baseline!H125</f>
        <v>0</v>
      </c>
      <c r="G223" s="98">
        <f t="shared" ref="G223:M223" si="49">F223*(1+G56)*(1+G110)*(1+G164)</f>
        <v>0</v>
      </c>
      <c r="H223" s="98">
        <f t="shared" si="49"/>
        <v>0</v>
      </c>
      <c r="I223" s="98">
        <f t="shared" si="49"/>
        <v>0</v>
      </c>
      <c r="J223" s="98">
        <f t="shared" si="49"/>
        <v>0</v>
      </c>
      <c r="K223" s="98">
        <f t="shared" si="49"/>
        <v>0</v>
      </c>
      <c r="L223" s="98">
        <f t="shared" si="49"/>
        <v>0</v>
      </c>
      <c r="M223" s="98">
        <f t="shared" si="49"/>
        <v>0</v>
      </c>
    </row>
    <row r="224" spans="2:13" ht="17" thickBot="1" x14ac:dyDescent="0.55000000000000004">
      <c r="B224" s="54" t="s">
        <v>194</v>
      </c>
      <c r="C224" s="37" t="s">
        <v>102</v>
      </c>
      <c r="D224" s="37" t="s">
        <v>103</v>
      </c>
      <c r="E224" s="52" t="s">
        <v>184</v>
      </c>
      <c r="F224" s="121"/>
      <c r="G224" s="99">
        <f>G170</f>
        <v>0</v>
      </c>
      <c r="H224" s="99">
        <f t="shared" ref="H224:M224" si="50">H170</f>
        <v>-14.640211030814655</v>
      </c>
      <c r="I224" s="99">
        <f t="shared" si="50"/>
        <v>-17.890395508616653</v>
      </c>
      <c r="J224" s="99">
        <f t="shared" si="50"/>
        <v>-18.703043733018866</v>
      </c>
      <c r="K224" s="99">
        <f t="shared" si="50"/>
        <v>-19.376929610475642</v>
      </c>
      <c r="L224" s="99">
        <f t="shared" si="50"/>
        <v>3.0691444210434313</v>
      </c>
      <c r="M224" s="99">
        <f t="shared" si="50"/>
        <v>3.0841892466367802</v>
      </c>
    </row>
    <row r="225" spans="1:14" x14ac:dyDescent="0.5">
      <c r="B225" s="53" t="s">
        <v>195</v>
      </c>
      <c r="C225" s="29" t="s">
        <v>102</v>
      </c>
      <c r="D225" s="29"/>
      <c r="E225" s="51"/>
      <c r="F225" s="98">
        <f>SUM(F175:F224)</f>
        <v>1010.6032483808006</v>
      </c>
      <c r="G225" s="98">
        <f>SUM(G175:G224)</f>
        <v>1019.5022326708455</v>
      </c>
      <c r="H225" s="98">
        <f t="shared" ref="H225:M225" si="51">SUM(H175:H224)</f>
        <v>1012.264879200323</v>
      </c>
      <c r="I225" s="98">
        <f t="shared" si="51"/>
        <v>1011.0232413416102</v>
      </c>
      <c r="J225" s="98">
        <f t="shared" si="51"/>
        <v>1021.1692563950139</v>
      </c>
      <c r="K225" s="98">
        <f t="shared" si="51"/>
        <v>1032.591786373164</v>
      </c>
      <c r="L225" s="98">
        <f t="shared" si="51"/>
        <v>1066.7994236890813</v>
      </c>
      <c r="M225" s="98">
        <f t="shared" si="51"/>
        <v>1077.509150654427</v>
      </c>
    </row>
    <row r="226" spans="1:14" x14ac:dyDescent="0.5">
      <c r="M226" s="119"/>
      <c r="N226" s="119"/>
    </row>
    <row r="227" spans="1:14" ht="21.5" thickBot="1" x14ac:dyDescent="0.65">
      <c r="A227" s="145" t="s">
        <v>391</v>
      </c>
    </row>
    <row r="228" spans="1:14" ht="17" thickTop="1" x14ac:dyDescent="0.5"/>
    <row r="229" spans="1:14" ht="19" thickBot="1" x14ac:dyDescent="0.55000000000000004">
      <c r="A229" s="14" t="s">
        <v>40</v>
      </c>
    </row>
    <row r="230" spans="1:14" ht="19" thickTop="1" x14ac:dyDescent="0.5">
      <c r="A230" s="23"/>
    </row>
    <row r="231" spans="1:14" ht="17" thickBot="1" x14ac:dyDescent="0.55000000000000004">
      <c r="B231" s="27" t="s">
        <v>143</v>
      </c>
      <c r="C231" s="27" t="s">
        <v>96</v>
      </c>
      <c r="D231" s="27" t="s">
        <v>97</v>
      </c>
      <c r="E231" s="50" t="s">
        <v>144</v>
      </c>
      <c r="F231" s="12">
        <v>2024</v>
      </c>
      <c r="G231" s="12">
        <v>2025</v>
      </c>
      <c r="H231" s="12">
        <v>2026</v>
      </c>
      <c r="I231" s="12">
        <v>2027</v>
      </c>
      <c r="J231" s="12">
        <v>2028</v>
      </c>
      <c r="K231" s="12">
        <v>2029</v>
      </c>
      <c r="L231" s="12">
        <v>2030</v>
      </c>
      <c r="M231" s="12">
        <v>2031</v>
      </c>
      <c r="N231" s="12" t="s">
        <v>397</v>
      </c>
    </row>
    <row r="232" spans="1:14" x14ac:dyDescent="0.5">
      <c r="B232" s="8" t="s">
        <v>146</v>
      </c>
      <c r="C232" s="29" t="s">
        <v>102</v>
      </c>
      <c r="D232" s="29" t="s">
        <v>103</v>
      </c>
      <c r="E232" s="51" t="s">
        <v>147</v>
      </c>
      <c r="F232" s="64"/>
      <c r="G232" s="144">
        <f t="shared" ref="G232:M241" si="52">F175*G8</f>
        <v>0.61814991609880621</v>
      </c>
      <c r="H232" s="144">
        <f t="shared" si="52"/>
        <v>1.2472085166246252</v>
      </c>
      <c r="I232" s="144">
        <f t="shared" si="52"/>
        <v>0.39498505108514248</v>
      </c>
      <c r="J232" s="144">
        <f t="shared" si="52"/>
        <v>1.0018303419097541</v>
      </c>
      <c r="K232" s="144">
        <f t="shared" si="52"/>
        <v>1.1016995752961096</v>
      </c>
      <c r="L232" s="144">
        <f t="shared" si="52"/>
        <v>1.0737501697339764</v>
      </c>
      <c r="M232" s="144">
        <f t="shared" si="52"/>
        <v>0.91928872030531794</v>
      </c>
      <c r="N232" s="120">
        <f t="shared" ref="N232:N281" si="53">SUM(G232:M232)</f>
        <v>6.3569122910537317</v>
      </c>
    </row>
    <row r="233" spans="1:14" x14ac:dyDescent="0.5">
      <c r="B233" s="8" t="s">
        <v>148</v>
      </c>
      <c r="C233" s="29" t="s">
        <v>102</v>
      </c>
      <c r="D233" s="29" t="s">
        <v>103</v>
      </c>
      <c r="E233" s="51" t="s">
        <v>147</v>
      </c>
      <c r="F233" s="64"/>
      <c r="G233" s="144">
        <f t="shared" si="52"/>
        <v>2.5769773362041989E-2</v>
      </c>
      <c r="H233" s="144">
        <f t="shared" si="52"/>
        <v>5.1994313954558245E-2</v>
      </c>
      <c r="I233" s="144">
        <f t="shared" si="52"/>
        <v>1.6466353845192013E-2</v>
      </c>
      <c r="J233" s="144">
        <f t="shared" si="52"/>
        <v>4.1764853777161673E-2</v>
      </c>
      <c r="K233" s="144">
        <f t="shared" si="52"/>
        <v>4.5928257254508241E-2</v>
      </c>
      <c r="L233" s="144">
        <f t="shared" si="52"/>
        <v>4.4763087077853494E-2</v>
      </c>
      <c r="M233" s="144">
        <f t="shared" si="52"/>
        <v>3.832381330091942E-2</v>
      </c>
      <c r="N233" s="120">
        <f t="shared" si="53"/>
        <v>0.2650104525722351</v>
      </c>
    </row>
    <row r="234" spans="1:14" x14ac:dyDescent="0.5">
      <c r="B234" s="8" t="s">
        <v>149</v>
      </c>
      <c r="C234" s="29" t="s">
        <v>102</v>
      </c>
      <c r="D234" s="29" t="s">
        <v>103</v>
      </c>
      <c r="E234" s="51" t="s">
        <v>147</v>
      </c>
      <c r="F234" s="64"/>
      <c r="G234" s="144">
        <f t="shared" si="52"/>
        <v>0.20238511962920955</v>
      </c>
      <c r="H234" s="144">
        <f t="shared" si="52"/>
        <v>0.40834179260698472</v>
      </c>
      <c r="I234" s="144">
        <f t="shared" si="52"/>
        <v>0.12931991857269523</v>
      </c>
      <c r="J234" s="144">
        <f t="shared" si="52"/>
        <v>0.32800385200273752</v>
      </c>
      <c r="K234" s="144">
        <f t="shared" si="52"/>
        <v>0.36070149737933954</v>
      </c>
      <c r="L234" s="144">
        <f t="shared" si="52"/>
        <v>0.35155073372000506</v>
      </c>
      <c r="M234" s="144">
        <f t="shared" si="52"/>
        <v>0.30097934625139722</v>
      </c>
      <c r="N234" s="120">
        <f t="shared" si="53"/>
        <v>2.0812822601623688</v>
      </c>
    </row>
    <row r="235" spans="1:14" x14ac:dyDescent="0.5">
      <c r="B235" s="8" t="s">
        <v>150</v>
      </c>
      <c r="C235" s="29" t="s">
        <v>102</v>
      </c>
      <c r="D235" s="29" t="s">
        <v>103</v>
      </c>
      <c r="E235" s="51" t="s">
        <v>147</v>
      </c>
      <c r="F235" s="64"/>
      <c r="G235" s="144">
        <f t="shared" si="52"/>
        <v>0.13690279759525439</v>
      </c>
      <c r="H235" s="144">
        <f t="shared" si="52"/>
        <v>0.27622156157220301</v>
      </c>
      <c r="I235" s="144">
        <f t="shared" si="52"/>
        <v>8.7478064937918876E-2</v>
      </c>
      <c r="J235" s="144">
        <f t="shared" si="52"/>
        <v>0.22187720640462355</v>
      </c>
      <c r="K235" s="144">
        <f t="shared" si="52"/>
        <v>0.24399542900436594</v>
      </c>
      <c r="L235" s="144">
        <f t="shared" si="52"/>
        <v>0.23780542280533776</v>
      </c>
      <c r="M235" s="144">
        <f t="shared" si="52"/>
        <v>0.20359656182084282</v>
      </c>
      <c r="N235" s="120">
        <f t="shared" si="53"/>
        <v>1.4078770441405464</v>
      </c>
    </row>
    <row r="236" spans="1:14" x14ac:dyDescent="0.5">
      <c r="B236" s="8" t="s">
        <v>151</v>
      </c>
      <c r="C236" s="29" t="s">
        <v>102</v>
      </c>
      <c r="D236" s="29" t="s">
        <v>103</v>
      </c>
      <c r="E236" s="51" t="s">
        <v>147</v>
      </c>
      <c r="F236" s="64"/>
      <c r="G236" s="144">
        <f t="shared" si="52"/>
        <v>8.7933730525695669E-2</v>
      </c>
      <c r="H236" s="144">
        <f t="shared" si="52"/>
        <v>0.17741925502856865</v>
      </c>
      <c r="I236" s="144">
        <f t="shared" si="52"/>
        <v>5.618784074743343E-2</v>
      </c>
      <c r="J236" s="144">
        <f t="shared" si="52"/>
        <v>0.14251345349026409</v>
      </c>
      <c r="K236" s="144">
        <f t="shared" si="52"/>
        <v>0.1567201597077893</v>
      </c>
      <c r="L236" s="144">
        <f t="shared" si="52"/>
        <v>0.15274427063452906</v>
      </c>
      <c r="M236" s="144">
        <f t="shared" si="52"/>
        <v>0.13077165344744365</v>
      </c>
      <c r="N236" s="120">
        <f t="shared" si="53"/>
        <v>0.90429036358172388</v>
      </c>
    </row>
    <row r="237" spans="1:14" x14ac:dyDescent="0.5">
      <c r="B237" s="8" t="s">
        <v>152</v>
      </c>
      <c r="C237" s="29" t="s">
        <v>102</v>
      </c>
      <c r="D237" s="29" t="s">
        <v>103</v>
      </c>
      <c r="E237" s="51" t="s">
        <v>147</v>
      </c>
      <c r="F237" s="64"/>
      <c r="G237" s="144">
        <f t="shared" si="52"/>
        <v>0.18024489060685697</v>
      </c>
      <c r="H237" s="144">
        <f t="shared" si="52"/>
        <v>0.3636706190331554</v>
      </c>
      <c r="I237" s="144">
        <f t="shared" si="52"/>
        <v>0.11517276872493425</v>
      </c>
      <c r="J237" s="144">
        <f t="shared" si="52"/>
        <v>0.29212137004527283</v>
      </c>
      <c r="K237" s="144">
        <f t="shared" si="52"/>
        <v>0.32124200660593044</v>
      </c>
      <c r="L237" s="144">
        <f t="shared" si="52"/>
        <v>0.31309230470211574</v>
      </c>
      <c r="M237" s="144">
        <f t="shared" si="52"/>
        <v>0.26805325134277669</v>
      </c>
      <c r="N237" s="120">
        <f t="shared" si="53"/>
        <v>1.8535972110610421</v>
      </c>
    </row>
    <row r="238" spans="1:14" x14ac:dyDescent="0.5">
      <c r="B238" s="8" t="s">
        <v>153</v>
      </c>
      <c r="C238" s="29" t="s">
        <v>102</v>
      </c>
      <c r="D238" s="29" t="s">
        <v>103</v>
      </c>
      <c r="E238" s="51" t="s">
        <v>147</v>
      </c>
      <c r="F238" s="64"/>
      <c r="G238" s="144">
        <f t="shared" si="52"/>
        <v>3.9518150035169418E-2</v>
      </c>
      <c r="H238" s="144">
        <f t="shared" si="52"/>
        <v>7.9733689193342616E-2</v>
      </c>
      <c r="I238" s="144">
        <f t="shared" si="52"/>
        <v>2.5251283068906435E-2</v>
      </c>
      <c r="J238" s="144">
        <f t="shared" si="52"/>
        <v>6.4046731594227899E-2</v>
      </c>
      <c r="K238" s="144">
        <f t="shared" si="52"/>
        <v>7.043134355659289E-2</v>
      </c>
      <c r="L238" s="144">
        <f t="shared" si="52"/>
        <v>6.8644545930915263E-2</v>
      </c>
      <c r="M238" s="144">
        <f t="shared" si="52"/>
        <v>5.8769868972784321E-2</v>
      </c>
      <c r="N238" s="120">
        <f t="shared" si="53"/>
        <v>0.40639561235193883</v>
      </c>
    </row>
    <row r="239" spans="1:14" x14ac:dyDescent="0.5">
      <c r="B239" s="8" t="s">
        <v>154</v>
      </c>
      <c r="C239" s="29" t="s">
        <v>102</v>
      </c>
      <c r="D239" s="29" t="s">
        <v>103</v>
      </c>
      <c r="E239" s="51" t="s">
        <v>147</v>
      </c>
      <c r="F239" s="64"/>
      <c r="G239" s="144">
        <f t="shared" si="52"/>
        <v>0.2030782309338941</v>
      </c>
      <c r="H239" s="144">
        <f t="shared" si="52"/>
        <v>0.40974024676779253</v>
      </c>
      <c r="I239" s="144">
        <f t="shared" si="52"/>
        <v>0.12976280240549792</v>
      </c>
      <c r="J239" s="144">
        <f t="shared" si="52"/>
        <v>0.32912717163325034</v>
      </c>
      <c r="K239" s="144">
        <f t="shared" si="52"/>
        <v>0.36193679711831384</v>
      </c>
      <c r="L239" s="144">
        <f t="shared" si="52"/>
        <v>0.35275469470368753</v>
      </c>
      <c r="M239" s="144">
        <f t="shared" si="52"/>
        <v>0.30201011465841054</v>
      </c>
      <c r="N239" s="120">
        <f t="shared" si="53"/>
        <v>2.0884100582208469</v>
      </c>
    </row>
    <row r="240" spans="1:14" x14ac:dyDescent="0.5">
      <c r="B240" s="8" t="s">
        <v>155</v>
      </c>
      <c r="C240" s="29" t="s">
        <v>102</v>
      </c>
      <c r="D240" s="29" t="s">
        <v>103</v>
      </c>
      <c r="E240" s="51" t="s">
        <v>147</v>
      </c>
      <c r="F240" s="64"/>
      <c r="G240" s="144">
        <f t="shared" si="52"/>
        <v>0.11026416902717344</v>
      </c>
      <c r="H240" s="144">
        <f t="shared" si="52"/>
        <v>0.2224742042466703</v>
      </c>
      <c r="I240" s="144">
        <f t="shared" si="52"/>
        <v>7.0456530530528041E-2</v>
      </c>
      <c r="J240" s="144">
        <f t="shared" si="52"/>
        <v>0.17870420634212461</v>
      </c>
      <c r="K240" s="144">
        <f t="shared" si="52"/>
        <v>0.19651865190611492</v>
      </c>
      <c r="L240" s="144">
        <f t="shared" si="52"/>
        <v>0.19153310083047673</v>
      </c>
      <c r="M240" s="144">
        <f t="shared" si="52"/>
        <v>0.16398062055923221</v>
      </c>
      <c r="N240" s="120">
        <f t="shared" si="53"/>
        <v>1.1339314834423202</v>
      </c>
    </row>
    <row r="241" spans="2:14" x14ac:dyDescent="0.5">
      <c r="B241" s="8" t="s">
        <v>156</v>
      </c>
      <c r="C241" s="29" t="s">
        <v>102</v>
      </c>
      <c r="D241" s="29" t="s">
        <v>103</v>
      </c>
      <c r="E241" s="51" t="s">
        <v>147</v>
      </c>
      <c r="F241" s="64"/>
      <c r="G241" s="144">
        <f t="shared" si="52"/>
        <v>0.3958715790931141</v>
      </c>
      <c r="H241" s="144">
        <f t="shared" si="52"/>
        <v>0.79872922745111463</v>
      </c>
      <c r="I241" s="144">
        <f t="shared" si="52"/>
        <v>0.25295377677646774</v>
      </c>
      <c r="J241" s="144">
        <f t="shared" si="52"/>
        <v>0.64158572072315234</v>
      </c>
      <c r="K241" s="144">
        <f t="shared" si="52"/>
        <v>0.70554333050976592</v>
      </c>
      <c r="L241" s="144">
        <f t="shared" si="52"/>
        <v>0.68764415261385414</v>
      </c>
      <c r="M241" s="144">
        <f t="shared" si="52"/>
        <v>0.58872494822370047</v>
      </c>
      <c r="N241" s="120">
        <f t="shared" si="53"/>
        <v>4.0710527353911692</v>
      </c>
    </row>
    <row r="242" spans="2:14" x14ac:dyDescent="0.5">
      <c r="B242" s="8" t="s">
        <v>157</v>
      </c>
      <c r="C242" s="29" t="s">
        <v>102</v>
      </c>
      <c r="D242" s="29" t="s">
        <v>103</v>
      </c>
      <c r="E242" s="51" t="s">
        <v>147</v>
      </c>
      <c r="F242" s="64"/>
      <c r="G242" s="144">
        <f t="shared" ref="G242:M251" si="54">F185*G18</f>
        <v>0.45034059453541148</v>
      </c>
      <c r="H242" s="144">
        <f t="shared" si="54"/>
        <v>0.90862849004509805</v>
      </c>
      <c r="I242" s="144">
        <f t="shared" si="54"/>
        <v>0.28775835457664389</v>
      </c>
      <c r="J242" s="144">
        <f t="shared" si="54"/>
        <v>0.72986319345732664</v>
      </c>
      <c r="K242" s="144">
        <f t="shared" si="54"/>
        <v>0.80262089958604221</v>
      </c>
      <c r="L242" s="144">
        <f t="shared" si="54"/>
        <v>0.78225892655982499</v>
      </c>
      <c r="M242" s="144">
        <f t="shared" si="54"/>
        <v>0.66972916774742575</v>
      </c>
      <c r="N242" s="120">
        <f t="shared" si="53"/>
        <v>4.6311996265077733</v>
      </c>
    </row>
    <row r="243" spans="2:14" x14ac:dyDescent="0.5">
      <c r="B243" s="8" t="s">
        <v>158</v>
      </c>
      <c r="C243" s="29" t="s">
        <v>102</v>
      </c>
      <c r="D243" s="29" t="s">
        <v>103</v>
      </c>
      <c r="E243" s="51" t="s">
        <v>147</v>
      </c>
      <c r="F243" s="64"/>
      <c r="G243" s="144">
        <f>F186*G19</f>
        <v>-2.1659398281408007</v>
      </c>
      <c r="H243" s="144">
        <f t="shared" si="54"/>
        <v>-1.8418799360390388</v>
      </c>
      <c r="I243" s="144">
        <f t="shared" si="54"/>
        <v>-1.8287018288874577</v>
      </c>
      <c r="J243" s="144">
        <f t="shared" si="54"/>
        <v>-1.5583830554674387</v>
      </c>
      <c r="K243" s="144">
        <f t="shared" si="54"/>
        <v>-1.4041448403485612</v>
      </c>
      <c r="L243" s="144">
        <f t="shared" si="54"/>
        <v>-1.2826492380476486</v>
      </c>
      <c r="M243" s="144">
        <f t="shared" si="54"/>
        <v>-1.185386008824407</v>
      </c>
      <c r="N243" s="120">
        <f t="shared" si="53"/>
        <v>-11.267084735755352</v>
      </c>
    </row>
    <row r="244" spans="2:14" x14ac:dyDescent="0.5">
      <c r="B244" s="8" t="s">
        <v>159</v>
      </c>
      <c r="C244" s="29" t="s">
        <v>102</v>
      </c>
      <c r="D244" s="29" t="s">
        <v>103</v>
      </c>
      <c r="E244" s="51" t="s">
        <v>147</v>
      </c>
      <c r="F244" s="64"/>
      <c r="G244" s="144">
        <f t="shared" si="54"/>
        <v>2.3847859969917617E-2</v>
      </c>
      <c r="H244" s="144">
        <f t="shared" si="54"/>
        <v>4.8116570565057741E-2</v>
      </c>
      <c r="I244" s="144">
        <f t="shared" si="54"/>
        <v>1.523829081452726E-2</v>
      </c>
      <c r="J244" s="144">
        <f t="shared" si="54"/>
        <v>3.8650024994356942E-2</v>
      </c>
      <c r="K244" s="144">
        <f t="shared" si="54"/>
        <v>4.2502921243428242E-2</v>
      </c>
      <c r="L244" s="144">
        <f t="shared" si="54"/>
        <v>4.1424649625606581E-2</v>
      </c>
      <c r="M244" s="144">
        <f t="shared" si="54"/>
        <v>3.5465617810197629E-2</v>
      </c>
      <c r="N244" s="120">
        <f t="shared" si="53"/>
        <v>0.24524593502309203</v>
      </c>
    </row>
    <row r="245" spans="2:14" x14ac:dyDescent="0.5">
      <c r="B245" s="53" t="s">
        <v>160</v>
      </c>
      <c r="C245" s="29" t="s">
        <v>102</v>
      </c>
      <c r="D245" s="29" t="s">
        <v>103</v>
      </c>
      <c r="E245" s="51" t="s">
        <v>147</v>
      </c>
      <c r="F245" s="64"/>
      <c r="G245" s="144">
        <f t="shared" si="54"/>
        <v>0.32832487776010144</v>
      </c>
      <c r="H245" s="144">
        <f t="shared" si="54"/>
        <v>0.66244380707265837</v>
      </c>
      <c r="I245" s="144">
        <f t="shared" si="54"/>
        <v>0.2097928273339246</v>
      </c>
      <c r="J245" s="144">
        <f t="shared" si="54"/>
        <v>0.53211335305156704</v>
      </c>
      <c r="K245" s="144">
        <f t="shared" si="54"/>
        <v>0.58515801582610527</v>
      </c>
      <c r="L245" s="144">
        <f t="shared" si="54"/>
        <v>0.57031293548933459</v>
      </c>
      <c r="M245" s="144">
        <f t="shared" si="54"/>
        <v>0.48827209849890096</v>
      </c>
      <c r="N245" s="120">
        <f t="shared" si="53"/>
        <v>3.3764179150325919</v>
      </c>
    </row>
    <row r="246" spans="2:14" x14ac:dyDescent="0.5">
      <c r="B246" s="53" t="s">
        <v>161</v>
      </c>
      <c r="C246" s="29" t="s">
        <v>102</v>
      </c>
      <c r="D246" s="29" t="s">
        <v>103</v>
      </c>
      <c r="E246" s="51" t="s">
        <v>147</v>
      </c>
      <c r="F246" s="64"/>
      <c r="G246" s="144">
        <f t="shared" si="54"/>
        <v>0</v>
      </c>
      <c r="H246" s="144">
        <f t="shared" si="54"/>
        <v>0</v>
      </c>
      <c r="I246" s="144">
        <f t="shared" si="54"/>
        <v>0</v>
      </c>
      <c r="J246" s="144">
        <f t="shared" si="54"/>
        <v>0</v>
      </c>
      <c r="K246" s="144">
        <f t="shared" si="54"/>
        <v>0</v>
      </c>
      <c r="L246" s="144">
        <f t="shared" si="54"/>
        <v>0</v>
      </c>
      <c r="M246" s="144">
        <f t="shared" si="54"/>
        <v>0</v>
      </c>
      <c r="N246" s="120">
        <f t="shared" si="53"/>
        <v>0</v>
      </c>
    </row>
    <row r="247" spans="2:14" x14ac:dyDescent="0.5">
      <c r="B247" s="53" t="s">
        <v>161</v>
      </c>
      <c r="C247" s="29" t="s">
        <v>102</v>
      </c>
      <c r="D247" s="29" t="s">
        <v>103</v>
      </c>
      <c r="E247" s="51" t="s">
        <v>147</v>
      </c>
      <c r="F247" s="64"/>
      <c r="G247" s="144">
        <f t="shared" si="54"/>
        <v>0</v>
      </c>
      <c r="H247" s="144">
        <f t="shared" si="54"/>
        <v>0</v>
      </c>
      <c r="I247" s="144">
        <f t="shared" si="54"/>
        <v>0</v>
      </c>
      <c r="J247" s="144">
        <f t="shared" si="54"/>
        <v>0</v>
      </c>
      <c r="K247" s="144">
        <f t="shared" si="54"/>
        <v>0</v>
      </c>
      <c r="L247" s="144">
        <f t="shared" si="54"/>
        <v>0</v>
      </c>
      <c r="M247" s="144">
        <f t="shared" si="54"/>
        <v>0</v>
      </c>
      <c r="N247" s="120">
        <f t="shared" si="53"/>
        <v>0</v>
      </c>
    </row>
    <row r="248" spans="2:14" x14ac:dyDescent="0.5">
      <c r="B248" s="8" t="s">
        <v>163</v>
      </c>
      <c r="C248" s="29" t="s">
        <v>102</v>
      </c>
      <c r="D248" s="29" t="s">
        <v>103</v>
      </c>
      <c r="E248" s="51" t="s">
        <v>162</v>
      </c>
      <c r="F248" s="64"/>
      <c r="G248" s="144">
        <f t="shared" si="54"/>
        <v>4.3815708195150114</v>
      </c>
      <c r="H248" s="144">
        <f t="shared" si="54"/>
        <v>-0.60468596321456691</v>
      </c>
      <c r="I248" s="144">
        <f t="shared" si="54"/>
        <v>-5.0519183514252934E-2</v>
      </c>
      <c r="J248" s="144">
        <f t="shared" si="54"/>
        <v>2.17540107064938</v>
      </c>
      <c r="K248" s="144">
        <f t="shared" si="54"/>
        <v>2.3755508176352547</v>
      </c>
      <c r="L248" s="144">
        <f t="shared" si="54"/>
        <v>2.285607743570361</v>
      </c>
      <c r="M248" s="144">
        <f t="shared" si="54"/>
        <v>2.0878165892149663</v>
      </c>
      <c r="N248" s="120">
        <f t="shared" si="53"/>
        <v>12.650741893856154</v>
      </c>
    </row>
    <row r="249" spans="2:14" x14ac:dyDescent="0.5">
      <c r="B249" s="8" t="s">
        <v>164</v>
      </c>
      <c r="C249" s="29" t="s">
        <v>102</v>
      </c>
      <c r="D249" s="29" t="s">
        <v>103</v>
      </c>
      <c r="E249" s="51" t="s">
        <v>162</v>
      </c>
      <c r="F249" s="64"/>
      <c r="G249" s="144">
        <f t="shared" si="54"/>
        <v>0.68049614542889025</v>
      </c>
      <c r="H249" s="144">
        <f t="shared" si="54"/>
        <v>-9.3913001549525407E-2</v>
      </c>
      <c r="I249" s="144">
        <f t="shared" si="54"/>
        <v>-7.8460696101379287E-3</v>
      </c>
      <c r="J249" s="144">
        <f t="shared" si="54"/>
        <v>0.33785875073511695</v>
      </c>
      <c r="K249" s="144">
        <f t="shared" si="54"/>
        <v>0.36894375128465301</v>
      </c>
      <c r="L249" s="144">
        <f t="shared" si="54"/>
        <v>0.35497480778690527</v>
      </c>
      <c r="M249" s="144">
        <f t="shared" si="54"/>
        <v>0.32425611723435244</v>
      </c>
      <c r="N249" s="120">
        <f t="shared" si="53"/>
        <v>1.9647705013102548</v>
      </c>
    </row>
    <row r="250" spans="2:14" x14ac:dyDescent="0.5">
      <c r="B250" s="53" t="s">
        <v>165</v>
      </c>
      <c r="C250" s="29" t="s">
        <v>102</v>
      </c>
      <c r="D250" s="29" t="s">
        <v>103</v>
      </c>
      <c r="E250" s="51" t="s">
        <v>162</v>
      </c>
      <c r="F250" s="64"/>
      <c r="G250" s="144">
        <f t="shared" si="54"/>
        <v>0</v>
      </c>
      <c r="H250" s="144">
        <f t="shared" si="54"/>
        <v>0</v>
      </c>
      <c r="I250" s="144">
        <f t="shared" si="54"/>
        <v>0</v>
      </c>
      <c r="J250" s="144">
        <f t="shared" si="54"/>
        <v>0</v>
      </c>
      <c r="K250" s="144">
        <f t="shared" si="54"/>
        <v>0</v>
      </c>
      <c r="L250" s="144">
        <f t="shared" si="54"/>
        <v>0</v>
      </c>
      <c r="M250" s="144">
        <f t="shared" si="54"/>
        <v>0</v>
      </c>
      <c r="N250" s="120">
        <f t="shared" si="53"/>
        <v>0</v>
      </c>
    </row>
    <row r="251" spans="2:14" x14ac:dyDescent="0.5">
      <c r="B251" s="53" t="s">
        <v>161</v>
      </c>
      <c r="C251" s="29" t="s">
        <v>102</v>
      </c>
      <c r="D251" s="29" t="s">
        <v>103</v>
      </c>
      <c r="E251" s="51" t="s">
        <v>162</v>
      </c>
      <c r="F251" s="64"/>
      <c r="G251" s="144">
        <f t="shared" si="54"/>
        <v>0</v>
      </c>
      <c r="H251" s="144">
        <f t="shared" si="54"/>
        <v>0</v>
      </c>
      <c r="I251" s="144">
        <f t="shared" si="54"/>
        <v>0</v>
      </c>
      <c r="J251" s="144">
        <f t="shared" si="54"/>
        <v>0</v>
      </c>
      <c r="K251" s="144">
        <f t="shared" si="54"/>
        <v>0</v>
      </c>
      <c r="L251" s="144">
        <f t="shared" si="54"/>
        <v>0</v>
      </c>
      <c r="M251" s="144">
        <f t="shared" si="54"/>
        <v>0</v>
      </c>
      <c r="N251" s="120">
        <f t="shared" si="53"/>
        <v>0</v>
      </c>
    </row>
    <row r="252" spans="2:14" x14ac:dyDescent="0.5">
      <c r="B252" s="8" t="s">
        <v>166</v>
      </c>
      <c r="C252" s="29" t="s">
        <v>102</v>
      </c>
      <c r="D252" s="29" t="s">
        <v>103</v>
      </c>
      <c r="E252" s="51" t="s">
        <v>166</v>
      </c>
      <c r="F252" s="114"/>
      <c r="G252" s="114"/>
      <c r="H252" s="114"/>
      <c r="I252" s="114"/>
      <c r="J252" s="114"/>
      <c r="K252" s="114"/>
      <c r="L252" s="114"/>
      <c r="M252" s="114"/>
      <c r="N252" s="120">
        <f t="shared" si="53"/>
        <v>0</v>
      </c>
    </row>
    <row r="253" spans="2:14" x14ac:dyDescent="0.5">
      <c r="B253" s="8" t="s">
        <v>167</v>
      </c>
      <c r="C253" s="29" t="s">
        <v>102</v>
      </c>
      <c r="D253" s="29" t="s">
        <v>103</v>
      </c>
      <c r="E253" s="51" t="s">
        <v>168</v>
      </c>
      <c r="F253" s="64"/>
      <c r="G253" s="144">
        <f t="shared" ref="G253:M261" si="55">F196*G29</f>
        <v>6.0334379607960453E-2</v>
      </c>
      <c r="H253" s="144">
        <f t="shared" si="55"/>
        <v>0.12263955523311762</v>
      </c>
      <c r="I253" s="144">
        <f t="shared" si="55"/>
        <v>3.9029907696472972E-2</v>
      </c>
      <c r="J253" s="144">
        <f t="shared" si="55"/>
        <v>9.982536767747642E-2</v>
      </c>
      <c r="K253" s="144">
        <f t="shared" si="55"/>
        <v>0.11043145928571026</v>
      </c>
      <c r="L253" s="144">
        <f t="shared" si="55"/>
        <v>0.10823379816516078</v>
      </c>
      <c r="M253" s="144">
        <f t="shared" si="55"/>
        <v>9.3198526624998168E-2</v>
      </c>
      <c r="N253" s="120">
        <f t="shared" si="53"/>
        <v>0.63369299429089665</v>
      </c>
    </row>
    <row r="254" spans="2:14" x14ac:dyDescent="0.5">
      <c r="B254" s="8" t="s">
        <v>169</v>
      </c>
      <c r="C254" s="29" t="s">
        <v>102</v>
      </c>
      <c r="D254" s="29" t="s">
        <v>103</v>
      </c>
      <c r="E254" s="51" t="s">
        <v>168</v>
      </c>
      <c r="F254" s="64"/>
      <c r="G254" s="144">
        <f t="shared" si="55"/>
        <v>0.12335927534711683</v>
      </c>
      <c r="H254" s="144">
        <f t="shared" si="55"/>
        <v>0.25074802725665268</v>
      </c>
      <c r="I254" s="144">
        <f t="shared" si="55"/>
        <v>7.980029233061868E-2</v>
      </c>
      <c r="J254" s="144">
        <f t="shared" si="55"/>
        <v>0.20410228957302881</v>
      </c>
      <c r="K254" s="144">
        <f t="shared" si="55"/>
        <v>0.22578743465214116</v>
      </c>
      <c r="L254" s="144">
        <f t="shared" si="55"/>
        <v>0.22129411119292808</v>
      </c>
      <c r="M254" s="144">
        <f t="shared" si="55"/>
        <v>0.19055309398361417</v>
      </c>
      <c r="N254" s="120">
        <f t="shared" si="53"/>
        <v>1.2956445243361006</v>
      </c>
    </row>
    <row r="255" spans="2:14" x14ac:dyDescent="0.5">
      <c r="B255" s="8" t="s">
        <v>170</v>
      </c>
      <c r="C255" s="29" t="s">
        <v>102</v>
      </c>
      <c r="D255" s="29" t="s">
        <v>103</v>
      </c>
      <c r="E255" s="51" t="s">
        <v>168</v>
      </c>
      <c r="F255" s="64"/>
      <c r="G255" s="144">
        <f t="shared" si="55"/>
        <v>8.2847498257587693E-2</v>
      </c>
      <c r="H255" s="144">
        <f t="shared" si="55"/>
        <v>0.1684011736675998</v>
      </c>
      <c r="I255" s="144">
        <f t="shared" si="55"/>
        <v>5.3593493972891093E-2</v>
      </c>
      <c r="J255" s="144">
        <f t="shared" si="55"/>
        <v>0.13707411973838551</v>
      </c>
      <c r="K255" s="144">
        <f t="shared" si="55"/>
        <v>0.15163775927097856</v>
      </c>
      <c r="L255" s="144">
        <f t="shared" si="55"/>
        <v>0.14862006476515041</v>
      </c>
      <c r="M255" s="144">
        <f t="shared" si="55"/>
        <v>0.12797454490035953</v>
      </c>
      <c r="N255" s="120">
        <f t="shared" si="53"/>
        <v>0.87014865457295265</v>
      </c>
    </row>
    <row r="256" spans="2:14" x14ac:dyDescent="0.5">
      <c r="B256" s="8" t="s">
        <v>171</v>
      </c>
      <c r="C256" s="29" t="s">
        <v>102</v>
      </c>
      <c r="D256" s="29" t="s">
        <v>103</v>
      </c>
      <c r="E256" s="51" t="s">
        <v>172</v>
      </c>
      <c r="F256" s="64"/>
      <c r="G256" s="144">
        <f t="shared" si="55"/>
        <v>0</v>
      </c>
      <c r="H256" s="144">
        <f t="shared" si="55"/>
        <v>0</v>
      </c>
      <c r="I256" s="144">
        <f t="shared" si="55"/>
        <v>0</v>
      </c>
      <c r="J256" s="144">
        <f t="shared" si="55"/>
        <v>0</v>
      </c>
      <c r="K256" s="144">
        <f t="shared" si="55"/>
        <v>0</v>
      </c>
      <c r="L256" s="144">
        <f t="shared" si="55"/>
        <v>0</v>
      </c>
      <c r="M256" s="144">
        <f t="shared" si="55"/>
        <v>0</v>
      </c>
      <c r="N256" s="120">
        <f t="shared" si="53"/>
        <v>0</v>
      </c>
    </row>
    <row r="257" spans="2:14" x14ac:dyDescent="0.5">
      <c r="B257" s="8" t="s">
        <v>173</v>
      </c>
      <c r="C257" s="29" t="s">
        <v>102</v>
      </c>
      <c r="D257" s="29" t="s">
        <v>103</v>
      </c>
      <c r="E257" s="51" t="s">
        <v>172</v>
      </c>
      <c r="F257" s="64"/>
      <c r="G257" s="144">
        <f t="shared" si="55"/>
        <v>-0.5754413673141624</v>
      </c>
      <c r="H257" s="144">
        <f t="shared" si="55"/>
        <v>-0.37438949948361627</v>
      </c>
      <c r="I257" s="144">
        <f t="shared" si="55"/>
        <v>-1.5447018411031623</v>
      </c>
      <c r="J257" s="144">
        <f t="shared" si="55"/>
        <v>1.1174748233159457</v>
      </c>
      <c r="K257" s="144">
        <f t="shared" si="55"/>
        <v>1.2262053087213278</v>
      </c>
      <c r="L257" s="144">
        <f t="shared" si="55"/>
        <v>1.1511654057034864</v>
      </c>
      <c r="M257" s="144">
        <f t="shared" si="55"/>
        <v>1.0411348919952335</v>
      </c>
      <c r="N257" s="120">
        <f t="shared" si="53"/>
        <v>2.0414477218350524</v>
      </c>
    </row>
    <row r="258" spans="2:14" x14ac:dyDescent="0.5">
      <c r="B258" s="8" t="s">
        <v>174</v>
      </c>
      <c r="C258" s="29" t="s">
        <v>102</v>
      </c>
      <c r="D258" s="29" t="s">
        <v>103</v>
      </c>
      <c r="E258" s="51" t="s">
        <v>172</v>
      </c>
      <c r="F258" s="64"/>
      <c r="G258" s="144">
        <f t="shared" si="55"/>
        <v>0</v>
      </c>
      <c r="H258" s="144">
        <f t="shared" si="55"/>
        <v>0</v>
      </c>
      <c r="I258" s="144">
        <f t="shared" si="55"/>
        <v>0</v>
      </c>
      <c r="J258" s="144">
        <f t="shared" si="55"/>
        <v>0</v>
      </c>
      <c r="K258" s="144">
        <f t="shared" si="55"/>
        <v>0</v>
      </c>
      <c r="L258" s="144">
        <f t="shared" si="55"/>
        <v>0</v>
      </c>
      <c r="M258" s="144">
        <f t="shared" si="55"/>
        <v>0</v>
      </c>
      <c r="N258" s="120">
        <f t="shared" si="53"/>
        <v>0</v>
      </c>
    </row>
    <row r="259" spans="2:14" x14ac:dyDescent="0.5">
      <c r="B259" s="53" t="s">
        <v>161</v>
      </c>
      <c r="C259" s="29" t="s">
        <v>102</v>
      </c>
      <c r="D259" s="29" t="s">
        <v>103</v>
      </c>
      <c r="E259" s="51" t="s">
        <v>172</v>
      </c>
      <c r="F259" s="64"/>
      <c r="G259" s="144">
        <f t="shared" si="55"/>
        <v>0</v>
      </c>
      <c r="H259" s="144">
        <f t="shared" si="55"/>
        <v>0</v>
      </c>
      <c r="I259" s="144">
        <f t="shared" si="55"/>
        <v>0</v>
      </c>
      <c r="J259" s="144">
        <f t="shared" si="55"/>
        <v>0</v>
      </c>
      <c r="K259" s="144">
        <f t="shared" si="55"/>
        <v>0</v>
      </c>
      <c r="L259" s="144">
        <f t="shared" si="55"/>
        <v>0</v>
      </c>
      <c r="M259" s="144">
        <f t="shared" si="55"/>
        <v>0</v>
      </c>
      <c r="N259" s="120">
        <f t="shared" si="53"/>
        <v>0</v>
      </c>
    </row>
    <row r="260" spans="2:14" x14ac:dyDescent="0.5">
      <c r="B260" s="53" t="s">
        <v>161</v>
      </c>
      <c r="C260" s="29" t="s">
        <v>102</v>
      </c>
      <c r="D260" s="29" t="s">
        <v>103</v>
      </c>
      <c r="E260" s="51" t="s">
        <v>172</v>
      </c>
      <c r="F260" s="64"/>
      <c r="G260" s="144">
        <f t="shared" si="55"/>
        <v>0</v>
      </c>
      <c r="H260" s="144">
        <f t="shared" si="55"/>
        <v>0</v>
      </c>
      <c r="I260" s="144">
        <f t="shared" si="55"/>
        <v>0</v>
      </c>
      <c r="J260" s="144">
        <f t="shared" si="55"/>
        <v>0</v>
      </c>
      <c r="K260" s="144">
        <f t="shared" si="55"/>
        <v>0</v>
      </c>
      <c r="L260" s="144">
        <f t="shared" si="55"/>
        <v>0</v>
      </c>
      <c r="M260" s="144">
        <f t="shared" si="55"/>
        <v>0</v>
      </c>
      <c r="N260" s="120">
        <f t="shared" si="53"/>
        <v>0</v>
      </c>
    </row>
    <row r="261" spans="2:14" x14ac:dyDescent="0.5">
      <c r="B261" s="53" t="s">
        <v>161</v>
      </c>
      <c r="C261" s="29" t="s">
        <v>102</v>
      </c>
      <c r="D261" s="29" t="s">
        <v>103</v>
      </c>
      <c r="E261" s="51" t="s">
        <v>172</v>
      </c>
      <c r="F261" s="64"/>
      <c r="G261" s="144">
        <f t="shared" si="55"/>
        <v>0</v>
      </c>
      <c r="H261" s="144">
        <f t="shared" si="55"/>
        <v>0</v>
      </c>
      <c r="I261" s="144">
        <f t="shared" si="55"/>
        <v>0</v>
      </c>
      <c r="J261" s="144">
        <f t="shared" si="55"/>
        <v>0</v>
      </c>
      <c r="K261" s="144">
        <f t="shared" si="55"/>
        <v>0</v>
      </c>
      <c r="L261" s="144">
        <f t="shared" si="55"/>
        <v>0</v>
      </c>
      <c r="M261" s="144">
        <f t="shared" si="55"/>
        <v>0</v>
      </c>
      <c r="N261" s="120">
        <f t="shared" si="53"/>
        <v>0</v>
      </c>
    </row>
    <row r="262" spans="2:14" x14ac:dyDescent="0.5">
      <c r="B262" s="8" t="s">
        <v>175</v>
      </c>
      <c r="C262" s="29" t="s">
        <v>102</v>
      </c>
      <c r="D262" s="29" t="s">
        <v>103</v>
      </c>
      <c r="E262" s="51" t="s">
        <v>176</v>
      </c>
      <c r="F262" s="64"/>
      <c r="G262" s="144">
        <f t="shared" ref="G262:M271" si="56">F205*G38</f>
        <v>0</v>
      </c>
      <c r="H262" s="144">
        <f t="shared" si="56"/>
        <v>0</v>
      </c>
      <c r="I262" s="144">
        <f t="shared" si="56"/>
        <v>0</v>
      </c>
      <c r="J262" s="144">
        <f t="shared" si="56"/>
        <v>0</v>
      </c>
      <c r="K262" s="144">
        <f t="shared" si="56"/>
        <v>0</v>
      </c>
      <c r="L262" s="144">
        <f t="shared" si="56"/>
        <v>0</v>
      </c>
      <c r="M262" s="144">
        <f t="shared" si="56"/>
        <v>0</v>
      </c>
      <c r="N262" s="120">
        <f t="shared" si="53"/>
        <v>0</v>
      </c>
    </row>
    <row r="263" spans="2:14" x14ac:dyDescent="0.5">
      <c r="B263" s="8" t="s">
        <v>177</v>
      </c>
      <c r="C263" s="29" t="s">
        <v>102</v>
      </c>
      <c r="D263" s="29" t="s">
        <v>103</v>
      </c>
      <c r="E263" s="51" t="s">
        <v>176</v>
      </c>
      <c r="F263" s="64"/>
      <c r="G263" s="144">
        <f t="shared" si="56"/>
        <v>0</v>
      </c>
      <c r="H263" s="144">
        <f t="shared" si="56"/>
        <v>0</v>
      </c>
      <c r="I263" s="144">
        <f t="shared" si="56"/>
        <v>0</v>
      </c>
      <c r="J263" s="144">
        <f t="shared" si="56"/>
        <v>0</v>
      </c>
      <c r="K263" s="144">
        <f t="shared" si="56"/>
        <v>0</v>
      </c>
      <c r="L263" s="144">
        <f t="shared" si="56"/>
        <v>0</v>
      </c>
      <c r="M263" s="144">
        <f t="shared" si="56"/>
        <v>0</v>
      </c>
      <c r="N263" s="120">
        <f t="shared" si="53"/>
        <v>0</v>
      </c>
    </row>
    <row r="264" spans="2:14" x14ac:dyDescent="0.5">
      <c r="B264" s="8" t="s">
        <v>178</v>
      </c>
      <c r="C264" s="29" t="s">
        <v>102</v>
      </c>
      <c r="D264" s="29" t="s">
        <v>103</v>
      </c>
      <c r="E264" s="51" t="s">
        <v>176</v>
      </c>
      <c r="F264" s="64"/>
      <c r="G264" s="144">
        <f t="shared" si="56"/>
        <v>0</v>
      </c>
      <c r="H264" s="144">
        <f t="shared" si="56"/>
        <v>0</v>
      </c>
      <c r="I264" s="144">
        <f t="shared" si="56"/>
        <v>0</v>
      </c>
      <c r="J264" s="144">
        <f t="shared" si="56"/>
        <v>0</v>
      </c>
      <c r="K264" s="144">
        <f t="shared" si="56"/>
        <v>0</v>
      </c>
      <c r="L264" s="144">
        <f t="shared" si="56"/>
        <v>0</v>
      </c>
      <c r="M264" s="144">
        <f t="shared" si="56"/>
        <v>0</v>
      </c>
      <c r="N264" s="120">
        <f t="shared" si="53"/>
        <v>0</v>
      </c>
    </row>
    <row r="265" spans="2:14" x14ac:dyDescent="0.5">
      <c r="B265" s="8" t="s">
        <v>179</v>
      </c>
      <c r="C265" s="29" t="s">
        <v>102</v>
      </c>
      <c r="D265" s="29" t="s">
        <v>103</v>
      </c>
      <c r="E265" s="51" t="s">
        <v>176</v>
      </c>
      <c r="F265" s="64"/>
      <c r="G265" s="144">
        <f t="shared" si="56"/>
        <v>0.28681556952195919</v>
      </c>
      <c r="H265" s="144">
        <f t="shared" si="56"/>
        <v>0.5768612942819622</v>
      </c>
      <c r="I265" s="144">
        <f t="shared" si="56"/>
        <v>0.18153745480007544</v>
      </c>
      <c r="J265" s="144">
        <f t="shared" si="56"/>
        <v>0.45953142433809085</v>
      </c>
      <c r="K265" s="144">
        <f t="shared" si="56"/>
        <v>0.50281708279250015</v>
      </c>
      <c r="L265" s="144">
        <f t="shared" si="56"/>
        <v>0.48739897447648445</v>
      </c>
      <c r="M265" s="144">
        <f t="shared" si="56"/>
        <v>0.41509949732420726</v>
      </c>
      <c r="N265" s="120">
        <f t="shared" si="53"/>
        <v>2.9100612975352798</v>
      </c>
    </row>
    <row r="266" spans="2:14" x14ac:dyDescent="0.5">
      <c r="B266" s="53" t="s">
        <v>180</v>
      </c>
      <c r="C266" s="29" t="s">
        <v>102</v>
      </c>
      <c r="D266" s="29" t="s">
        <v>103</v>
      </c>
      <c r="E266" s="51" t="s">
        <v>176</v>
      </c>
      <c r="F266" s="64"/>
      <c r="G266" s="144">
        <f t="shared" si="56"/>
        <v>0.13933274105385618</v>
      </c>
      <c r="H266" s="144">
        <f t="shared" si="56"/>
        <v>0.28023466604042646</v>
      </c>
      <c r="I266" s="144">
        <f t="shared" si="56"/>
        <v>8.8189463436009391E-2</v>
      </c>
      <c r="J266" s="144">
        <f t="shared" si="56"/>
        <v>0.22323674080917288</v>
      </c>
      <c r="K266" s="144">
        <f t="shared" si="56"/>
        <v>0.24426457221604533</v>
      </c>
      <c r="L266" s="144">
        <f t="shared" si="56"/>
        <v>0.23677457682591976</v>
      </c>
      <c r="M266" s="144">
        <f t="shared" si="56"/>
        <v>0.20165206117874823</v>
      </c>
      <c r="N266" s="120">
        <f t="shared" si="53"/>
        <v>1.4136848215601783</v>
      </c>
    </row>
    <row r="267" spans="2:14" x14ac:dyDescent="0.5">
      <c r="B267" s="53" t="s">
        <v>181</v>
      </c>
      <c r="C267" s="29" t="s">
        <v>102</v>
      </c>
      <c r="D267" s="29" t="s">
        <v>103</v>
      </c>
      <c r="E267" s="51" t="s">
        <v>176</v>
      </c>
      <c r="F267" s="64"/>
      <c r="G267" s="144">
        <f t="shared" si="56"/>
        <v>4.0194874554530545E-2</v>
      </c>
      <c r="H267" s="144">
        <f t="shared" si="56"/>
        <v>8.0842429152899825E-2</v>
      </c>
      <c r="I267" s="144">
        <f t="shared" si="56"/>
        <v>2.5441001110224345E-2</v>
      </c>
      <c r="J267" s="144">
        <f t="shared" si="56"/>
        <v>6.4399600014462072E-2</v>
      </c>
      <c r="K267" s="144">
        <f t="shared" si="56"/>
        <v>7.0465733782880194E-2</v>
      </c>
      <c r="L267" s="144">
        <f t="shared" si="56"/>
        <v>6.8305011020641987E-2</v>
      </c>
      <c r="M267" s="144">
        <f t="shared" si="56"/>
        <v>5.8172826009425457E-2</v>
      </c>
      <c r="N267" s="120">
        <f t="shared" si="53"/>
        <v>0.40782147564506449</v>
      </c>
    </row>
    <row r="268" spans="2:14" x14ac:dyDescent="0.5">
      <c r="B268" s="53" t="s">
        <v>161</v>
      </c>
      <c r="C268" s="29" t="s">
        <v>102</v>
      </c>
      <c r="D268" s="29" t="s">
        <v>103</v>
      </c>
      <c r="E268" s="51" t="s">
        <v>176</v>
      </c>
      <c r="F268" s="64"/>
      <c r="G268" s="144">
        <f t="shared" si="56"/>
        <v>0</v>
      </c>
      <c r="H268" s="144">
        <f t="shared" si="56"/>
        <v>0</v>
      </c>
      <c r="I268" s="144">
        <f t="shared" si="56"/>
        <v>0</v>
      </c>
      <c r="J268" s="144">
        <f t="shared" si="56"/>
        <v>0</v>
      </c>
      <c r="K268" s="144">
        <f t="shared" si="56"/>
        <v>0</v>
      </c>
      <c r="L268" s="144">
        <f t="shared" si="56"/>
        <v>0</v>
      </c>
      <c r="M268" s="144">
        <f t="shared" si="56"/>
        <v>0</v>
      </c>
      <c r="N268" s="120">
        <f t="shared" si="53"/>
        <v>0</v>
      </c>
    </row>
    <row r="269" spans="2:14" x14ac:dyDescent="0.5">
      <c r="B269" s="53" t="s">
        <v>161</v>
      </c>
      <c r="C269" s="29" t="s">
        <v>102</v>
      </c>
      <c r="D269" s="29" t="s">
        <v>103</v>
      </c>
      <c r="E269" s="51" t="s">
        <v>176</v>
      </c>
      <c r="F269" s="64"/>
      <c r="G269" s="144">
        <f t="shared" si="56"/>
        <v>0</v>
      </c>
      <c r="H269" s="144">
        <f t="shared" si="56"/>
        <v>0</v>
      </c>
      <c r="I269" s="144">
        <f t="shared" si="56"/>
        <v>0</v>
      </c>
      <c r="J269" s="144">
        <f t="shared" si="56"/>
        <v>0</v>
      </c>
      <c r="K269" s="144">
        <f t="shared" si="56"/>
        <v>0</v>
      </c>
      <c r="L269" s="144">
        <f t="shared" si="56"/>
        <v>0</v>
      </c>
      <c r="M269" s="144">
        <f t="shared" si="56"/>
        <v>0</v>
      </c>
      <c r="N269" s="120">
        <f t="shared" si="53"/>
        <v>0</v>
      </c>
    </row>
    <row r="270" spans="2:14" x14ac:dyDescent="0.5">
      <c r="B270" s="53" t="s">
        <v>161</v>
      </c>
      <c r="C270" s="29" t="s">
        <v>102</v>
      </c>
      <c r="D270" s="29" t="s">
        <v>103</v>
      </c>
      <c r="E270" s="51" t="s">
        <v>176</v>
      </c>
      <c r="F270" s="64"/>
      <c r="G270" s="144">
        <f t="shared" si="56"/>
        <v>0</v>
      </c>
      <c r="H270" s="144">
        <f t="shared" si="56"/>
        <v>0</v>
      </c>
      <c r="I270" s="144">
        <f t="shared" si="56"/>
        <v>0</v>
      </c>
      <c r="J270" s="144">
        <f t="shared" si="56"/>
        <v>0</v>
      </c>
      <c r="K270" s="144">
        <f t="shared" si="56"/>
        <v>0</v>
      </c>
      <c r="L270" s="144">
        <f t="shared" si="56"/>
        <v>0</v>
      </c>
      <c r="M270" s="144">
        <f t="shared" si="56"/>
        <v>0</v>
      </c>
      <c r="N270" s="120">
        <f t="shared" si="53"/>
        <v>0</v>
      </c>
    </row>
    <row r="271" spans="2:14" x14ac:dyDescent="0.5">
      <c r="B271" s="8" t="s">
        <v>182</v>
      </c>
      <c r="C271" s="29" t="s">
        <v>102</v>
      </c>
      <c r="D271" s="29" t="s">
        <v>103</v>
      </c>
      <c r="E271" s="51" t="s">
        <v>182</v>
      </c>
      <c r="F271" s="64"/>
      <c r="G271" s="144">
        <f t="shared" si="56"/>
        <v>0</v>
      </c>
      <c r="H271" s="144">
        <f t="shared" si="56"/>
        <v>0</v>
      </c>
      <c r="I271" s="144">
        <f t="shared" si="56"/>
        <v>0</v>
      </c>
      <c r="J271" s="144">
        <f t="shared" si="56"/>
        <v>0</v>
      </c>
      <c r="K271" s="144">
        <f t="shared" si="56"/>
        <v>0</v>
      </c>
      <c r="L271" s="144">
        <f t="shared" si="56"/>
        <v>0</v>
      </c>
      <c r="M271" s="144">
        <f t="shared" si="56"/>
        <v>0</v>
      </c>
      <c r="N271" s="120">
        <f t="shared" si="53"/>
        <v>0</v>
      </c>
    </row>
    <row r="272" spans="2:14" x14ac:dyDescent="0.5">
      <c r="B272" s="8" t="s">
        <v>183</v>
      </c>
      <c r="C272" s="29" t="s">
        <v>102</v>
      </c>
      <c r="D272" s="29" t="s">
        <v>103</v>
      </c>
      <c r="E272" s="51" t="s">
        <v>184</v>
      </c>
      <c r="F272" s="64"/>
      <c r="G272" s="144">
        <f t="shared" ref="G272:M281" si="57">F215*G48</f>
        <v>0</v>
      </c>
      <c r="H272" s="144">
        <f t="shared" si="57"/>
        <v>0</v>
      </c>
      <c r="I272" s="144">
        <f t="shared" si="57"/>
        <v>0</v>
      </c>
      <c r="J272" s="144">
        <f t="shared" si="57"/>
        <v>0</v>
      </c>
      <c r="K272" s="144">
        <f t="shared" si="57"/>
        <v>0</v>
      </c>
      <c r="L272" s="144">
        <f t="shared" si="57"/>
        <v>0</v>
      </c>
      <c r="M272" s="144">
        <f t="shared" si="57"/>
        <v>0</v>
      </c>
      <c r="N272" s="120">
        <f t="shared" si="53"/>
        <v>0</v>
      </c>
    </row>
    <row r="273" spans="1:14" x14ac:dyDescent="0.5">
      <c r="B273" s="8" t="s">
        <v>185</v>
      </c>
      <c r="C273" s="29" t="s">
        <v>102</v>
      </c>
      <c r="D273" s="29" t="s">
        <v>103</v>
      </c>
      <c r="E273" s="51" t="s">
        <v>184</v>
      </c>
      <c r="F273" s="64"/>
      <c r="G273" s="144">
        <f t="shared" si="57"/>
        <v>0</v>
      </c>
      <c r="H273" s="144">
        <f t="shared" si="57"/>
        <v>0</v>
      </c>
      <c r="I273" s="144">
        <f t="shared" si="57"/>
        <v>0</v>
      </c>
      <c r="J273" s="144">
        <f t="shared" si="57"/>
        <v>0</v>
      </c>
      <c r="K273" s="144">
        <f t="shared" si="57"/>
        <v>0</v>
      </c>
      <c r="L273" s="144">
        <f t="shared" si="57"/>
        <v>0</v>
      </c>
      <c r="M273" s="144">
        <f t="shared" si="57"/>
        <v>0</v>
      </c>
      <c r="N273" s="120">
        <f t="shared" si="53"/>
        <v>0</v>
      </c>
    </row>
    <row r="274" spans="1:14" x14ac:dyDescent="0.5">
      <c r="B274" s="8" t="s">
        <v>186</v>
      </c>
      <c r="C274" s="29" t="s">
        <v>102</v>
      </c>
      <c r="D274" s="29" t="s">
        <v>103</v>
      </c>
      <c r="E274" s="51" t="s">
        <v>184</v>
      </c>
      <c r="F274" s="64"/>
      <c r="G274" s="144">
        <f t="shared" si="57"/>
        <v>0</v>
      </c>
      <c r="H274" s="144">
        <f t="shared" si="57"/>
        <v>0</v>
      </c>
      <c r="I274" s="144">
        <f t="shared" si="57"/>
        <v>0</v>
      </c>
      <c r="J274" s="144">
        <f t="shared" si="57"/>
        <v>0</v>
      </c>
      <c r="K274" s="144">
        <f t="shared" si="57"/>
        <v>0</v>
      </c>
      <c r="L274" s="144">
        <f t="shared" si="57"/>
        <v>0</v>
      </c>
      <c r="M274" s="144">
        <f t="shared" si="57"/>
        <v>0</v>
      </c>
      <c r="N274" s="120">
        <f t="shared" si="53"/>
        <v>0</v>
      </c>
    </row>
    <row r="275" spans="1:14" x14ac:dyDescent="0.5">
      <c r="B275" s="8" t="s">
        <v>161</v>
      </c>
      <c r="C275" s="29" t="s">
        <v>102</v>
      </c>
      <c r="D275" s="29" t="s">
        <v>103</v>
      </c>
      <c r="E275" s="51" t="s">
        <v>184</v>
      </c>
      <c r="F275" s="64"/>
      <c r="G275" s="144">
        <f t="shared" si="57"/>
        <v>0</v>
      </c>
      <c r="H275" s="144">
        <f t="shared" si="57"/>
        <v>0</v>
      </c>
      <c r="I275" s="144">
        <f t="shared" si="57"/>
        <v>0</v>
      </c>
      <c r="J275" s="144">
        <f t="shared" si="57"/>
        <v>0</v>
      </c>
      <c r="K275" s="144">
        <f t="shared" si="57"/>
        <v>0</v>
      </c>
      <c r="L275" s="144">
        <f t="shared" si="57"/>
        <v>0</v>
      </c>
      <c r="M275" s="144">
        <f t="shared" si="57"/>
        <v>0</v>
      </c>
      <c r="N275" s="120">
        <f t="shared" si="53"/>
        <v>0</v>
      </c>
    </row>
    <row r="276" spans="1:14" x14ac:dyDescent="0.5">
      <c r="B276" s="53" t="s">
        <v>161</v>
      </c>
      <c r="C276" s="29" t="s">
        <v>102</v>
      </c>
      <c r="D276" s="29" t="s">
        <v>103</v>
      </c>
      <c r="E276" s="51" t="s">
        <v>184</v>
      </c>
      <c r="F276" s="64"/>
      <c r="G276" s="144">
        <f t="shared" si="57"/>
        <v>0</v>
      </c>
      <c r="H276" s="144">
        <f t="shared" si="57"/>
        <v>0</v>
      </c>
      <c r="I276" s="144">
        <f t="shared" si="57"/>
        <v>0</v>
      </c>
      <c r="J276" s="144">
        <f t="shared" si="57"/>
        <v>0</v>
      </c>
      <c r="K276" s="144">
        <f t="shared" si="57"/>
        <v>0</v>
      </c>
      <c r="L276" s="144">
        <f t="shared" si="57"/>
        <v>0</v>
      </c>
      <c r="M276" s="144">
        <f t="shared" si="57"/>
        <v>0</v>
      </c>
      <c r="N276" s="120">
        <f t="shared" si="53"/>
        <v>0</v>
      </c>
    </row>
    <row r="277" spans="1:14" x14ac:dyDescent="0.5">
      <c r="B277" s="53" t="s">
        <v>161</v>
      </c>
      <c r="C277" s="29" t="s">
        <v>102</v>
      </c>
      <c r="D277" s="29" t="s">
        <v>103</v>
      </c>
      <c r="E277" s="51" t="s">
        <v>184</v>
      </c>
      <c r="F277" s="64"/>
      <c r="G277" s="144">
        <f t="shared" si="57"/>
        <v>0</v>
      </c>
      <c r="H277" s="144">
        <f t="shared" si="57"/>
        <v>0</v>
      </c>
      <c r="I277" s="144">
        <f t="shared" si="57"/>
        <v>0</v>
      </c>
      <c r="J277" s="144">
        <f t="shared" si="57"/>
        <v>0</v>
      </c>
      <c r="K277" s="144">
        <f t="shared" si="57"/>
        <v>0</v>
      </c>
      <c r="L277" s="144">
        <f t="shared" si="57"/>
        <v>0</v>
      </c>
      <c r="M277" s="144">
        <f t="shared" si="57"/>
        <v>0</v>
      </c>
      <c r="N277" s="120">
        <f t="shared" si="53"/>
        <v>0</v>
      </c>
    </row>
    <row r="278" spans="1:14" x14ac:dyDescent="0.5">
      <c r="B278" s="53" t="s">
        <v>187</v>
      </c>
      <c r="C278" s="29" t="s">
        <v>102</v>
      </c>
      <c r="D278" s="29" t="s">
        <v>103</v>
      </c>
      <c r="E278" s="51" t="s">
        <v>187</v>
      </c>
      <c r="F278" s="64"/>
      <c r="G278" s="190"/>
      <c r="H278" s="190"/>
      <c r="I278" s="190"/>
      <c r="J278" s="190"/>
      <c r="K278" s="190"/>
      <c r="L278" s="190"/>
      <c r="M278" s="190"/>
      <c r="N278" s="120"/>
    </row>
    <row r="279" spans="1:14" x14ac:dyDescent="0.5">
      <c r="B279" s="8" t="s">
        <v>161</v>
      </c>
      <c r="C279" s="29" t="s">
        <v>102</v>
      </c>
      <c r="D279" s="29" t="s">
        <v>103</v>
      </c>
      <c r="E279" s="51" t="s">
        <v>187</v>
      </c>
      <c r="F279" s="64"/>
      <c r="G279" s="144">
        <f t="shared" si="57"/>
        <v>0</v>
      </c>
      <c r="H279" s="144">
        <f t="shared" si="57"/>
        <v>0</v>
      </c>
      <c r="I279" s="144">
        <f t="shared" si="57"/>
        <v>0</v>
      </c>
      <c r="J279" s="144">
        <f t="shared" si="57"/>
        <v>0</v>
      </c>
      <c r="K279" s="144">
        <f t="shared" si="57"/>
        <v>0</v>
      </c>
      <c r="L279" s="144">
        <f t="shared" si="57"/>
        <v>0</v>
      </c>
      <c r="M279" s="144">
        <f t="shared" si="57"/>
        <v>0</v>
      </c>
      <c r="N279" s="120">
        <f t="shared" si="53"/>
        <v>0</v>
      </c>
    </row>
    <row r="280" spans="1:14" x14ac:dyDescent="0.5">
      <c r="B280" s="53" t="s">
        <v>161</v>
      </c>
      <c r="C280" s="29" t="s">
        <v>102</v>
      </c>
      <c r="D280" s="29" t="s">
        <v>103</v>
      </c>
      <c r="E280" s="51" t="s">
        <v>187</v>
      </c>
      <c r="F280" s="64"/>
      <c r="G280" s="144">
        <f t="shared" si="57"/>
        <v>0</v>
      </c>
      <c r="H280" s="144">
        <f t="shared" si="57"/>
        <v>0</v>
      </c>
      <c r="I280" s="144">
        <f t="shared" si="57"/>
        <v>0</v>
      </c>
      <c r="J280" s="144">
        <f t="shared" si="57"/>
        <v>0</v>
      </c>
      <c r="K280" s="144">
        <f t="shared" si="57"/>
        <v>0</v>
      </c>
      <c r="L280" s="144">
        <f t="shared" si="57"/>
        <v>0</v>
      </c>
      <c r="M280" s="144">
        <f t="shared" si="57"/>
        <v>0</v>
      </c>
      <c r="N280" s="120">
        <f t="shared" si="53"/>
        <v>0</v>
      </c>
    </row>
    <row r="281" spans="1:14" ht="17" thickBot="1" x14ac:dyDescent="0.55000000000000004">
      <c r="B281" s="54" t="s">
        <v>194</v>
      </c>
      <c r="C281" s="29" t="s">
        <v>102</v>
      </c>
      <c r="D281" s="29" t="s">
        <v>103</v>
      </c>
      <c r="E281" s="51" t="s">
        <v>187</v>
      </c>
      <c r="F281" s="64"/>
      <c r="G281" s="144">
        <f t="shared" si="57"/>
        <v>0</v>
      </c>
      <c r="H281" s="144">
        <f t="shared" si="57"/>
        <v>0</v>
      </c>
      <c r="I281" s="144">
        <f t="shared" si="57"/>
        <v>0</v>
      </c>
      <c r="J281" s="144">
        <f t="shared" si="57"/>
        <v>0</v>
      </c>
      <c r="K281" s="144">
        <f t="shared" si="57"/>
        <v>0</v>
      </c>
      <c r="L281" s="144">
        <f t="shared" si="57"/>
        <v>0</v>
      </c>
      <c r="M281" s="144">
        <f t="shared" si="57"/>
        <v>0</v>
      </c>
      <c r="N281" s="120">
        <f t="shared" si="53"/>
        <v>0</v>
      </c>
    </row>
    <row r="282" spans="1:14" x14ac:dyDescent="0.5">
      <c r="B282" s="53" t="s">
        <v>195</v>
      </c>
      <c r="C282" s="29" t="s">
        <v>102</v>
      </c>
      <c r="D282" s="29"/>
      <c r="E282" s="51"/>
      <c r="F282" s="64"/>
      <c r="G282" s="98">
        <f t="shared" ref="G282:M282" si="58">SUM(G232:G281)</f>
        <v>5.8562017970045943</v>
      </c>
      <c r="H282" s="98">
        <f t="shared" si="58"/>
        <v>4.21958103950774</v>
      </c>
      <c r="I282" s="98">
        <f t="shared" si="58"/>
        <v>-1.1733534463489068</v>
      </c>
      <c r="J282" s="98">
        <f t="shared" si="58"/>
        <v>7.8027226108094387</v>
      </c>
      <c r="K282" s="98">
        <f t="shared" si="58"/>
        <v>8.8669579642873355</v>
      </c>
      <c r="L282" s="98">
        <f t="shared" si="58"/>
        <v>8.6480042498869079</v>
      </c>
      <c r="M282" s="98">
        <f t="shared" si="58"/>
        <v>7.5224379225808464</v>
      </c>
      <c r="N282" s="119">
        <f>SUM(G282:M282)</f>
        <v>41.742552137727962</v>
      </c>
    </row>
    <row r="284" spans="1:14" ht="19" thickBot="1" x14ac:dyDescent="0.55000000000000004">
      <c r="A284" s="14" t="s">
        <v>388</v>
      </c>
    </row>
    <row r="285" spans="1:14" ht="19" thickTop="1" x14ac:dyDescent="0.5">
      <c r="A285" s="23"/>
    </row>
    <row r="286" spans="1:14" ht="17" thickBot="1" x14ac:dyDescent="0.55000000000000004">
      <c r="B286" s="27" t="s">
        <v>143</v>
      </c>
      <c r="C286" s="27" t="s">
        <v>96</v>
      </c>
      <c r="D286" s="27" t="s">
        <v>97</v>
      </c>
      <c r="E286" s="50" t="s">
        <v>144</v>
      </c>
      <c r="F286" s="12">
        <v>2024</v>
      </c>
      <c r="G286" s="12">
        <v>2025</v>
      </c>
      <c r="H286" s="12">
        <v>2026</v>
      </c>
      <c r="I286" s="12">
        <v>2027</v>
      </c>
      <c r="J286" s="12">
        <v>2028</v>
      </c>
      <c r="K286" s="12">
        <v>2029</v>
      </c>
      <c r="L286" s="12">
        <v>2030</v>
      </c>
      <c r="M286" s="12">
        <v>2031</v>
      </c>
      <c r="N286" s="10" t="s">
        <v>57</v>
      </c>
    </row>
    <row r="287" spans="1:14" x14ac:dyDescent="0.5">
      <c r="B287" s="8" t="s">
        <v>146</v>
      </c>
      <c r="C287" s="29" t="s">
        <v>102</v>
      </c>
      <c r="D287" s="29" t="s">
        <v>103</v>
      </c>
      <c r="E287" s="51" t="s">
        <v>147</v>
      </c>
      <c r="F287" s="64"/>
      <c r="G287" s="144">
        <f t="shared" ref="G287:M296" si="59">F175*(1+G8)*G62</f>
        <v>0</v>
      </c>
      <c r="H287" s="144">
        <f t="shared" si="59"/>
        <v>0</v>
      </c>
      <c r="I287" s="144">
        <f t="shared" si="59"/>
        <v>0</v>
      </c>
      <c r="J287" s="144">
        <f t="shared" si="59"/>
        <v>0</v>
      </c>
      <c r="K287" s="144">
        <f t="shared" si="59"/>
        <v>0</v>
      </c>
      <c r="L287" s="144">
        <f t="shared" si="59"/>
        <v>0</v>
      </c>
      <c r="M287" s="144">
        <f t="shared" si="59"/>
        <v>0</v>
      </c>
      <c r="N287" s="120">
        <f t="shared" ref="N287:N336" si="60">SUM(G287:M287)</f>
        <v>0</v>
      </c>
    </row>
    <row r="288" spans="1:14" x14ac:dyDescent="0.5">
      <c r="B288" s="8" t="s">
        <v>148</v>
      </c>
      <c r="C288" s="29" t="s">
        <v>102</v>
      </c>
      <c r="D288" s="29" t="s">
        <v>103</v>
      </c>
      <c r="E288" s="51" t="s">
        <v>147</v>
      </c>
      <c r="F288" s="64"/>
      <c r="G288" s="144">
        <f t="shared" si="59"/>
        <v>0</v>
      </c>
      <c r="H288" s="144">
        <f t="shared" si="59"/>
        <v>0</v>
      </c>
      <c r="I288" s="144">
        <f t="shared" si="59"/>
        <v>0</v>
      </c>
      <c r="J288" s="144">
        <f t="shared" si="59"/>
        <v>0</v>
      </c>
      <c r="K288" s="144">
        <f t="shared" si="59"/>
        <v>0</v>
      </c>
      <c r="L288" s="144">
        <f t="shared" si="59"/>
        <v>0</v>
      </c>
      <c r="M288" s="144">
        <f t="shared" si="59"/>
        <v>0</v>
      </c>
      <c r="N288" s="120">
        <f t="shared" si="60"/>
        <v>0</v>
      </c>
    </row>
    <row r="289" spans="2:14" x14ac:dyDescent="0.5">
      <c r="B289" s="8" t="s">
        <v>149</v>
      </c>
      <c r="C289" s="29" t="s">
        <v>102</v>
      </c>
      <c r="D289" s="29" t="s">
        <v>103</v>
      </c>
      <c r="E289" s="51" t="s">
        <v>147</v>
      </c>
      <c r="F289" s="64"/>
      <c r="G289" s="144">
        <f t="shared" si="59"/>
        <v>0</v>
      </c>
      <c r="H289" s="144">
        <f t="shared" si="59"/>
        <v>0</v>
      </c>
      <c r="I289" s="144">
        <f t="shared" si="59"/>
        <v>0</v>
      </c>
      <c r="J289" s="144">
        <f t="shared" si="59"/>
        <v>0</v>
      </c>
      <c r="K289" s="144">
        <f t="shared" si="59"/>
        <v>0</v>
      </c>
      <c r="L289" s="144">
        <f t="shared" si="59"/>
        <v>0</v>
      </c>
      <c r="M289" s="144">
        <f t="shared" si="59"/>
        <v>0</v>
      </c>
      <c r="N289" s="120">
        <f t="shared" si="60"/>
        <v>0</v>
      </c>
    </row>
    <row r="290" spans="2:14" x14ac:dyDescent="0.5">
      <c r="B290" s="8" t="s">
        <v>150</v>
      </c>
      <c r="C290" s="29" t="s">
        <v>102</v>
      </c>
      <c r="D290" s="29" t="s">
        <v>103</v>
      </c>
      <c r="E290" s="51" t="s">
        <v>147</v>
      </c>
      <c r="F290" s="64"/>
      <c r="G290" s="144">
        <f t="shared" si="59"/>
        <v>0</v>
      </c>
      <c r="H290" s="144">
        <f t="shared" si="59"/>
        <v>0</v>
      </c>
      <c r="I290" s="144">
        <f t="shared" si="59"/>
        <v>0</v>
      </c>
      <c r="J290" s="144">
        <f t="shared" si="59"/>
        <v>0</v>
      </c>
      <c r="K290" s="144">
        <f t="shared" si="59"/>
        <v>0</v>
      </c>
      <c r="L290" s="144">
        <f t="shared" si="59"/>
        <v>0</v>
      </c>
      <c r="M290" s="144">
        <f t="shared" si="59"/>
        <v>0</v>
      </c>
      <c r="N290" s="120">
        <f t="shared" si="60"/>
        <v>0</v>
      </c>
    </row>
    <row r="291" spans="2:14" x14ac:dyDescent="0.5">
      <c r="B291" s="8" t="s">
        <v>151</v>
      </c>
      <c r="C291" s="29" t="s">
        <v>102</v>
      </c>
      <c r="D291" s="29" t="s">
        <v>103</v>
      </c>
      <c r="E291" s="51" t="s">
        <v>147</v>
      </c>
      <c r="F291" s="64"/>
      <c r="G291" s="144">
        <f t="shared" si="59"/>
        <v>0</v>
      </c>
      <c r="H291" s="144">
        <f t="shared" si="59"/>
        <v>0</v>
      </c>
      <c r="I291" s="144">
        <f t="shared" si="59"/>
        <v>0</v>
      </c>
      <c r="J291" s="144">
        <f t="shared" si="59"/>
        <v>0</v>
      </c>
      <c r="K291" s="144">
        <f t="shared" si="59"/>
        <v>0</v>
      </c>
      <c r="L291" s="144">
        <f t="shared" si="59"/>
        <v>0</v>
      </c>
      <c r="M291" s="144">
        <f t="shared" si="59"/>
        <v>0</v>
      </c>
      <c r="N291" s="120">
        <f t="shared" si="60"/>
        <v>0</v>
      </c>
    </row>
    <row r="292" spans="2:14" x14ac:dyDescent="0.5">
      <c r="B292" s="8" t="s">
        <v>152</v>
      </c>
      <c r="C292" s="29" t="s">
        <v>102</v>
      </c>
      <c r="D292" s="29" t="s">
        <v>103</v>
      </c>
      <c r="E292" s="51" t="s">
        <v>147</v>
      </c>
      <c r="F292" s="64"/>
      <c r="G292" s="144">
        <f t="shared" si="59"/>
        <v>0</v>
      </c>
      <c r="H292" s="144">
        <f t="shared" si="59"/>
        <v>0</v>
      </c>
      <c r="I292" s="144">
        <f t="shared" si="59"/>
        <v>0</v>
      </c>
      <c r="J292" s="144">
        <f t="shared" si="59"/>
        <v>0</v>
      </c>
      <c r="K292" s="144">
        <f t="shared" si="59"/>
        <v>0</v>
      </c>
      <c r="L292" s="144">
        <f t="shared" si="59"/>
        <v>0</v>
      </c>
      <c r="M292" s="144">
        <f t="shared" si="59"/>
        <v>0</v>
      </c>
      <c r="N292" s="120">
        <f t="shared" si="60"/>
        <v>0</v>
      </c>
    </row>
    <row r="293" spans="2:14" x14ac:dyDescent="0.5">
      <c r="B293" s="8" t="s">
        <v>153</v>
      </c>
      <c r="C293" s="29" t="s">
        <v>102</v>
      </c>
      <c r="D293" s="29" t="s">
        <v>103</v>
      </c>
      <c r="E293" s="51" t="s">
        <v>147</v>
      </c>
      <c r="F293" s="64"/>
      <c r="G293" s="144">
        <f t="shared" si="59"/>
        <v>0</v>
      </c>
      <c r="H293" s="144">
        <f t="shared" si="59"/>
        <v>0</v>
      </c>
      <c r="I293" s="144">
        <f t="shared" si="59"/>
        <v>0</v>
      </c>
      <c r="J293" s="144">
        <f t="shared" si="59"/>
        <v>0</v>
      </c>
      <c r="K293" s="144">
        <f t="shared" si="59"/>
        <v>0</v>
      </c>
      <c r="L293" s="144">
        <f t="shared" si="59"/>
        <v>0</v>
      </c>
      <c r="M293" s="144">
        <f t="shared" si="59"/>
        <v>0</v>
      </c>
      <c r="N293" s="120">
        <f t="shared" si="60"/>
        <v>0</v>
      </c>
    </row>
    <row r="294" spans="2:14" x14ac:dyDescent="0.5">
      <c r="B294" s="8" t="s">
        <v>154</v>
      </c>
      <c r="C294" s="29" t="s">
        <v>102</v>
      </c>
      <c r="D294" s="29" t="s">
        <v>103</v>
      </c>
      <c r="E294" s="51" t="s">
        <v>147</v>
      </c>
      <c r="F294" s="64"/>
      <c r="G294" s="144">
        <f t="shared" si="59"/>
        <v>0</v>
      </c>
      <c r="H294" s="144">
        <f t="shared" si="59"/>
        <v>0</v>
      </c>
      <c r="I294" s="144">
        <f t="shared" si="59"/>
        <v>0</v>
      </c>
      <c r="J294" s="144">
        <f t="shared" si="59"/>
        <v>0</v>
      </c>
      <c r="K294" s="144">
        <f t="shared" si="59"/>
        <v>0</v>
      </c>
      <c r="L294" s="144">
        <f t="shared" si="59"/>
        <v>0</v>
      </c>
      <c r="M294" s="144">
        <f t="shared" si="59"/>
        <v>0</v>
      </c>
      <c r="N294" s="120">
        <f t="shared" si="60"/>
        <v>0</v>
      </c>
    </row>
    <row r="295" spans="2:14" x14ac:dyDescent="0.5">
      <c r="B295" s="8" t="s">
        <v>155</v>
      </c>
      <c r="C295" s="29" t="s">
        <v>102</v>
      </c>
      <c r="D295" s="29" t="s">
        <v>103</v>
      </c>
      <c r="E295" s="51" t="s">
        <v>147</v>
      </c>
      <c r="F295" s="64"/>
      <c r="G295" s="144">
        <f t="shared" si="59"/>
        <v>0</v>
      </c>
      <c r="H295" s="144">
        <f t="shared" si="59"/>
        <v>0</v>
      </c>
      <c r="I295" s="144">
        <f t="shared" si="59"/>
        <v>0</v>
      </c>
      <c r="J295" s="144">
        <f t="shared" si="59"/>
        <v>0</v>
      </c>
      <c r="K295" s="144">
        <f t="shared" si="59"/>
        <v>0</v>
      </c>
      <c r="L295" s="144">
        <f t="shared" si="59"/>
        <v>0</v>
      </c>
      <c r="M295" s="144">
        <f t="shared" si="59"/>
        <v>0</v>
      </c>
      <c r="N295" s="120">
        <f t="shared" si="60"/>
        <v>0</v>
      </c>
    </row>
    <row r="296" spans="2:14" x14ac:dyDescent="0.5">
      <c r="B296" s="8" t="s">
        <v>156</v>
      </c>
      <c r="C296" s="29" t="s">
        <v>102</v>
      </c>
      <c r="D296" s="29" t="s">
        <v>103</v>
      </c>
      <c r="E296" s="51" t="s">
        <v>147</v>
      </c>
      <c r="F296" s="64"/>
      <c r="G296" s="144">
        <f t="shared" si="59"/>
        <v>0</v>
      </c>
      <c r="H296" s="144">
        <f t="shared" si="59"/>
        <v>0</v>
      </c>
      <c r="I296" s="144">
        <f t="shared" si="59"/>
        <v>0</v>
      </c>
      <c r="J296" s="144">
        <f t="shared" si="59"/>
        <v>0</v>
      </c>
      <c r="K296" s="144">
        <f t="shared" si="59"/>
        <v>0</v>
      </c>
      <c r="L296" s="144">
        <f t="shared" si="59"/>
        <v>0</v>
      </c>
      <c r="M296" s="144">
        <f t="shared" si="59"/>
        <v>0</v>
      </c>
      <c r="N296" s="120">
        <f t="shared" si="60"/>
        <v>0</v>
      </c>
    </row>
    <row r="297" spans="2:14" x14ac:dyDescent="0.5">
      <c r="B297" s="8" t="s">
        <v>157</v>
      </c>
      <c r="C297" s="29" t="s">
        <v>102</v>
      </c>
      <c r="D297" s="29" t="s">
        <v>103</v>
      </c>
      <c r="E297" s="51" t="s">
        <v>147</v>
      </c>
      <c r="F297" s="64"/>
      <c r="G297" s="144">
        <f t="shared" ref="G297:M306" si="61">F185*(1+G18)*G72</f>
        <v>0</v>
      </c>
      <c r="H297" s="144">
        <f t="shared" si="61"/>
        <v>0</v>
      </c>
      <c r="I297" s="144">
        <f t="shared" si="61"/>
        <v>0</v>
      </c>
      <c r="J297" s="144">
        <f t="shared" si="61"/>
        <v>0</v>
      </c>
      <c r="K297" s="144">
        <f t="shared" si="61"/>
        <v>0</v>
      </c>
      <c r="L297" s="144">
        <f t="shared" si="61"/>
        <v>0</v>
      </c>
      <c r="M297" s="144">
        <f t="shared" si="61"/>
        <v>0</v>
      </c>
      <c r="N297" s="120">
        <f t="shared" si="60"/>
        <v>0</v>
      </c>
    </row>
    <row r="298" spans="2:14" x14ac:dyDescent="0.5">
      <c r="B298" s="8" t="s">
        <v>158</v>
      </c>
      <c r="C298" s="29" t="s">
        <v>102</v>
      </c>
      <c r="D298" s="29" t="s">
        <v>103</v>
      </c>
      <c r="E298" s="51" t="s">
        <v>147</v>
      </c>
      <c r="F298" s="64"/>
      <c r="G298" s="144">
        <f t="shared" si="61"/>
        <v>0</v>
      </c>
      <c r="H298" s="144">
        <f t="shared" si="61"/>
        <v>0</v>
      </c>
      <c r="I298" s="144">
        <f t="shared" si="61"/>
        <v>0</v>
      </c>
      <c r="J298" s="144">
        <f t="shared" si="61"/>
        <v>0</v>
      </c>
      <c r="K298" s="144">
        <f t="shared" si="61"/>
        <v>0</v>
      </c>
      <c r="L298" s="144">
        <f t="shared" si="61"/>
        <v>0</v>
      </c>
      <c r="M298" s="144">
        <f t="shared" si="61"/>
        <v>0</v>
      </c>
      <c r="N298" s="120">
        <f t="shared" si="60"/>
        <v>0</v>
      </c>
    </row>
    <row r="299" spans="2:14" x14ac:dyDescent="0.5">
      <c r="B299" s="8" t="s">
        <v>159</v>
      </c>
      <c r="C299" s="29" t="s">
        <v>102</v>
      </c>
      <c r="D299" s="29" t="s">
        <v>103</v>
      </c>
      <c r="E299" s="51" t="s">
        <v>147</v>
      </c>
      <c r="F299" s="64"/>
      <c r="G299" s="144">
        <f t="shared" si="61"/>
        <v>0</v>
      </c>
      <c r="H299" s="144">
        <f t="shared" si="61"/>
        <v>0</v>
      </c>
      <c r="I299" s="144">
        <f t="shared" si="61"/>
        <v>0</v>
      </c>
      <c r="J299" s="144">
        <f t="shared" si="61"/>
        <v>0</v>
      </c>
      <c r="K299" s="144">
        <f t="shared" si="61"/>
        <v>0</v>
      </c>
      <c r="L299" s="144">
        <f t="shared" si="61"/>
        <v>0</v>
      </c>
      <c r="M299" s="144">
        <f t="shared" si="61"/>
        <v>0</v>
      </c>
      <c r="N299" s="120">
        <f t="shared" si="60"/>
        <v>0</v>
      </c>
    </row>
    <row r="300" spans="2:14" x14ac:dyDescent="0.5">
      <c r="B300" s="53" t="s">
        <v>160</v>
      </c>
      <c r="C300" s="29" t="s">
        <v>102</v>
      </c>
      <c r="D300" s="29" t="s">
        <v>103</v>
      </c>
      <c r="E300" s="51" t="s">
        <v>147</v>
      </c>
      <c r="F300" s="64"/>
      <c r="G300" s="144">
        <f t="shared" si="61"/>
        <v>0</v>
      </c>
      <c r="H300" s="144">
        <f t="shared" si="61"/>
        <v>0</v>
      </c>
      <c r="I300" s="144">
        <f t="shared" si="61"/>
        <v>0</v>
      </c>
      <c r="J300" s="144">
        <f t="shared" si="61"/>
        <v>0</v>
      </c>
      <c r="K300" s="144">
        <f t="shared" si="61"/>
        <v>0</v>
      </c>
      <c r="L300" s="144">
        <f t="shared" si="61"/>
        <v>0</v>
      </c>
      <c r="M300" s="144">
        <f t="shared" si="61"/>
        <v>0</v>
      </c>
      <c r="N300" s="120">
        <f t="shared" si="60"/>
        <v>0</v>
      </c>
    </row>
    <row r="301" spans="2:14" x14ac:dyDescent="0.5">
      <c r="B301" s="53" t="s">
        <v>161</v>
      </c>
      <c r="C301" s="29" t="s">
        <v>102</v>
      </c>
      <c r="D301" s="29" t="s">
        <v>103</v>
      </c>
      <c r="E301" s="51" t="s">
        <v>147</v>
      </c>
      <c r="F301" s="64"/>
      <c r="G301" s="144">
        <f t="shared" si="61"/>
        <v>0</v>
      </c>
      <c r="H301" s="144">
        <f t="shared" si="61"/>
        <v>0</v>
      </c>
      <c r="I301" s="144">
        <f t="shared" si="61"/>
        <v>0</v>
      </c>
      <c r="J301" s="144">
        <f t="shared" si="61"/>
        <v>0</v>
      </c>
      <c r="K301" s="144">
        <f t="shared" si="61"/>
        <v>0</v>
      </c>
      <c r="L301" s="144">
        <f t="shared" si="61"/>
        <v>0</v>
      </c>
      <c r="M301" s="144">
        <f t="shared" si="61"/>
        <v>0</v>
      </c>
      <c r="N301" s="120">
        <f t="shared" si="60"/>
        <v>0</v>
      </c>
    </row>
    <row r="302" spans="2:14" x14ac:dyDescent="0.5">
      <c r="B302" s="53" t="s">
        <v>161</v>
      </c>
      <c r="C302" s="29" t="s">
        <v>102</v>
      </c>
      <c r="D302" s="29" t="s">
        <v>103</v>
      </c>
      <c r="E302" s="51" t="s">
        <v>147</v>
      </c>
      <c r="F302" s="64"/>
      <c r="G302" s="144">
        <f t="shared" si="61"/>
        <v>0</v>
      </c>
      <c r="H302" s="144">
        <f t="shared" si="61"/>
        <v>0</v>
      </c>
      <c r="I302" s="144">
        <f t="shared" si="61"/>
        <v>0</v>
      </c>
      <c r="J302" s="144">
        <f t="shared" si="61"/>
        <v>0</v>
      </c>
      <c r="K302" s="144">
        <f t="shared" si="61"/>
        <v>0</v>
      </c>
      <c r="L302" s="144">
        <f t="shared" si="61"/>
        <v>0</v>
      </c>
      <c r="M302" s="144">
        <f t="shared" si="61"/>
        <v>0</v>
      </c>
      <c r="N302" s="120">
        <f t="shared" si="60"/>
        <v>0</v>
      </c>
    </row>
    <row r="303" spans="2:14" x14ac:dyDescent="0.5">
      <c r="B303" s="8" t="s">
        <v>163</v>
      </c>
      <c r="C303" s="29" t="s">
        <v>102</v>
      </c>
      <c r="D303" s="29" t="s">
        <v>103</v>
      </c>
      <c r="E303" s="51" t="s">
        <v>162</v>
      </c>
      <c r="F303" s="64"/>
      <c r="G303" s="144">
        <f t="shared" si="61"/>
        <v>0</v>
      </c>
      <c r="H303" s="144">
        <f t="shared" si="61"/>
        <v>0</v>
      </c>
      <c r="I303" s="144">
        <f t="shared" si="61"/>
        <v>0</v>
      </c>
      <c r="J303" s="144">
        <f t="shared" si="61"/>
        <v>0</v>
      </c>
      <c r="K303" s="144">
        <f t="shared" si="61"/>
        <v>0</v>
      </c>
      <c r="L303" s="144">
        <f t="shared" si="61"/>
        <v>0</v>
      </c>
      <c r="M303" s="144">
        <f t="shared" si="61"/>
        <v>0</v>
      </c>
      <c r="N303" s="120">
        <f t="shared" si="60"/>
        <v>0</v>
      </c>
    </row>
    <row r="304" spans="2:14" x14ac:dyDescent="0.5">
      <c r="B304" s="8" t="s">
        <v>164</v>
      </c>
      <c r="C304" s="29" t="s">
        <v>102</v>
      </c>
      <c r="D304" s="29" t="s">
        <v>103</v>
      </c>
      <c r="E304" s="51" t="s">
        <v>162</v>
      </c>
      <c r="F304" s="64"/>
      <c r="G304" s="144">
        <f t="shared" si="61"/>
        <v>0</v>
      </c>
      <c r="H304" s="144">
        <f t="shared" si="61"/>
        <v>0</v>
      </c>
      <c r="I304" s="144">
        <f t="shared" si="61"/>
        <v>0</v>
      </c>
      <c r="J304" s="144">
        <f t="shared" si="61"/>
        <v>0</v>
      </c>
      <c r="K304" s="144">
        <f t="shared" si="61"/>
        <v>0</v>
      </c>
      <c r="L304" s="144">
        <f t="shared" si="61"/>
        <v>0</v>
      </c>
      <c r="M304" s="144">
        <f t="shared" si="61"/>
        <v>0</v>
      </c>
      <c r="N304" s="120">
        <f t="shared" si="60"/>
        <v>0</v>
      </c>
    </row>
    <row r="305" spans="2:14" x14ac:dyDescent="0.5">
      <c r="B305" s="53" t="s">
        <v>165</v>
      </c>
      <c r="C305" s="29" t="s">
        <v>102</v>
      </c>
      <c r="D305" s="29" t="s">
        <v>103</v>
      </c>
      <c r="E305" s="51" t="s">
        <v>162</v>
      </c>
      <c r="F305" s="64"/>
      <c r="G305" s="144">
        <f t="shared" si="61"/>
        <v>0</v>
      </c>
      <c r="H305" s="144">
        <f t="shared" si="61"/>
        <v>0</v>
      </c>
      <c r="I305" s="144">
        <f t="shared" si="61"/>
        <v>0</v>
      </c>
      <c r="J305" s="144">
        <f t="shared" si="61"/>
        <v>0</v>
      </c>
      <c r="K305" s="144">
        <f t="shared" si="61"/>
        <v>0</v>
      </c>
      <c r="L305" s="144">
        <f t="shared" si="61"/>
        <v>0</v>
      </c>
      <c r="M305" s="144">
        <f t="shared" si="61"/>
        <v>0</v>
      </c>
      <c r="N305" s="120">
        <f t="shared" si="60"/>
        <v>0</v>
      </c>
    </row>
    <row r="306" spans="2:14" x14ac:dyDescent="0.5">
      <c r="B306" s="53" t="s">
        <v>161</v>
      </c>
      <c r="C306" s="29" t="s">
        <v>102</v>
      </c>
      <c r="D306" s="29" t="s">
        <v>103</v>
      </c>
      <c r="E306" s="51" t="s">
        <v>162</v>
      </c>
      <c r="F306" s="64"/>
      <c r="G306" s="144">
        <f t="shared" si="61"/>
        <v>0</v>
      </c>
      <c r="H306" s="144">
        <f t="shared" si="61"/>
        <v>0</v>
      </c>
      <c r="I306" s="144">
        <f t="shared" si="61"/>
        <v>0</v>
      </c>
      <c r="J306" s="144">
        <f t="shared" si="61"/>
        <v>0</v>
      </c>
      <c r="K306" s="144">
        <f t="shared" si="61"/>
        <v>0</v>
      </c>
      <c r="L306" s="144">
        <f t="shared" si="61"/>
        <v>0</v>
      </c>
      <c r="M306" s="144">
        <f t="shared" si="61"/>
        <v>0</v>
      </c>
      <c r="N306" s="120">
        <f t="shared" si="60"/>
        <v>0</v>
      </c>
    </row>
    <row r="307" spans="2:14" x14ac:dyDescent="0.5">
      <c r="B307" s="8" t="s">
        <v>166</v>
      </c>
      <c r="C307" s="29" t="s">
        <v>102</v>
      </c>
      <c r="D307" s="29" t="s">
        <v>103</v>
      </c>
      <c r="E307" s="51" t="s">
        <v>166</v>
      </c>
      <c r="F307" s="114"/>
      <c r="G307" s="114"/>
      <c r="H307" s="114"/>
      <c r="I307" s="114"/>
      <c r="J307" s="114"/>
      <c r="K307" s="114"/>
      <c r="L307" s="114"/>
      <c r="M307" s="114"/>
      <c r="N307" s="120">
        <f t="shared" si="60"/>
        <v>0</v>
      </c>
    </row>
    <row r="308" spans="2:14" x14ac:dyDescent="0.5">
      <c r="B308" s="8" t="s">
        <v>167</v>
      </c>
      <c r="C308" s="29" t="s">
        <v>102</v>
      </c>
      <c r="D308" s="29" t="s">
        <v>103</v>
      </c>
      <c r="E308" s="51" t="s">
        <v>168</v>
      </c>
      <c r="F308" s="64"/>
      <c r="G308" s="144">
        <f t="shared" ref="G308:M316" si="62">F196*(1+G29)*G83</f>
        <v>0</v>
      </c>
      <c r="H308" s="144">
        <f t="shared" si="62"/>
        <v>0</v>
      </c>
      <c r="I308" s="144">
        <f t="shared" si="62"/>
        <v>0</v>
      </c>
      <c r="J308" s="144">
        <f t="shared" si="62"/>
        <v>0</v>
      </c>
      <c r="K308" s="144">
        <f t="shared" si="62"/>
        <v>0</v>
      </c>
      <c r="L308" s="144">
        <f t="shared" si="62"/>
        <v>0</v>
      </c>
      <c r="M308" s="144">
        <f t="shared" si="62"/>
        <v>0</v>
      </c>
      <c r="N308" s="120">
        <f t="shared" si="60"/>
        <v>0</v>
      </c>
    </row>
    <row r="309" spans="2:14" x14ac:dyDescent="0.5">
      <c r="B309" s="8" t="s">
        <v>169</v>
      </c>
      <c r="C309" s="29" t="s">
        <v>102</v>
      </c>
      <c r="D309" s="29" t="s">
        <v>103</v>
      </c>
      <c r="E309" s="51" t="s">
        <v>168</v>
      </c>
      <c r="F309" s="64"/>
      <c r="G309" s="144">
        <f t="shared" si="62"/>
        <v>0</v>
      </c>
      <c r="H309" s="144">
        <f t="shared" si="62"/>
        <v>0</v>
      </c>
      <c r="I309" s="144">
        <f t="shared" si="62"/>
        <v>0</v>
      </c>
      <c r="J309" s="144">
        <f t="shared" si="62"/>
        <v>0</v>
      </c>
      <c r="K309" s="144">
        <f t="shared" si="62"/>
        <v>0</v>
      </c>
      <c r="L309" s="144">
        <f t="shared" si="62"/>
        <v>0</v>
      </c>
      <c r="M309" s="144">
        <f t="shared" si="62"/>
        <v>0</v>
      </c>
      <c r="N309" s="120">
        <f t="shared" si="60"/>
        <v>0</v>
      </c>
    </row>
    <row r="310" spans="2:14" x14ac:dyDescent="0.5">
      <c r="B310" s="8" t="s">
        <v>170</v>
      </c>
      <c r="C310" s="29" t="s">
        <v>102</v>
      </c>
      <c r="D310" s="29" t="s">
        <v>103</v>
      </c>
      <c r="E310" s="51" t="s">
        <v>168</v>
      </c>
      <c r="F310" s="64"/>
      <c r="G310" s="144">
        <f t="shared" si="62"/>
        <v>0</v>
      </c>
      <c r="H310" s="144">
        <f t="shared" si="62"/>
        <v>0</v>
      </c>
      <c r="I310" s="144">
        <f t="shared" si="62"/>
        <v>0</v>
      </c>
      <c r="J310" s="144">
        <f t="shared" si="62"/>
        <v>0</v>
      </c>
      <c r="K310" s="144">
        <f t="shared" si="62"/>
        <v>0</v>
      </c>
      <c r="L310" s="144">
        <f t="shared" si="62"/>
        <v>0</v>
      </c>
      <c r="M310" s="144">
        <f t="shared" si="62"/>
        <v>0</v>
      </c>
      <c r="N310" s="120">
        <f t="shared" si="60"/>
        <v>0</v>
      </c>
    </row>
    <row r="311" spans="2:14" x14ac:dyDescent="0.5">
      <c r="B311" s="8" t="s">
        <v>171</v>
      </c>
      <c r="C311" s="29" t="s">
        <v>102</v>
      </c>
      <c r="D311" s="29" t="s">
        <v>103</v>
      </c>
      <c r="E311" s="51" t="s">
        <v>172</v>
      </c>
      <c r="F311" s="64"/>
      <c r="G311" s="144">
        <f t="shared" si="62"/>
        <v>0.16139020178501573</v>
      </c>
      <c r="H311" s="144">
        <f t="shared" si="62"/>
        <v>0.23147789964121873</v>
      </c>
      <c r="I311" s="144">
        <f t="shared" si="62"/>
        <v>0.2127233349962406</v>
      </c>
      <c r="J311" s="144">
        <f t="shared" si="62"/>
        <v>0.16128995931686355</v>
      </c>
      <c r="K311" s="144">
        <f t="shared" si="62"/>
        <v>0.16881230998609803</v>
      </c>
      <c r="L311" s="144">
        <f t="shared" si="62"/>
        <v>6.0472603862297775E-2</v>
      </c>
      <c r="M311" s="144">
        <f t="shared" si="62"/>
        <v>6.065508411479862E-2</v>
      </c>
      <c r="N311" s="120">
        <f t="shared" si="60"/>
        <v>1.056821393702533</v>
      </c>
    </row>
    <row r="312" spans="2:14" x14ac:dyDescent="0.5">
      <c r="B312" s="8" t="s">
        <v>173</v>
      </c>
      <c r="C312" s="29" t="s">
        <v>102</v>
      </c>
      <c r="D312" s="29" t="s">
        <v>103</v>
      </c>
      <c r="E312" s="51" t="s">
        <v>172</v>
      </c>
      <c r="F312" s="64"/>
      <c r="G312" s="144">
        <f t="shared" si="62"/>
        <v>0</v>
      </c>
      <c r="H312" s="144">
        <f t="shared" si="62"/>
        <v>0</v>
      </c>
      <c r="I312" s="144">
        <f t="shared" si="62"/>
        <v>0</v>
      </c>
      <c r="J312" s="144">
        <f t="shared" si="62"/>
        <v>0</v>
      </c>
      <c r="K312" s="144">
        <f t="shared" si="62"/>
        <v>0</v>
      </c>
      <c r="L312" s="144">
        <f t="shared" si="62"/>
        <v>0</v>
      </c>
      <c r="M312" s="144">
        <f t="shared" si="62"/>
        <v>0</v>
      </c>
      <c r="N312" s="120">
        <f t="shared" si="60"/>
        <v>0</v>
      </c>
    </row>
    <row r="313" spans="2:14" x14ac:dyDescent="0.5">
      <c r="B313" s="8" t="s">
        <v>174</v>
      </c>
      <c r="C313" s="29" t="s">
        <v>102</v>
      </c>
      <c r="D313" s="29" t="s">
        <v>103</v>
      </c>
      <c r="E313" s="51" t="s">
        <v>172</v>
      </c>
      <c r="F313" s="64"/>
      <c r="G313" s="144">
        <f t="shared" si="62"/>
        <v>3.9850746819478332E-2</v>
      </c>
      <c r="H313" s="144">
        <f t="shared" si="62"/>
        <v>5.7156921987089791E-2</v>
      </c>
      <c r="I313" s="144">
        <f t="shared" si="62"/>
        <v>5.2526012556961335E-2</v>
      </c>
      <c r="J313" s="144">
        <f t="shared" si="62"/>
        <v>3.9825994776450255E-2</v>
      </c>
      <c r="K313" s="144">
        <f t="shared" si="62"/>
        <v>4.1683426570273248E-2</v>
      </c>
      <c r="L313" s="144">
        <f t="shared" si="62"/>
        <v>1.4931999584715689E-2</v>
      </c>
      <c r="M313" s="144">
        <f t="shared" si="62"/>
        <v>1.4977057923211681E-2</v>
      </c>
      <c r="N313" s="120">
        <f t="shared" si="60"/>
        <v>0.26095216021818035</v>
      </c>
    </row>
    <row r="314" spans="2:14" x14ac:dyDescent="0.5">
      <c r="B314" s="53" t="s">
        <v>161</v>
      </c>
      <c r="C314" s="29" t="s">
        <v>102</v>
      </c>
      <c r="D314" s="29" t="s">
        <v>103</v>
      </c>
      <c r="E314" s="51" t="s">
        <v>172</v>
      </c>
      <c r="F314" s="64"/>
      <c r="G314" s="144">
        <f t="shared" si="62"/>
        <v>0</v>
      </c>
      <c r="H314" s="144">
        <f t="shared" si="62"/>
        <v>0</v>
      </c>
      <c r="I314" s="144">
        <f t="shared" si="62"/>
        <v>0</v>
      </c>
      <c r="J314" s="144">
        <f t="shared" si="62"/>
        <v>0</v>
      </c>
      <c r="K314" s="144">
        <f t="shared" si="62"/>
        <v>0</v>
      </c>
      <c r="L314" s="144">
        <f t="shared" si="62"/>
        <v>0</v>
      </c>
      <c r="M314" s="144">
        <f t="shared" si="62"/>
        <v>0</v>
      </c>
      <c r="N314" s="120">
        <f t="shared" si="60"/>
        <v>0</v>
      </c>
    </row>
    <row r="315" spans="2:14" x14ac:dyDescent="0.5">
      <c r="B315" s="53" t="s">
        <v>161</v>
      </c>
      <c r="C315" s="29" t="s">
        <v>102</v>
      </c>
      <c r="D315" s="29" t="s">
        <v>103</v>
      </c>
      <c r="E315" s="51" t="s">
        <v>172</v>
      </c>
      <c r="F315" s="64"/>
      <c r="G315" s="144">
        <f t="shared" si="62"/>
        <v>0</v>
      </c>
      <c r="H315" s="144">
        <f t="shared" si="62"/>
        <v>0</v>
      </c>
      <c r="I315" s="144">
        <f t="shared" si="62"/>
        <v>0</v>
      </c>
      <c r="J315" s="144">
        <f t="shared" si="62"/>
        <v>0</v>
      </c>
      <c r="K315" s="144">
        <f t="shared" si="62"/>
        <v>0</v>
      </c>
      <c r="L315" s="144">
        <f t="shared" si="62"/>
        <v>0</v>
      </c>
      <c r="M315" s="144">
        <f t="shared" si="62"/>
        <v>0</v>
      </c>
      <c r="N315" s="120">
        <f t="shared" si="60"/>
        <v>0</v>
      </c>
    </row>
    <row r="316" spans="2:14" x14ac:dyDescent="0.5">
      <c r="B316" s="53" t="s">
        <v>161</v>
      </c>
      <c r="C316" s="29" t="s">
        <v>102</v>
      </c>
      <c r="D316" s="29" t="s">
        <v>103</v>
      </c>
      <c r="E316" s="51" t="s">
        <v>172</v>
      </c>
      <c r="F316" s="64"/>
      <c r="G316" s="144">
        <f t="shared" si="62"/>
        <v>0</v>
      </c>
      <c r="H316" s="144">
        <f t="shared" si="62"/>
        <v>0</v>
      </c>
      <c r="I316" s="144">
        <f t="shared" si="62"/>
        <v>0</v>
      </c>
      <c r="J316" s="144">
        <f t="shared" si="62"/>
        <v>0</v>
      </c>
      <c r="K316" s="144">
        <f t="shared" si="62"/>
        <v>0</v>
      </c>
      <c r="L316" s="144">
        <f t="shared" si="62"/>
        <v>0</v>
      </c>
      <c r="M316" s="144">
        <f t="shared" si="62"/>
        <v>0</v>
      </c>
      <c r="N316" s="120">
        <f t="shared" si="60"/>
        <v>0</v>
      </c>
    </row>
    <row r="317" spans="2:14" x14ac:dyDescent="0.5">
      <c r="B317" s="8" t="s">
        <v>175</v>
      </c>
      <c r="C317" s="29" t="s">
        <v>102</v>
      </c>
      <c r="D317" s="29" t="s">
        <v>103</v>
      </c>
      <c r="E317" s="51" t="s">
        <v>176</v>
      </c>
      <c r="F317" s="64"/>
      <c r="G317" s="144">
        <f t="shared" ref="G317:M326" si="63">F205*(1+G38)*G92</f>
        <v>0</v>
      </c>
      <c r="H317" s="144">
        <f t="shared" si="63"/>
        <v>0</v>
      </c>
      <c r="I317" s="144">
        <f t="shared" si="63"/>
        <v>0</v>
      </c>
      <c r="J317" s="144">
        <f t="shared" si="63"/>
        <v>0</v>
      </c>
      <c r="K317" s="144">
        <f t="shared" si="63"/>
        <v>0</v>
      </c>
      <c r="L317" s="144">
        <f t="shared" si="63"/>
        <v>0</v>
      </c>
      <c r="M317" s="144">
        <f t="shared" si="63"/>
        <v>0</v>
      </c>
      <c r="N317" s="120">
        <f t="shared" si="60"/>
        <v>0</v>
      </c>
    </row>
    <row r="318" spans="2:14" x14ac:dyDescent="0.5">
      <c r="B318" s="8" t="s">
        <v>177</v>
      </c>
      <c r="C318" s="29" t="s">
        <v>102</v>
      </c>
      <c r="D318" s="29" t="s">
        <v>103</v>
      </c>
      <c r="E318" s="51" t="s">
        <v>176</v>
      </c>
      <c r="F318" s="64"/>
      <c r="G318" s="144">
        <f t="shared" si="63"/>
        <v>0</v>
      </c>
      <c r="H318" s="144">
        <f t="shared" si="63"/>
        <v>0</v>
      </c>
      <c r="I318" s="144">
        <f t="shared" si="63"/>
        <v>0</v>
      </c>
      <c r="J318" s="144">
        <f t="shared" si="63"/>
        <v>0</v>
      </c>
      <c r="K318" s="144">
        <f t="shared" si="63"/>
        <v>0</v>
      </c>
      <c r="L318" s="144">
        <f t="shared" si="63"/>
        <v>0</v>
      </c>
      <c r="M318" s="144">
        <f t="shared" si="63"/>
        <v>0</v>
      </c>
      <c r="N318" s="120">
        <f t="shared" si="60"/>
        <v>0</v>
      </c>
    </row>
    <row r="319" spans="2:14" x14ac:dyDescent="0.5">
      <c r="B319" s="8" t="s">
        <v>178</v>
      </c>
      <c r="C319" s="29" t="s">
        <v>102</v>
      </c>
      <c r="D319" s="29" t="s">
        <v>103</v>
      </c>
      <c r="E319" s="51" t="s">
        <v>176</v>
      </c>
      <c r="F319" s="64"/>
      <c r="G319" s="144">
        <f t="shared" si="63"/>
        <v>0</v>
      </c>
      <c r="H319" s="144">
        <f t="shared" si="63"/>
        <v>0</v>
      </c>
      <c r="I319" s="144">
        <f t="shared" si="63"/>
        <v>0</v>
      </c>
      <c r="J319" s="144">
        <f t="shared" si="63"/>
        <v>0</v>
      </c>
      <c r="K319" s="144">
        <f t="shared" si="63"/>
        <v>0</v>
      </c>
      <c r="L319" s="144">
        <f t="shared" si="63"/>
        <v>0</v>
      </c>
      <c r="M319" s="144">
        <f t="shared" si="63"/>
        <v>0</v>
      </c>
      <c r="N319" s="120">
        <f t="shared" si="60"/>
        <v>0</v>
      </c>
    </row>
    <row r="320" spans="2:14" x14ac:dyDescent="0.5">
      <c r="B320" s="8" t="s">
        <v>179</v>
      </c>
      <c r="C320" s="29" t="s">
        <v>102</v>
      </c>
      <c r="D320" s="29" t="s">
        <v>103</v>
      </c>
      <c r="E320" s="51" t="s">
        <v>176</v>
      </c>
      <c r="F320" s="64"/>
      <c r="G320" s="144">
        <f t="shared" si="63"/>
        <v>0</v>
      </c>
      <c r="H320" s="144">
        <f t="shared" si="63"/>
        <v>0</v>
      </c>
      <c r="I320" s="144">
        <f t="shared" si="63"/>
        <v>0</v>
      </c>
      <c r="J320" s="144">
        <f t="shared" si="63"/>
        <v>0</v>
      </c>
      <c r="K320" s="144">
        <f t="shared" si="63"/>
        <v>0</v>
      </c>
      <c r="L320" s="144">
        <f t="shared" si="63"/>
        <v>0</v>
      </c>
      <c r="M320" s="144">
        <f t="shared" si="63"/>
        <v>0</v>
      </c>
      <c r="N320" s="120">
        <f t="shared" si="60"/>
        <v>0</v>
      </c>
    </row>
    <row r="321" spans="2:14" x14ac:dyDescent="0.5">
      <c r="B321" s="53" t="s">
        <v>180</v>
      </c>
      <c r="C321" s="29" t="s">
        <v>102</v>
      </c>
      <c r="D321" s="29" t="s">
        <v>103</v>
      </c>
      <c r="E321" s="51" t="s">
        <v>176</v>
      </c>
      <c r="F321" s="64"/>
      <c r="G321" s="144">
        <f t="shared" si="63"/>
        <v>0</v>
      </c>
      <c r="H321" s="144">
        <f t="shared" si="63"/>
        <v>0</v>
      </c>
      <c r="I321" s="144">
        <f t="shared" si="63"/>
        <v>0</v>
      </c>
      <c r="J321" s="144">
        <f t="shared" si="63"/>
        <v>0</v>
      </c>
      <c r="K321" s="144">
        <f t="shared" si="63"/>
        <v>0</v>
      </c>
      <c r="L321" s="144">
        <f t="shared" si="63"/>
        <v>0</v>
      </c>
      <c r="M321" s="144">
        <f t="shared" si="63"/>
        <v>0</v>
      </c>
      <c r="N321" s="120">
        <f t="shared" si="60"/>
        <v>0</v>
      </c>
    </row>
    <row r="322" spans="2:14" x14ac:dyDescent="0.5">
      <c r="B322" s="53" t="s">
        <v>181</v>
      </c>
      <c r="C322" s="29" t="s">
        <v>102</v>
      </c>
      <c r="D322" s="29" t="s">
        <v>103</v>
      </c>
      <c r="E322" s="51" t="s">
        <v>176</v>
      </c>
      <c r="F322" s="64"/>
      <c r="G322" s="144">
        <f t="shared" si="63"/>
        <v>0</v>
      </c>
      <c r="H322" s="144">
        <f t="shared" si="63"/>
        <v>0</v>
      </c>
      <c r="I322" s="144">
        <f t="shared" si="63"/>
        <v>0</v>
      </c>
      <c r="J322" s="144">
        <f t="shared" si="63"/>
        <v>0</v>
      </c>
      <c r="K322" s="144">
        <f t="shared" si="63"/>
        <v>0</v>
      </c>
      <c r="L322" s="144">
        <f t="shared" si="63"/>
        <v>0</v>
      </c>
      <c r="M322" s="144">
        <f t="shared" si="63"/>
        <v>0</v>
      </c>
      <c r="N322" s="120">
        <f t="shared" si="60"/>
        <v>0</v>
      </c>
    </row>
    <row r="323" spans="2:14" x14ac:dyDescent="0.5">
      <c r="B323" s="53" t="s">
        <v>161</v>
      </c>
      <c r="C323" s="29" t="s">
        <v>102</v>
      </c>
      <c r="D323" s="29" t="s">
        <v>103</v>
      </c>
      <c r="E323" s="51" t="s">
        <v>176</v>
      </c>
      <c r="F323" s="64"/>
      <c r="G323" s="144">
        <f t="shared" si="63"/>
        <v>0</v>
      </c>
      <c r="H323" s="144">
        <f t="shared" si="63"/>
        <v>0</v>
      </c>
      <c r="I323" s="144">
        <f t="shared" si="63"/>
        <v>0</v>
      </c>
      <c r="J323" s="144">
        <f t="shared" si="63"/>
        <v>0</v>
      </c>
      <c r="K323" s="144">
        <f t="shared" si="63"/>
        <v>0</v>
      </c>
      <c r="L323" s="144">
        <f t="shared" si="63"/>
        <v>0</v>
      </c>
      <c r="M323" s="144">
        <f t="shared" si="63"/>
        <v>0</v>
      </c>
      <c r="N323" s="120">
        <f t="shared" si="60"/>
        <v>0</v>
      </c>
    </row>
    <row r="324" spans="2:14" x14ac:dyDescent="0.5">
      <c r="B324" s="53" t="s">
        <v>161</v>
      </c>
      <c r="C324" s="29" t="s">
        <v>102</v>
      </c>
      <c r="D324" s="29" t="s">
        <v>103</v>
      </c>
      <c r="E324" s="51" t="s">
        <v>176</v>
      </c>
      <c r="F324" s="64"/>
      <c r="G324" s="144">
        <f t="shared" si="63"/>
        <v>0</v>
      </c>
      <c r="H324" s="144">
        <f t="shared" si="63"/>
        <v>0</v>
      </c>
      <c r="I324" s="144">
        <f t="shared" si="63"/>
        <v>0</v>
      </c>
      <c r="J324" s="144">
        <f t="shared" si="63"/>
        <v>0</v>
      </c>
      <c r="K324" s="144">
        <f t="shared" si="63"/>
        <v>0</v>
      </c>
      <c r="L324" s="144">
        <f t="shared" si="63"/>
        <v>0</v>
      </c>
      <c r="M324" s="144">
        <f t="shared" si="63"/>
        <v>0</v>
      </c>
      <c r="N324" s="120">
        <f t="shared" si="60"/>
        <v>0</v>
      </c>
    </row>
    <row r="325" spans="2:14" x14ac:dyDescent="0.5">
      <c r="B325" s="53" t="s">
        <v>161</v>
      </c>
      <c r="C325" s="29" t="s">
        <v>102</v>
      </c>
      <c r="D325" s="29" t="s">
        <v>103</v>
      </c>
      <c r="E325" s="51" t="s">
        <v>176</v>
      </c>
      <c r="F325" s="64"/>
      <c r="G325" s="144">
        <f t="shared" si="63"/>
        <v>0</v>
      </c>
      <c r="H325" s="144">
        <f t="shared" si="63"/>
        <v>0</v>
      </c>
      <c r="I325" s="144">
        <f t="shared" si="63"/>
        <v>0</v>
      </c>
      <c r="J325" s="144">
        <f t="shared" si="63"/>
        <v>0</v>
      </c>
      <c r="K325" s="144">
        <f t="shared" si="63"/>
        <v>0</v>
      </c>
      <c r="L325" s="144">
        <f t="shared" si="63"/>
        <v>0</v>
      </c>
      <c r="M325" s="144">
        <f t="shared" si="63"/>
        <v>0</v>
      </c>
      <c r="N325" s="120">
        <f t="shared" si="60"/>
        <v>0</v>
      </c>
    </row>
    <row r="326" spans="2:14" x14ac:dyDescent="0.5">
      <c r="B326" s="8" t="s">
        <v>182</v>
      </c>
      <c r="C326" s="29" t="s">
        <v>102</v>
      </c>
      <c r="D326" s="29" t="s">
        <v>103</v>
      </c>
      <c r="E326" s="51" t="s">
        <v>182</v>
      </c>
      <c r="F326" s="64"/>
      <c r="G326" s="144">
        <f t="shared" si="63"/>
        <v>0</v>
      </c>
      <c r="H326" s="144">
        <f t="shared" si="63"/>
        <v>0</v>
      </c>
      <c r="I326" s="144">
        <f t="shared" si="63"/>
        <v>0</v>
      </c>
      <c r="J326" s="144">
        <f t="shared" si="63"/>
        <v>0</v>
      </c>
      <c r="K326" s="144">
        <f t="shared" si="63"/>
        <v>0</v>
      </c>
      <c r="L326" s="144">
        <f t="shared" si="63"/>
        <v>0</v>
      </c>
      <c r="M326" s="144">
        <f t="shared" si="63"/>
        <v>0</v>
      </c>
      <c r="N326" s="120">
        <f t="shared" si="60"/>
        <v>0</v>
      </c>
    </row>
    <row r="327" spans="2:14" x14ac:dyDescent="0.5">
      <c r="B327" s="8" t="s">
        <v>183</v>
      </c>
      <c r="C327" s="29" t="s">
        <v>102</v>
      </c>
      <c r="D327" s="29" t="s">
        <v>103</v>
      </c>
      <c r="E327" s="51" t="s">
        <v>184</v>
      </c>
      <c r="F327" s="64"/>
      <c r="G327" s="144">
        <f t="shared" ref="G327:M336" si="64">F215*(1+G48)*G102</f>
        <v>0</v>
      </c>
      <c r="H327" s="144">
        <f t="shared" si="64"/>
        <v>0</v>
      </c>
      <c r="I327" s="144">
        <f t="shared" si="64"/>
        <v>0</v>
      </c>
      <c r="J327" s="144">
        <f t="shared" si="64"/>
        <v>0</v>
      </c>
      <c r="K327" s="144">
        <f t="shared" si="64"/>
        <v>0</v>
      </c>
      <c r="L327" s="144">
        <f t="shared" si="64"/>
        <v>0</v>
      </c>
      <c r="M327" s="144">
        <f t="shared" si="64"/>
        <v>0</v>
      </c>
      <c r="N327" s="120">
        <f t="shared" si="60"/>
        <v>0</v>
      </c>
    </row>
    <row r="328" spans="2:14" x14ac:dyDescent="0.5">
      <c r="B328" s="8" t="s">
        <v>185</v>
      </c>
      <c r="C328" s="29" t="s">
        <v>102</v>
      </c>
      <c r="D328" s="29" t="s">
        <v>103</v>
      </c>
      <c r="E328" s="51" t="s">
        <v>184</v>
      </c>
      <c r="F328" s="64"/>
      <c r="G328" s="144">
        <f t="shared" si="64"/>
        <v>0</v>
      </c>
      <c r="H328" s="144">
        <f t="shared" si="64"/>
        <v>0</v>
      </c>
      <c r="I328" s="144">
        <f t="shared" si="64"/>
        <v>0</v>
      </c>
      <c r="J328" s="144">
        <f t="shared" si="64"/>
        <v>0</v>
      </c>
      <c r="K328" s="144">
        <f t="shared" si="64"/>
        <v>0</v>
      </c>
      <c r="L328" s="144">
        <f t="shared" si="64"/>
        <v>0</v>
      </c>
      <c r="M328" s="144">
        <f t="shared" si="64"/>
        <v>0</v>
      </c>
      <c r="N328" s="120">
        <f t="shared" si="60"/>
        <v>0</v>
      </c>
    </row>
    <row r="329" spans="2:14" x14ac:dyDescent="0.5">
      <c r="B329" s="8" t="s">
        <v>186</v>
      </c>
      <c r="C329" s="29" t="s">
        <v>102</v>
      </c>
      <c r="D329" s="29" t="s">
        <v>103</v>
      </c>
      <c r="E329" s="51" t="s">
        <v>184</v>
      </c>
      <c r="F329" s="64"/>
      <c r="G329" s="144">
        <f t="shared" si="64"/>
        <v>6.1876975168658019E-2</v>
      </c>
      <c r="H329" s="144">
        <f t="shared" si="64"/>
        <v>8.8748586282036843E-2</v>
      </c>
      <c r="I329" s="144">
        <f t="shared" si="64"/>
        <v>8.1558089473673295E-2</v>
      </c>
      <c r="J329" s="144">
        <f t="shared" si="64"/>
        <v>6.1838542223881347E-2</v>
      </c>
      <c r="K329" s="144">
        <f t="shared" si="64"/>
        <v>6.4722610156271634E-2</v>
      </c>
      <c r="L329" s="144">
        <f t="shared" si="64"/>
        <v>2.3185185755923043E-2</v>
      </c>
      <c r="M329" s="144">
        <f t="shared" si="64"/>
        <v>2.3255148652851609E-2</v>
      </c>
      <c r="N329" s="120">
        <f t="shared" si="60"/>
        <v>0.40518513771329578</v>
      </c>
    </row>
    <row r="330" spans="2:14" x14ac:dyDescent="0.5">
      <c r="B330" s="8" t="s">
        <v>161</v>
      </c>
      <c r="C330" s="29" t="s">
        <v>102</v>
      </c>
      <c r="D330" s="29" t="s">
        <v>103</v>
      </c>
      <c r="E330" s="51" t="s">
        <v>184</v>
      </c>
      <c r="F330" s="64"/>
      <c r="G330" s="144">
        <f t="shared" si="64"/>
        <v>0</v>
      </c>
      <c r="H330" s="144">
        <f t="shared" si="64"/>
        <v>0</v>
      </c>
      <c r="I330" s="144">
        <f t="shared" si="64"/>
        <v>0</v>
      </c>
      <c r="J330" s="144">
        <f t="shared" si="64"/>
        <v>0</v>
      </c>
      <c r="K330" s="144">
        <f t="shared" si="64"/>
        <v>0</v>
      </c>
      <c r="L330" s="144">
        <f t="shared" si="64"/>
        <v>0</v>
      </c>
      <c r="M330" s="144">
        <f t="shared" si="64"/>
        <v>0</v>
      </c>
      <c r="N330" s="120">
        <f t="shared" si="60"/>
        <v>0</v>
      </c>
    </row>
    <row r="331" spans="2:14" x14ac:dyDescent="0.5">
      <c r="B331" s="53" t="s">
        <v>161</v>
      </c>
      <c r="C331" s="29" t="s">
        <v>102</v>
      </c>
      <c r="D331" s="29" t="s">
        <v>103</v>
      </c>
      <c r="E331" s="51" t="s">
        <v>184</v>
      </c>
      <c r="F331" s="64"/>
      <c r="G331" s="144">
        <f t="shared" si="64"/>
        <v>0</v>
      </c>
      <c r="H331" s="144">
        <f t="shared" si="64"/>
        <v>0</v>
      </c>
      <c r="I331" s="144">
        <f t="shared" si="64"/>
        <v>0</v>
      </c>
      <c r="J331" s="144">
        <f t="shared" si="64"/>
        <v>0</v>
      </c>
      <c r="K331" s="144">
        <f t="shared" si="64"/>
        <v>0</v>
      </c>
      <c r="L331" s="144">
        <f t="shared" si="64"/>
        <v>0</v>
      </c>
      <c r="M331" s="144">
        <f t="shared" si="64"/>
        <v>0</v>
      </c>
      <c r="N331" s="120">
        <f t="shared" si="60"/>
        <v>0</v>
      </c>
    </row>
    <row r="332" spans="2:14" x14ac:dyDescent="0.5">
      <c r="B332" s="53" t="s">
        <v>161</v>
      </c>
      <c r="C332" s="29" t="s">
        <v>102</v>
      </c>
      <c r="D332" s="29" t="s">
        <v>103</v>
      </c>
      <c r="E332" s="51" t="s">
        <v>184</v>
      </c>
      <c r="F332" s="64"/>
      <c r="G332" s="144">
        <f t="shared" si="64"/>
        <v>0</v>
      </c>
      <c r="H332" s="144">
        <f t="shared" si="64"/>
        <v>0</v>
      </c>
      <c r="I332" s="144">
        <f t="shared" si="64"/>
        <v>0</v>
      </c>
      <c r="J332" s="144">
        <f t="shared" si="64"/>
        <v>0</v>
      </c>
      <c r="K332" s="144">
        <f t="shared" si="64"/>
        <v>0</v>
      </c>
      <c r="L332" s="144">
        <f t="shared" si="64"/>
        <v>0</v>
      </c>
      <c r="M332" s="144">
        <f t="shared" si="64"/>
        <v>0</v>
      </c>
      <c r="N332" s="120">
        <f t="shared" si="60"/>
        <v>0</v>
      </c>
    </row>
    <row r="333" spans="2:14" x14ac:dyDescent="0.5">
      <c r="B333" s="53" t="s">
        <v>187</v>
      </c>
      <c r="C333" s="29" t="s">
        <v>102</v>
      </c>
      <c r="D333" s="29" t="s">
        <v>103</v>
      </c>
      <c r="E333" s="51" t="s">
        <v>187</v>
      </c>
      <c r="F333" s="64"/>
      <c r="G333" s="190"/>
      <c r="H333" s="190"/>
      <c r="I333" s="190"/>
      <c r="J333" s="190"/>
      <c r="K333" s="190"/>
      <c r="L333" s="190"/>
      <c r="M333" s="190"/>
      <c r="N333" s="120"/>
    </row>
    <row r="334" spans="2:14" x14ac:dyDescent="0.5">
      <c r="B334" s="8" t="s">
        <v>161</v>
      </c>
      <c r="C334" s="29" t="s">
        <v>102</v>
      </c>
      <c r="D334" s="29" t="s">
        <v>103</v>
      </c>
      <c r="E334" s="51" t="s">
        <v>187</v>
      </c>
      <c r="F334" s="64"/>
      <c r="G334" s="144">
        <f t="shared" si="64"/>
        <v>0</v>
      </c>
      <c r="H334" s="144">
        <f t="shared" si="64"/>
        <v>0</v>
      </c>
      <c r="I334" s="144">
        <f t="shared" si="64"/>
        <v>0</v>
      </c>
      <c r="J334" s="144">
        <f t="shared" si="64"/>
        <v>0</v>
      </c>
      <c r="K334" s="144">
        <f t="shared" si="64"/>
        <v>0</v>
      </c>
      <c r="L334" s="144">
        <f t="shared" si="64"/>
        <v>0</v>
      </c>
      <c r="M334" s="144">
        <f t="shared" si="64"/>
        <v>0</v>
      </c>
      <c r="N334" s="120">
        <f t="shared" si="60"/>
        <v>0</v>
      </c>
    </row>
    <row r="335" spans="2:14" x14ac:dyDescent="0.5">
      <c r="B335" s="53" t="s">
        <v>161</v>
      </c>
      <c r="C335" s="29" t="s">
        <v>102</v>
      </c>
      <c r="D335" s="29" t="s">
        <v>103</v>
      </c>
      <c r="E335" s="51" t="s">
        <v>187</v>
      </c>
      <c r="F335" s="64"/>
      <c r="G335" s="144">
        <f t="shared" si="64"/>
        <v>0</v>
      </c>
      <c r="H335" s="144">
        <f t="shared" si="64"/>
        <v>0</v>
      </c>
      <c r="I335" s="144">
        <f t="shared" si="64"/>
        <v>0</v>
      </c>
      <c r="J335" s="144">
        <f t="shared" si="64"/>
        <v>0</v>
      </c>
      <c r="K335" s="144">
        <f t="shared" si="64"/>
        <v>0</v>
      </c>
      <c r="L335" s="144">
        <f t="shared" si="64"/>
        <v>0</v>
      </c>
      <c r="M335" s="144">
        <f t="shared" si="64"/>
        <v>0</v>
      </c>
      <c r="N335" s="120">
        <f t="shared" si="60"/>
        <v>0</v>
      </c>
    </row>
    <row r="336" spans="2:14" ht="17" thickBot="1" x14ac:dyDescent="0.55000000000000004">
      <c r="B336" s="54" t="s">
        <v>194</v>
      </c>
      <c r="C336" s="29" t="s">
        <v>102</v>
      </c>
      <c r="D336" s="29" t="s">
        <v>103</v>
      </c>
      <c r="E336" s="51" t="s">
        <v>187</v>
      </c>
      <c r="F336" s="64"/>
      <c r="G336" s="144">
        <f>F224*(1+G57)*G111</f>
        <v>0</v>
      </c>
      <c r="H336" s="144">
        <f t="shared" si="64"/>
        <v>0</v>
      </c>
      <c r="I336" s="144">
        <f t="shared" si="64"/>
        <v>0.28920704101415007</v>
      </c>
      <c r="J336" s="144">
        <f t="shared" si="64"/>
        <v>0.35681601164490367</v>
      </c>
      <c r="K336" s="144">
        <f t="shared" si="64"/>
        <v>0.37358051302439338</v>
      </c>
      <c r="L336" s="144">
        <f t="shared" si="64"/>
        <v>0.3805164345817274</v>
      </c>
      <c r="M336" s="144">
        <f t="shared" si="64"/>
        <v>-6.0270637081763091E-2</v>
      </c>
      <c r="N336" s="120">
        <f t="shared" si="60"/>
        <v>1.3398493631834114</v>
      </c>
    </row>
    <row r="337" spans="1:14" x14ac:dyDescent="0.5">
      <c r="B337" s="53" t="s">
        <v>195</v>
      </c>
      <c r="C337" s="29" t="s">
        <v>102</v>
      </c>
      <c r="D337" s="29"/>
      <c r="E337" s="51"/>
      <c r="F337" s="64"/>
      <c r="G337" s="144">
        <f>SUM(G287:G336)</f>
        <v>0.26311792377315207</v>
      </c>
      <c r="H337" s="144">
        <f t="shared" ref="H337:M337" si="65">SUM(H287:H336)</f>
        <v>0.37738340791034536</v>
      </c>
      <c r="I337" s="144">
        <f t="shared" si="65"/>
        <v>0.63601447804102529</v>
      </c>
      <c r="J337" s="144">
        <f t="shared" si="65"/>
        <v>0.61977050796209876</v>
      </c>
      <c r="K337" s="144">
        <f t="shared" si="65"/>
        <v>0.64879885973703622</v>
      </c>
      <c r="L337" s="144">
        <f t="shared" si="65"/>
        <v>0.47910622378466394</v>
      </c>
      <c r="M337" s="144">
        <f t="shared" si="65"/>
        <v>3.8616653609098821E-2</v>
      </c>
      <c r="N337" s="119">
        <f>SUM(G337:M337)</f>
        <v>3.0628080548174204</v>
      </c>
    </row>
    <row r="339" spans="1:14" ht="19" thickBot="1" x14ac:dyDescent="0.55000000000000004">
      <c r="A339" s="14" t="s">
        <v>394</v>
      </c>
    </row>
    <row r="340" spans="1:14" ht="19" thickTop="1" x14ac:dyDescent="0.5">
      <c r="A340" s="23"/>
    </row>
    <row r="341" spans="1:14" ht="17" thickBot="1" x14ac:dyDescent="0.55000000000000004">
      <c r="B341" s="27" t="s">
        <v>143</v>
      </c>
      <c r="C341" s="27" t="s">
        <v>96</v>
      </c>
      <c r="D341" s="27" t="s">
        <v>97</v>
      </c>
      <c r="E341" s="50" t="s">
        <v>144</v>
      </c>
      <c r="F341" s="12">
        <v>2024</v>
      </c>
      <c r="G341" s="12">
        <v>2025</v>
      </c>
      <c r="H341" s="12">
        <v>2026</v>
      </c>
      <c r="I341" s="12">
        <v>2027</v>
      </c>
      <c r="J341" s="12">
        <v>2028</v>
      </c>
      <c r="K341" s="12">
        <v>2029</v>
      </c>
      <c r="L341" s="12">
        <v>2030</v>
      </c>
      <c r="M341" s="12">
        <v>2031</v>
      </c>
      <c r="N341" s="10" t="s">
        <v>57</v>
      </c>
    </row>
    <row r="342" spans="1:14" x14ac:dyDescent="0.5">
      <c r="B342" s="8" t="s">
        <v>146</v>
      </c>
      <c r="C342" s="29" t="s">
        <v>102</v>
      </c>
      <c r="D342" s="29" t="s">
        <v>103</v>
      </c>
      <c r="E342" s="51" t="s">
        <v>147</v>
      </c>
      <c r="F342" s="64"/>
      <c r="G342" s="144">
        <f t="shared" ref="G342:M351" si="66">F175*(1+G8)*(1+G62)*G116</f>
        <v>0</v>
      </c>
      <c r="H342" s="144">
        <f t="shared" si="66"/>
        <v>0</v>
      </c>
      <c r="I342" s="144">
        <f t="shared" si="66"/>
        <v>0</v>
      </c>
      <c r="J342" s="144">
        <f t="shared" si="66"/>
        <v>0</v>
      </c>
      <c r="K342" s="144">
        <f t="shared" si="66"/>
        <v>0</v>
      </c>
      <c r="L342" s="144">
        <f t="shared" si="66"/>
        <v>0</v>
      </c>
      <c r="M342" s="144">
        <f t="shared" si="66"/>
        <v>0</v>
      </c>
      <c r="N342" s="120">
        <f t="shared" ref="N342:N391" si="67">SUM(G342:M342)</f>
        <v>0</v>
      </c>
    </row>
    <row r="343" spans="1:14" x14ac:dyDescent="0.5">
      <c r="B343" s="8" t="s">
        <v>148</v>
      </c>
      <c r="C343" s="29" t="s">
        <v>102</v>
      </c>
      <c r="D343" s="29" t="s">
        <v>103</v>
      </c>
      <c r="E343" s="51" t="s">
        <v>147</v>
      </c>
      <c r="F343" s="64"/>
      <c r="G343" s="144">
        <f t="shared" si="66"/>
        <v>0</v>
      </c>
      <c r="H343" s="144">
        <f t="shared" si="66"/>
        <v>0</v>
      </c>
      <c r="I343" s="144">
        <f t="shared" si="66"/>
        <v>0</v>
      </c>
      <c r="J343" s="144">
        <f t="shared" si="66"/>
        <v>0</v>
      </c>
      <c r="K343" s="144">
        <f t="shared" si="66"/>
        <v>0</v>
      </c>
      <c r="L343" s="144">
        <f t="shared" si="66"/>
        <v>0</v>
      </c>
      <c r="M343" s="144">
        <f t="shared" si="66"/>
        <v>0</v>
      </c>
      <c r="N343" s="120">
        <f t="shared" si="67"/>
        <v>0</v>
      </c>
    </row>
    <row r="344" spans="1:14" x14ac:dyDescent="0.5">
      <c r="B344" s="8" t="s">
        <v>149</v>
      </c>
      <c r="C344" s="29" t="s">
        <v>102</v>
      </c>
      <c r="D344" s="29" t="s">
        <v>103</v>
      </c>
      <c r="E344" s="51" t="s">
        <v>147</v>
      </c>
      <c r="F344" s="64"/>
      <c r="G344" s="144">
        <f t="shared" si="66"/>
        <v>0</v>
      </c>
      <c r="H344" s="144">
        <f t="shared" si="66"/>
        <v>0</v>
      </c>
      <c r="I344" s="144">
        <f t="shared" si="66"/>
        <v>0</v>
      </c>
      <c r="J344" s="144">
        <f t="shared" si="66"/>
        <v>0</v>
      </c>
      <c r="K344" s="144">
        <f t="shared" si="66"/>
        <v>0</v>
      </c>
      <c r="L344" s="144">
        <f t="shared" si="66"/>
        <v>0</v>
      </c>
      <c r="M344" s="144">
        <f t="shared" si="66"/>
        <v>0</v>
      </c>
      <c r="N344" s="120">
        <f t="shared" si="67"/>
        <v>0</v>
      </c>
    </row>
    <row r="345" spans="1:14" x14ac:dyDescent="0.5">
      <c r="B345" s="8" t="s">
        <v>150</v>
      </c>
      <c r="C345" s="29" t="s">
        <v>102</v>
      </c>
      <c r="D345" s="29" t="s">
        <v>103</v>
      </c>
      <c r="E345" s="51" t="s">
        <v>147</v>
      </c>
      <c r="F345" s="64"/>
      <c r="G345" s="144">
        <f t="shared" si="66"/>
        <v>0</v>
      </c>
      <c r="H345" s="144">
        <f t="shared" si="66"/>
        <v>0</v>
      </c>
      <c r="I345" s="144">
        <f t="shared" si="66"/>
        <v>0</v>
      </c>
      <c r="J345" s="144">
        <f t="shared" si="66"/>
        <v>0</v>
      </c>
      <c r="K345" s="144">
        <f t="shared" si="66"/>
        <v>0</v>
      </c>
      <c r="L345" s="144">
        <f t="shared" si="66"/>
        <v>0</v>
      </c>
      <c r="M345" s="144">
        <f t="shared" si="66"/>
        <v>0</v>
      </c>
      <c r="N345" s="120">
        <f t="shared" si="67"/>
        <v>0</v>
      </c>
    </row>
    <row r="346" spans="1:14" x14ac:dyDescent="0.5">
      <c r="B346" s="8" t="s">
        <v>151</v>
      </c>
      <c r="C346" s="29" t="s">
        <v>102</v>
      </c>
      <c r="D346" s="29" t="s">
        <v>103</v>
      </c>
      <c r="E346" s="51" t="s">
        <v>147</v>
      </c>
      <c r="F346" s="64"/>
      <c r="G346" s="144">
        <f t="shared" si="66"/>
        <v>0</v>
      </c>
      <c r="H346" s="144">
        <f t="shared" si="66"/>
        <v>0</v>
      </c>
      <c r="I346" s="144">
        <f t="shared" si="66"/>
        <v>0</v>
      </c>
      <c r="J346" s="144">
        <f t="shared" si="66"/>
        <v>0</v>
      </c>
      <c r="K346" s="144">
        <f t="shared" si="66"/>
        <v>0</v>
      </c>
      <c r="L346" s="144">
        <f t="shared" si="66"/>
        <v>0</v>
      </c>
      <c r="M346" s="144">
        <f t="shared" si="66"/>
        <v>0</v>
      </c>
      <c r="N346" s="120">
        <f t="shared" si="67"/>
        <v>0</v>
      </c>
    </row>
    <row r="347" spans="1:14" x14ac:dyDescent="0.5">
      <c r="B347" s="8" t="s">
        <v>152</v>
      </c>
      <c r="C347" s="29" t="s">
        <v>102</v>
      </c>
      <c r="D347" s="29" t="s">
        <v>103</v>
      </c>
      <c r="E347" s="51" t="s">
        <v>147</v>
      </c>
      <c r="F347" s="64"/>
      <c r="G347" s="144">
        <f t="shared" si="66"/>
        <v>0</v>
      </c>
      <c r="H347" s="144">
        <f t="shared" si="66"/>
        <v>0</v>
      </c>
      <c r="I347" s="144">
        <f t="shared" si="66"/>
        <v>0</v>
      </c>
      <c r="J347" s="144">
        <f t="shared" si="66"/>
        <v>0</v>
      </c>
      <c r="K347" s="144">
        <f t="shared" si="66"/>
        <v>0</v>
      </c>
      <c r="L347" s="144">
        <f t="shared" si="66"/>
        <v>0</v>
      </c>
      <c r="M347" s="144">
        <f t="shared" si="66"/>
        <v>0</v>
      </c>
      <c r="N347" s="120">
        <f t="shared" si="67"/>
        <v>0</v>
      </c>
    </row>
    <row r="348" spans="1:14" x14ac:dyDescent="0.5">
      <c r="B348" s="8" t="s">
        <v>153</v>
      </c>
      <c r="C348" s="29" t="s">
        <v>102</v>
      </c>
      <c r="D348" s="29" t="s">
        <v>103</v>
      </c>
      <c r="E348" s="51" t="s">
        <v>147</v>
      </c>
      <c r="F348" s="64"/>
      <c r="G348" s="144">
        <f t="shared" si="66"/>
        <v>0</v>
      </c>
      <c r="H348" s="144">
        <f t="shared" si="66"/>
        <v>0</v>
      </c>
      <c r="I348" s="144">
        <f t="shared" si="66"/>
        <v>0</v>
      </c>
      <c r="J348" s="144">
        <f t="shared" si="66"/>
        <v>0</v>
      </c>
      <c r="K348" s="144">
        <f t="shared" si="66"/>
        <v>0</v>
      </c>
      <c r="L348" s="144">
        <f t="shared" si="66"/>
        <v>0</v>
      </c>
      <c r="M348" s="144">
        <f t="shared" si="66"/>
        <v>0</v>
      </c>
      <c r="N348" s="120">
        <f t="shared" si="67"/>
        <v>0</v>
      </c>
    </row>
    <row r="349" spans="1:14" x14ac:dyDescent="0.5">
      <c r="B349" s="8" t="s">
        <v>154</v>
      </c>
      <c r="C349" s="29" t="s">
        <v>102</v>
      </c>
      <c r="D349" s="29" t="s">
        <v>103</v>
      </c>
      <c r="E349" s="51" t="s">
        <v>147</v>
      </c>
      <c r="F349" s="64"/>
      <c r="G349" s="144">
        <f t="shared" si="66"/>
        <v>0</v>
      </c>
      <c r="H349" s="144">
        <f t="shared" si="66"/>
        <v>0</v>
      </c>
      <c r="I349" s="144">
        <f t="shared" si="66"/>
        <v>0</v>
      </c>
      <c r="J349" s="144">
        <f t="shared" si="66"/>
        <v>0</v>
      </c>
      <c r="K349" s="144">
        <f t="shared" si="66"/>
        <v>0</v>
      </c>
      <c r="L349" s="144">
        <f t="shared" si="66"/>
        <v>0</v>
      </c>
      <c r="M349" s="144">
        <f t="shared" si="66"/>
        <v>0</v>
      </c>
      <c r="N349" s="120">
        <f t="shared" si="67"/>
        <v>0</v>
      </c>
    </row>
    <row r="350" spans="1:14" x14ac:dyDescent="0.5">
      <c r="B350" s="8" t="s">
        <v>155</v>
      </c>
      <c r="C350" s="29" t="s">
        <v>102</v>
      </c>
      <c r="D350" s="29" t="s">
        <v>103</v>
      </c>
      <c r="E350" s="51" t="s">
        <v>147</v>
      </c>
      <c r="F350" s="64"/>
      <c r="G350" s="144">
        <f t="shared" si="66"/>
        <v>0</v>
      </c>
      <c r="H350" s="144">
        <f t="shared" si="66"/>
        <v>0</v>
      </c>
      <c r="I350" s="144">
        <f t="shared" si="66"/>
        <v>0</v>
      </c>
      <c r="J350" s="144">
        <f t="shared" si="66"/>
        <v>0</v>
      </c>
      <c r="K350" s="144">
        <f t="shared" si="66"/>
        <v>0</v>
      </c>
      <c r="L350" s="144">
        <f t="shared" si="66"/>
        <v>0</v>
      </c>
      <c r="M350" s="144">
        <f t="shared" si="66"/>
        <v>0</v>
      </c>
      <c r="N350" s="120">
        <f t="shared" si="67"/>
        <v>0</v>
      </c>
    </row>
    <row r="351" spans="1:14" x14ac:dyDescent="0.5">
      <c r="B351" s="8" t="s">
        <v>156</v>
      </c>
      <c r="C351" s="29" t="s">
        <v>102</v>
      </c>
      <c r="D351" s="29" t="s">
        <v>103</v>
      </c>
      <c r="E351" s="51" t="s">
        <v>147</v>
      </c>
      <c r="F351" s="64"/>
      <c r="G351" s="144">
        <f t="shared" si="66"/>
        <v>0</v>
      </c>
      <c r="H351" s="144">
        <f t="shared" si="66"/>
        <v>0</v>
      </c>
      <c r="I351" s="144">
        <f t="shared" si="66"/>
        <v>0</v>
      </c>
      <c r="J351" s="144">
        <f t="shared" si="66"/>
        <v>0</v>
      </c>
      <c r="K351" s="144">
        <f t="shared" si="66"/>
        <v>0</v>
      </c>
      <c r="L351" s="144">
        <f t="shared" si="66"/>
        <v>0</v>
      </c>
      <c r="M351" s="144">
        <f t="shared" si="66"/>
        <v>0</v>
      </c>
      <c r="N351" s="120">
        <f t="shared" si="67"/>
        <v>0</v>
      </c>
    </row>
    <row r="352" spans="1:14" x14ac:dyDescent="0.5">
      <c r="B352" s="8" t="s">
        <v>157</v>
      </c>
      <c r="C352" s="29" t="s">
        <v>102</v>
      </c>
      <c r="D352" s="29" t="s">
        <v>103</v>
      </c>
      <c r="E352" s="51" t="s">
        <v>147</v>
      </c>
      <c r="F352" s="64"/>
      <c r="G352" s="144">
        <f t="shared" ref="G352:M361" si="68">F185*(1+G18)*(1+G72)*G126</f>
        <v>0</v>
      </c>
      <c r="H352" s="144">
        <f t="shared" si="68"/>
        <v>0</v>
      </c>
      <c r="I352" s="144">
        <f t="shared" si="68"/>
        <v>0</v>
      </c>
      <c r="J352" s="144">
        <f t="shared" si="68"/>
        <v>0</v>
      </c>
      <c r="K352" s="144">
        <f t="shared" si="68"/>
        <v>0</v>
      </c>
      <c r="L352" s="144">
        <f t="shared" si="68"/>
        <v>0</v>
      </c>
      <c r="M352" s="144">
        <f t="shared" si="68"/>
        <v>0</v>
      </c>
      <c r="N352" s="120">
        <f t="shared" si="67"/>
        <v>0</v>
      </c>
    </row>
    <row r="353" spans="2:14" x14ac:dyDescent="0.5">
      <c r="B353" s="8" t="s">
        <v>158</v>
      </c>
      <c r="C353" s="29" t="s">
        <v>102</v>
      </c>
      <c r="D353" s="29" t="s">
        <v>103</v>
      </c>
      <c r="E353" s="51" t="s">
        <v>147</v>
      </c>
      <c r="F353" s="64"/>
      <c r="G353" s="144">
        <f t="shared" si="68"/>
        <v>0</v>
      </c>
      <c r="H353" s="144">
        <f t="shared" si="68"/>
        <v>0</v>
      </c>
      <c r="I353" s="144">
        <f t="shared" si="68"/>
        <v>0</v>
      </c>
      <c r="J353" s="144">
        <f t="shared" si="68"/>
        <v>0</v>
      </c>
      <c r="K353" s="144">
        <f t="shared" si="68"/>
        <v>0</v>
      </c>
      <c r="L353" s="144">
        <f t="shared" si="68"/>
        <v>0</v>
      </c>
      <c r="M353" s="144">
        <f t="shared" si="68"/>
        <v>0</v>
      </c>
      <c r="N353" s="120">
        <f t="shared" si="67"/>
        <v>0</v>
      </c>
    </row>
    <row r="354" spans="2:14" x14ac:dyDescent="0.5">
      <c r="B354" s="8" t="s">
        <v>159</v>
      </c>
      <c r="C354" s="29" t="s">
        <v>102</v>
      </c>
      <c r="D354" s="29" t="s">
        <v>103</v>
      </c>
      <c r="E354" s="51" t="s">
        <v>147</v>
      </c>
      <c r="F354" s="64"/>
      <c r="G354" s="144">
        <f t="shared" si="68"/>
        <v>0</v>
      </c>
      <c r="H354" s="144">
        <f t="shared" si="68"/>
        <v>0</v>
      </c>
      <c r="I354" s="144">
        <f t="shared" si="68"/>
        <v>0</v>
      </c>
      <c r="J354" s="144">
        <f t="shared" si="68"/>
        <v>0</v>
      </c>
      <c r="K354" s="144">
        <f t="shared" si="68"/>
        <v>0</v>
      </c>
      <c r="L354" s="144">
        <f t="shared" si="68"/>
        <v>0</v>
      </c>
      <c r="M354" s="144">
        <f t="shared" si="68"/>
        <v>0</v>
      </c>
      <c r="N354" s="120">
        <f t="shared" si="67"/>
        <v>0</v>
      </c>
    </row>
    <row r="355" spans="2:14" x14ac:dyDescent="0.5">
      <c r="B355" s="53" t="s">
        <v>160</v>
      </c>
      <c r="C355" s="29" t="s">
        <v>102</v>
      </c>
      <c r="D355" s="29" t="s">
        <v>103</v>
      </c>
      <c r="E355" s="51" t="s">
        <v>147</v>
      </c>
      <c r="F355" s="64"/>
      <c r="G355" s="144">
        <f t="shared" si="68"/>
        <v>0</v>
      </c>
      <c r="H355" s="144">
        <f t="shared" si="68"/>
        <v>0</v>
      </c>
      <c r="I355" s="144">
        <f t="shared" si="68"/>
        <v>0</v>
      </c>
      <c r="J355" s="144">
        <f t="shared" si="68"/>
        <v>0</v>
      </c>
      <c r="K355" s="144">
        <f t="shared" si="68"/>
        <v>0</v>
      </c>
      <c r="L355" s="144">
        <f t="shared" si="68"/>
        <v>0</v>
      </c>
      <c r="M355" s="144">
        <f t="shared" si="68"/>
        <v>0</v>
      </c>
      <c r="N355" s="120">
        <f t="shared" si="67"/>
        <v>0</v>
      </c>
    </row>
    <row r="356" spans="2:14" x14ac:dyDescent="0.5">
      <c r="B356" s="53" t="s">
        <v>161</v>
      </c>
      <c r="C356" s="29" t="s">
        <v>102</v>
      </c>
      <c r="D356" s="29" t="s">
        <v>103</v>
      </c>
      <c r="E356" s="51" t="s">
        <v>147</v>
      </c>
      <c r="F356" s="64"/>
      <c r="G356" s="144">
        <f t="shared" si="68"/>
        <v>0</v>
      </c>
      <c r="H356" s="144">
        <f t="shared" si="68"/>
        <v>0</v>
      </c>
      <c r="I356" s="144">
        <f t="shared" si="68"/>
        <v>0</v>
      </c>
      <c r="J356" s="144">
        <f t="shared" si="68"/>
        <v>0</v>
      </c>
      <c r="K356" s="144">
        <f t="shared" si="68"/>
        <v>0</v>
      </c>
      <c r="L356" s="144">
        <f t="shared" si="68"/>
        <v>0</v>
      </c>
      <c r="M356" s="144">
        <f t="shared" si="68"/>
        <v>0</v>
      </c>
      <c r="N356" s="120">
        <f t="shared" si="67"/>
        <v>0</v>
      </c>
    </row>
    <row r="357" spans="2:14" x14ac:dyDescent="0.5">
      <c r="B357" s="53" t="s">
        <v>161</v>
      </c>
      <c r="C357" s="29" t="s">
        <v>102</v>
      </c>
      <c r="D357" s="29" t="s">
        <v>103</v>
      </c>
      <c r="E357" s="51" t="s">
        <v>147</v>
      </c>
      <c r="F357" s="64"/>
      <c r="G357" s="144">
        <f t="shared" si="68"/>
        <v>0</v>
      </c>
      <c r="H357" s="144">
        <f t="shared" si="68"/>
        <v>0</v>
      </c>
      <c r="I357" s="144">
        <f t="shared" si="68"/>
        <v>0</v>
      </c>
      <c r="J357" s="144">
        <f t="shared" si="68"/>
        <v>0</v>
      </c>
      <c r="K357" s="144">
        <f t="shared" si="68"/>
        <v>0</v>
      </c>
      <c r="L357" s="144">
        <f t="shared" si="68"/>
        <v>0</v>
      </c>
      <c r="M357" s="144">
        <f t="shared" si="68"/>
        <v>0</v>
      </c>
      <c r="N357" s="120">
        <f t="shared" si="67"/>
        <v>0</v>
      </c>
    </row>
    <row r="358" spans="2:14" x14ac:dyDescent="0.5">
      <c r="B358" s="8" t="s">
        <v>163</v>
      </c>
      <c r="C358" s="29" t="s">
        <v>102</v>
      </c>
      <c r="D358" s="29" t="s">
        <v>103</v>
      </c>
      <c r="E358" s="51" t="s">
        <v>162</v>
      </c>
      <c r="F358" s="64"/>
      <c r="G358" s="144">
        <f t="shared" si="68"/>
        <v>1.8000157081951502</v>
      </c>
      <c r="H358" s="144">
        <f t="shared" si="68"/>
        <v>1.8119690056449562</v>
      </c>
      <c r="I358" s="144">
        <f t="shared" si="68"/>
        <v>1.8295835038662633</v>
      </c>
      <c r="J358" s="144">
        <f t="shared" si="68"/>
        <v>1.8696333496114199</v>
      </c>
      <c r="K358" s="144">
        <f t="shared" si="68"/>
        <v>1.9120851912838868</v>
      </c>
      <c r="L358" s="144">
        <f t="shared" si="68"/>
        <v>1.9540621206324291</v>
      </c>
      <c r="M358" s="144">
        <f t="shared" si="68"/>
        <v>1.9944809077309034</v>
      </c>
      <c r="N358" s="120">
        <f t="shared" si="67"/>
        <v>13.171829786965009</v>
      </c>
    </row>
    <row r="359" spans="2:14" x14ac:dyDescent="0.5">
      <c r="B359" s="8" t="s">
        <v>164</v>
      </c>
      <c r="C359" s="29" t="s">
        <v>102</v>
      </c>
      <c r="D359" s="29" t="s">
        <v>103</v>
      </c>
      <c r="E359" s="51" t="s">
        <v>162</v>
      </c>
      <c r="F359" s="64"/>
      <c r="G359" s="144">
        <f t="shared" si="68"/>
        <v>0.27955813145428893</v>
      </c>
      <c r="H359" s="144">
        <f t="shared" si="68"/>
        <v>0.28141458275333664</v>
      </c>
      <c r="I359" s="144">
        <f t="shared" si="68"/>
        <v>0.2841502678847686</v>
      </c>
      <c r="J359" s="144">
        <f t="shared" si="68"/>
        <v>0.29037035807096745</v>
      </c>
      <c r="K359" s="144">
        <f t="shared" si="68"/>
        <v>0.29696349916452369</v>
      </c>
      <c r="L359" s="144">
        <f t="shared" si="68"/>
        <v>0.30348288223403791</v>
      </c>
      <c r="M359" s="144">
        <f t="shared" si="68"/>
        <v>0.30976027222872182</v>
      </c>
      <c r="N359" s="120">
        <f t="shared" si="67"/>
        <v>2.0456999937906448</v>
      </c>
    </row>
    <row r="360" spans="2:14" x14ac:dyDescent="0.5">
      <c r="B360" s="53" t="s">
        <v>165</v>
      </c>
      <c r="C360" s="29" t="s">
        <v>102</v>
      </c>
      <c r="D360" s="29" t="s">
        <v>103</v>
      </c>
      <c r="E360" s="51" t="s">
        <v>162</v>
      </c>
      <c r="F360" s="64"/>
      <c r="G360" s="144">
        <f t="shared" si="68"/>
        <v>0</v>
      </c>
      <c r="H360" s="144">
        <f t="shared" si="68"/>
        <v>0</v>
      </c>
      <c r="I360" s="144">
        <f t="shared" si="68"/>
        <v>0</v>
      </c>
      <c r="J360" s="144">
        <f t="shared" si="68"/>
        <v>0</v>
      </c>
      <c r="K360" s="144">
        <f t="shared" si="68"/>
        <v>0</v>
      </c>
      <c r="L360" s="144">
        <f t="shared" si="68"/>
        <v>0</v>
      </c>
      <c r="M360" s="144">
        <f t="shared" si="68"/>
        <v>0</v>
      </c>
      <c r="N360" s="120">
        <f t="shared" si="67"/>
        <v>0</v>
      </c>
    </row>
    <row r="361" spans="2:14" x14ac:dyDescent="0.5">
      <c r="B361" s="53" t="s">
        <v>161</v>
      </c>
      <c r="C361" s="29" t="s">
        <v>102</v>
      </c>
      <c r="D361" s="29" t="s">
        <v>103</v>
      </c>
      <c r="E361" s="51" t="s">
        <v>162</v>
      </c>
      <c r="F361" s="64"/>
      <c r="G361" s="144">
        <f t="shared" si="68"/>
        <v>0</v>
      </c>
      <c r="H361" s="144">
        <f t="shared" si="68"/>
        <v>0</v>
      </c>
      <c r="I361" s="144">
        <f t="shared" si="68"/>
        <v>0</v>
      </c>
      <c r="J361" s="144">
        <f t="shared" si="68"/>
        <v>0</v>
      </c>
      <c r="K361" s="144">
        <f t="shared" si="68"/>
        <v>0</v>
      </c>
      <c r="L361" s="144">
        <f t="shared" si="68"/>
        <v>0</v>
      </c>
      <c r="M361" s="144">
        <f t="shared" si="68"/>
        <v>0</v>
      </c>
      <c r="N361" s="120">
        <f t="shared" si="67"/>
        <v>0</v>
      </c>
    </row>
    <row r="362" spans="2:14" x14ac:dyDescent="0.5">
      <c r="B362" s="8" t="s">
        <v>166</v>
      </c>
      <c r="C362" s="29" t="s">
        <v>102</v>
      </c>
      <c r="D362" s="29" t="s">
        <v>103</v>
      </c>
      <c r="E362" s="51" t="s">
        <v>166</v>
      </c>
      <c r="F362" s="114"/>
      <c r="G362" s="114"/>
      <c r="H362" s="114"/>
      <c r="I362" s="114"/>
      <c r="J362" s="114"/>
      <c r="K362" s="114"/>
      <c r="L362" s="114"/>
      <c r="M362" s="114"/>
      <c r="N362" s="120">
        <f t="shared" si="67"/>
        <v>0</v>
      </c>
    </row>
    <row r="363" spans="2:14" x14ac:dyDescent="0.5">
      <c r="B363" s="8" t="s">
        <v>167</v>
      </c>
      <c r="C363" s="29" t="s">
        <v>102</v>
      </c>
      <c r="D363" s="29" t="s">
        <v>103</v>
      </c>
      <c r="E363" s="51" t="s">
        <v>168</v>
      </c>
      <c r="F363" s="64"/>
      <c r="G363" s="144">
        <f t="shared" ref="G363:M371" si="69">F196*(1+G29)*(1+G83)*G137</f>
        <v>0.15847286368972721</v>
      </c>
      <c r="H363" s="144">
        <f t="shared" si="69"/>
        <v>0.16128398787895568</v>
      </c>
      <c r="I363" s="144">
        <f t="shared" si="69"/>
        <v>0.16328712683470994</v>
      </c>
      <c r="J363" s="144">
        <f t="shared" si="69"/>
        <v>0.16591825177983183</v>
      </c>
      <c r="K363" s="144">
        <f t="shared" si="69"/>
        <v>0.16868174889048723</v>
      </c>
      <c r="L363" s="144">
        <f t="shared" si="69"/>
        <v>0.17145090436104371</v>
      </c>
      <c r="M363" s="144">
        <f t="shared" si="69"/>
        <v>0.17409739867090412</v>
      </c>
      <c r="N363" s="120">
        <f t="shared" si="67"/>
        <v>1.1631922821056597</v>
      </c>
    </row>
    <row r="364" spans="2:14" x14ac:dyDescent="0.5">
      <c r="B364" s="8" t="s">
        <v>169</v>
      </c>
      <c r="C364" s="29" t="s">
        <v>102</v>
      </c>
      <c r="D364" s="29" t="s">
        <v>103</v>
      </c>
      <c r="E364" s="51" t="s">
        <v>168</v>
      </c>
      <c r="F364" s="64"/>
      <c r="G364" s="144">
        <f t="shared" si="69"/>
        <v>0.32401257382561838</v>
      </c>
      <c r="H364" s="144">
        <f t="shared" si="69"/>
        <v>0.32976017983644107</v>
      </c>
      <c r="I364" s="144">
        <f t="shared" si="69"/>
        <v>0.33385578455811166</v>
      </c>
      <c r="J364" s="144">
        <f t="shared" si="69"/>
        <v>0.33923536529942305</v>
      </c>
      <c r="K364" s="144">
        <f t="shared" si="69"/>
        <v>0.3448855932989387</v>
      </c>
      <c r="L364" s="144">
        <f t="shared" si="69"/>
        <v>0.35054739034385735</v>
      </c>
      <c r="M364" s="144">
        <f t="shared" si="69"/>
        <v>0.35595839518713202</v>
      </c>
      <c r="N364" s="120">
        <f t="shared" si="67"/>
        <v>2.3782552823495222</v>
      </c>
    </row>
    <row r="365" spans="2:14" x14ac:dyDescent="0.5">
      <c r="B365" s="8" t="s">
        <v>170</v>
      </c>
      <c r="C365" s="29" t="s">
        <v>102</v>
      </c>
      <c r="D365" s="29" t="s">
        <v>103</v>
      </c>
      <c r="E365" s="51" t="s">
        <v>168</v>
      </c>
      <c r="F365" s="64"/>
      <c r="G365" s="144">
        <f t="shared" si="69"/>
        <v>0.2176052921024379</v>
      </c>
      <c r="H365" s="144">
        <f t="shared" si="69"/>
        <v>0.22146535676013823</v>
      </c>
      <c r="I365" s="144">
        <f t="shared" si="69"/>
        <v>0.22421594526746852</v>
      </c>
      <c r="J365" s="144">
        <f t="shared" si="69"/>
        <v>0.22782884591752706</v>
      </c>
      <c r="K365" s="144">
        <f t="shared" si="69"/>
        <v>0.23162351196941211</v>
      </c>
      <c r="L365" s="144">
        <f t="shared" si="69"/>
        <v>0.23542594773675771</v>
      </c>
      <c r="M365" s="144">
        <f t="shared" si="69"/>
        <v>0.23905995266312885</v>
      </c>
      <c r="N365" s="120">
        <f t="shared" si="67"/>
        <v>1.5972248524168706</v>
      </c>
    </row>
    <row r="366" spans="2:14" x14ac:dyDescent="0.5">
      <c r="B366" s="8" t="s">
        <v>171</v>
      </c>
      <c r="C366" s="29" t="s">
        <v>102</v>
      </c>
      <c r="D366" s="29" t="s">
        <v>103</v>
      </c>
      <c r="E366" s="51" t="s">
        <v>172</v>
      </c>
      <c r="F366" s="64"/>
      <c r="G366" s="144">
        <f t="shared" si="69"/>
        <v>0</v>
      </c>
      <c r="H366" s="144">
        <f t="shared" si="69"/>
        <v>0</v>
      </c>
      <c r="I366" s="144">
        <f t="shared" si="69"/>
        <v>0</v>
      </c>
      <c r="J366" s="144">
        <f t="shared" si="69"/>
        <v>0</v>
      </c>
      <c r="K366" s="144">
        <f t="shared" si="69"/>
        <v>0</v>
      </c>
      <c r="L366" s="144">
        <f t="shared" si="69"/>
        <v>0</v>
      </c>
      <c r="M366" s="144">
        <f t="shared" si="69"/>
        <v>0</v>
      </c>
      <c r="N366" s="120">
        <f t="shared" si="67"/>
        <v>0</v>
      </c>
    </row>
    <row r="367" spans="2:14" x14ac:dyDescent="0.5">
      <c r="B367" s="8" t="s">
        <v>173</v>
      </c>
      <c r="C367" s="29" t="s">
        <v>102</v>
      </c>
      <c r="D367" s="29" t="s">
        <v>103</v>
      </c>
      <c r="E367" s="51" t="s">
        <v>172</v>
      </c>
      <c r="F367" s="64"/>
      <c r="G367" s="144">
        <f t="shared" si="69"/>
        <v>0</v>
      </c>
      <c r="H367" s="144">
        <f t="shared" si="69"/>
        <v>0</v>
      </c>
      <c r="I367" s="144">
        <f t="shared" si="69"/>
        <v>0</v>
      </c>
      <c r="J367" s="144">
        <f t="shared" si="69"/>
        <v>0</v>
      </c>
      <c r="K367" s="144">
        <f t="shared" si="69"/>
        <v>0</v>
      </c>
      <c r="L367" s="144">
        <f t="shared" si="69"/>
        <v>0</v>
      </c>
      <c r="M367" s="144">
        <f t="shared" si="69"/>
        <v>0</v>
      </c>
      <c r="N367" s="120">
        <f t="shared" si="67"/>
        <v>0</v>
      </c>
    </row>
    <row r="368" spans="2:14" x14ac:dyDescent="0.5">
      <c r="B368" s="8" t="s">
        <v>174</v>
      </c>
      <c r="C368" s="29" t="s">
        <v>102</v>
      </c>
      <c r="D368" s="29" t="s">
        <v>103</v>
      </c>
      <c r="E368" s="51" t="s">
        <v>172</v>
      </c>
      <c r="F368" s="64"/>
      <c r="G368" s="144">
        <f t="shared" si="69"/>
        <v>0</v>
      </c>
      <c r="H368" s="144">
        <f t="shared" si="69"/>
        <v>0</v>
      </c>
      <c r="I368" s="144">
        <f t="shared" si="69"/>
        <v>0</v>
      </c>
      <c r="J368" s="144">
        <f t="shared" si="69"/>
        <v>0</v>
      </c>
      <c r="K368" s="144">
        <f t="shared" si="69"/>
        <v>0</v>
      </c>
      <c r="L368" s="144">
        <f t="shared" si="69"/>
        <v>0</v>
      </c>
      <c r="M368" s="144">
        <f t="shared" si="69"/>
        <v>0</v>
      </c>
      <c r="N368" s="120">
        <f t="shared" si="67"/>
        <v>0</v>
      </c>
    </row>
    <row r="369" spans="2:14" x14ac:dyDescent="0.5">
      <c r="B369" s="53" t="s">
        <v>161</v>
      </c>
      <c r="C369" s="29" t="s">
        <v>102</v>
      </c>
      <c r="D369" s="29" t="s">
        <v>103</v>
      </c>
      <c r="E369" s="51" t="s">
        <v>172</v>
      </c>
      <c r="F369" s="64"/>
      <c r="G369" s="144">
        <f t="shared" si="69"/>
        <v>0</v>
      </c>
      <c r="H369" s="144">
        <f t="shared" si="69"/>
        <v>0</v>
      </c>
      <c r="I369" s="144">
        <f t="shared" si="69"/>
        <v>0</v>
      </c>
      <c r="J369" s="144">
        <f t="shared" si="69"/>
        <v>0</v>
      </c>
      <c r="K369" s="144">
        <f t="shared" si="69"/>
        <v>0</v>
      </c>
      <c r="L369" s="144">
        <f t="shared" si="69"/>
        <v>0</v>
      </c>
      <c r="M369" s="144">
        <f t="shared" si="69"/>
        <v>0</v>
      </c>
      <c r="N369" s="120">
        <f t="shared" si="67"/>
        <v>0</v>
      </c>
    </row>
    <row r="370" spans="2:14" x14ac:dyDescent="0.5">
      <c r="B370" s="53" t="s">
        <v>161</v>
      </c>
      <c r="C370" s="29" t="s">
        <v>102</v>
      </c>
      <c r="D370" s="29" t="s">
        <v>103</v>
      </c>
      <c r="E370" s="51" t="s">
        <v>172</v>
      </c>
      <c r="F370" s="64"/>
      <c r="G370" s="144">
        <f t="shared" si="69"/>
        <v>0</v>
      </c>
      <c r="H370" s="144">
        <f t="shared" si="69"/>
        <v>0</v>
      </c>
      <c r="I370" s="144">
        <f t="shared" si="69"/>
        <v>0</v>
      </c>
      <c r="J370" s="144">
        <f t="shared" si="69"/>
        <v>0</v>
      </c>
      <c r="K370" s="144">
        <f t="shared" si="69"/>
        <v>0</v>
      </c>
      <c r="L370" s="144">
        <f t="shared" si="69"/>
        <v>0</v>
      </c>
      <c r="M370" s="144">
        <f t="shared" si="69"/>
        <v>0</v>
      </c>
      <c r="N370" s="120">
        <f t="shared" si="67"/>
        <v>0</v>
      </c>
    </row>
    <row r="371" spans="2:14" x14ac:dyDescent="0.5">
      <c r="B371" s="53" t="s">
        <v>161</v>
      </c>
      <c r="C371" s="29" t="s">
        <v>102</v>
      </c>
      <c r="D371" s="29" t="s">
        <v>103</v>
      </c>
      <c r="E371" s="51" t="s">
        <v>172</v>
      </c>
      <c r="F371" s="64"/>
      <c r="G371" s="144">
        <f t="shared" si="69"/>
        <v>0</v>
      </c>
      <c r="H371" s="144">
        <f t="shared" si="69"/>
        <v>0</v>
      </c>
      <c r="I371" s="144">
        <f t="shared" si="69"/>
        <v>0</v>
      </c>
      <c r="J371" s="144">
        <f t="shared" si="69"/>
        <v>0</v>
      </c>
      <c r="K371" s="144">
        <f t="shared" si="69"/>
        <v>0</v>
      </c>
      <c r="L371" s="144">
        <f t="shared" si="69"/>
        <v>0</v>
      </c>
      <c r="M371" s="144">
        <f t="shared" si="69"/>
        <v>0</v>
      </c>
      <c r="N371" s="120">
        <f t="shared" si="67"/>
        <v>0</v>
      </c>
    </row>
    <row r="372" spans="2:14" x14ac:dyDescent="0.5">
      <c r="B372" s="8" t="s">
        <v>175</v>
      </c>
      <c r="C372" s="29" t="s">
        <v>102</v>
      </c>
      <c r="D372" s="29" t="s">
        <v>103</v>
      </c>
      <c r="E372" s="51" t="s">
        <v>176</v>
      </c>
      <c r="F372" s="64"/>
      <c r="G372" s="144">
        <f t="shared" ref="G372:M381" si="70">F205*(1+G38)*(1+G92)*G146</f>
        <v>0</v>
      </c>
      <c r="H372" s="144">
        <f t="shared" si="70"/>
        <v>0</v>
      </c>
      <c r="I372" s="144">
        <f t="shared" si="70"/>
        <v>0</v>
      </c>
      <c r="J372" s="144">
        <f t="shared" si="70"/>
        <v>0</v>
      </c>
      <c r="K372" s="144">
        <f t="shared" si="70"/>
        <v>0</v>
      </c>
      <c r="L372" s="144">
        <f t="shared" si="70"/>
        <v>0</v>
      </c>
      <c r="M372" s="144">
        <f t="shared" si="70"/>
        <v>0</v>
      </c>
      <c r="N372" s="120">
        <f t="shared" si="67"/>
        <v>0</v>
      </c>
    </row>
    <row r="373" spans="2:14" x14ac:dyDescent="0.5">
      <c r="B373" s="8" t="s">
        <v>177</v>
      </c>
      <c r="C373" s="29" t="s">
        <v>102</v>
      </c>
      <c r="D373" s="29" t="s">
        <v>103</v>
      </c>
      <c r="E373" s="51" t="s">
        <v>176</v>
      </c>
      <c r="F373" s="64"/>
      <c r="G373" s="144">
        <f t="shared" si="70"/>
        <v>0</v>
      </c>
      <c r="H373" s="144">
        <f t="shared" si="70"/>
        <v>0</v>
      </c>
      <c r="I373" s="144">
        <f t="shared" si="70"/>
        <v>0</v>
      </c>
      <c r="J373" s="144">
        <f t="shared" si="70"/>
        <v>0</v>
      </c>
      <c r="K373" s="144">
        <f t="shared" si="70"/>
        <v>0</v>
      </c>
      <c r="L373" s="144">
        <f t="shared" si="70"/>
        <v>0</v>
      </c>
      <c r="M373" s="144">
        <f t="shared" si="70"/>
        <v>0</v>
      </c>
      <c r="N373" s="120">
        <f t="shared" si="67"/>
        <v>0</v>
      </c>
    </row>
    <row r="374" spans="2:14" x14ac:dyDescent="0.5">
      <c r="B374" s="8" t="s">
        <v>178</v>
      </c>
      <c r="C374" s="29" t="s">
        <v>102</v>
      </c>
      <c r="D374" s="29" t="s">
        <v>103</v>
      </c>
      <c r="E374" s="51" t="s">
        <v>176</v>
      </c>
      <c r="F374" s="64"/>
      <c r="G374" s="144">
        <f t="shared" si="70"/>
        <v>0</v>
      </c>
      <c r="H374" s="144">
        <f t="shared" si="70"/>
        <v>0</v>
      </c>
      <c r="I374" s="144">
        <f t="shared" si="70"/>
        <v>0</v>
      </c>
      <c r="J374" s="144">
        <f t="shared" si="70"/>
        <v>0</v>
      </c>
      <c r="K374" s="144">
        <f t="shared" si="70"/>
        <v>0</v>
      </c>
      <c r="L374" s="144">
        <f t="shared" si="70"/>
        <v>0</v>
      </c>
      <c r="M374" s="144">
        <f t="shared" si="70"/>
        <v>0</v>
      </c>
      <c r="N374" s="120">
        <f t="shared" si="67"/>
        <v>0</v>
      </c>
    </row>
    <row r="375" spans="2:14" x14ac:dyDescent="0.5">
      <c r="B375" s="8" t="s">
        <v>179</v>
      </c>
      <c r="C375" s="29" t="s">
        <v>102</v>
      </c>
      <c r="D375" s="29" t="s">
        <v>103</v>
      </c>
      <c r="E375" s="51" t="s">
        <v>176</v>
      </c>
      <c r="F375" s="64"/>
      <c r="G375" s="144">
        <f t="shared" si="70"/>
        <v>0</v>
      </c>
      <c r="H375" s="144">
        <f t="shared" si="70"/>
        <v>0</v>
      </c>
      <c r="I375" s="144">
        <f t="shared" si="70"/>
        <v>0</v>
      </c>
      <c r="J375" s="144">
        <f t="shared" si="70"/>
        <v>0</v>
      </c>
      <c r="K375" s="144">
        <f t="shared" si="70"/>
        <v>0</v>
      </c>
      <c r="L375" s="144">
        <f t="shared" si="70"/>
        <v>0</v>
      </c>
      <c r="M375" s="144">
        <f t="shared" si="70"/>
        <v>0</v>
      </c>
      <c r="N375" s="120">
        <f t="shared" si="67"/>
        <v>0</v>
      </c>
    </row>
    <row r="376" spans="2:14" x14ac:dyDescent="0.5">
      <c r="B376" s="53" t="s">
        <v>180</v>
      </c>
      <c r="C376" s="29" t="s">
        <v>102</v>
      </c>
      <c r="D376" s="29" t="s">
        <v>103</v>
      </c>
      <c r="E376" s="51" t="s">
        <v>176</v>
      </c>
      <c r="F376" s="64"/>
      <c r="G376" s="144">
        <f t="shared" si="70"/>
        <v>0</v>
      </c>
      <c r="H376" s="144">
        <f t="shared" si="70"/>
        <v>0</v>
      </c>
      <c r="I376" s="144">
        <f t="shared" si="70"/>
        <v>0</v>
      </c>
      <c r="J376" s="144">
        <f t="shared" si="70"/>
        <v>0</v>
      </c>
      <c r="K376" s="144">
        <f t="shared" si="70"/>
        <v>0</v>
      </c>
      <c r="L376" s="144">
        <f t="shared" si="70"/>
        <v>0</v>
      </c>
      <c r="M376" s="144">
        <f t="shared" si="70"/>
        <v>0</v>
      </c>
      <c r="N376" s="120">
        <f t="shared" si="67"/>
        <v>0</v>
      </c>
    </row>
    <row r="377" spans="2:14" x14ac:dyDescent="0.5">
      <c r="B377" s="53" t="s">
        <v>181</v>
      </c>
      <c r="C377" s="29" t="s">
        <v>102</v>
      </c>
      <c r="D377" s="29" t="s">
        <v>103</v>
      </c>
      <c r="E377" s="51" t="s">
        <v>176</v>
      </c>
      <c r="F377" s="64"/>
      <c r="G377" s="144">
        <f t="shared" si="70"/>
        <v>0</v>
      </c>
      <c r="H377" s="144">
        <f t="shared" si="70"/>
        <v>0</v>
      </c>
      <c r="I377" s="144">
        <f t="shared" si="70"/>
        <v>0</v>
      </c>
      <c r="J377" s="144">
        <f t="shared" si="70"/>
        <v>0</v>
      </c>
      <c r="K377" s="144">
        <f t="shared" si="70"/>
        <v>0</v>
      </c>
      <c r="L377" s="144">
        <f t="shared" si="70"/>
        <v>0</v>
      </c>
      <c r="M377" s="144">
        <f t="shared" si="70"/>
        <v>0</v>
      </c>
      <c r="N377" s="120">
        <f t="shared" si="67"/>
        <v>0</v>
      </c>
    </row>
    <row r="378" spans="2:14" x14ac:dyDescent="0.5">
      <c r="B378" s="53" t="s">
        <v>161</v>
      </c>
      <c r="C378" s="29" t="s">
        <v>102</v>
      </c>
      <c r="D378" s="29" t="s">
        <v>103</v>
      </c>
      <c r="E378" s="51" t="s">
        <v>176</v>
      </c>
      <c r="F378" s="64"/>
      <c r="G378" s="144">
        <f t="shared" si="70"/>
        <v>0</v>
      </c>
      <c r="H378" s="144">
        <f t="shared" si="70"/>
        <v>0</v>
      </c>
      <c r="I378" s="144">
        <f t="shared" si="70"/>
        <v>0</v>
      </c>
      <c r="J378" s="144">
        <f t="shared" si="70"/>
        <v>0</v>
      </c>
      <c r="K378" s="144">
        <f t="shared" si="70"/>
        <v>0</v>
      </c>
      <c r="L378" s="144">
        <f t="shared" si="70"/>
        <v>0</v>
      </c>
      <c r="M378" s="144">
        <f t="shared" si="70"/>
        <v>0</v>
      </c>
      <c r="N378" s="120">
        <f t="shared" si="67"/>
        <v>0</v>
      </c>
    </row>
    <row r="379" spans="2:14" x14ac:dyDescent="0.5">
      <c r="B379" s="53" t="s">
        <v>161</v>
      </c>
      <c r="C379" s="29" t="s">
        <v>102</v>
      </c>
      <c r="D379" s="29" t="s">
        <v>103</v>
      </c>
      <c r="E379" s="51" t="s">
        <v>176</v>
      </c>
      <c r="F379" s="64"/>
      <c r="G379" s="144">
        <f t="shared" si="70"/>
        <v>0</v>
      </c>
      <c r="H379" s="144">
        <f t="shared" si="70"/>
        <v>0</v>
      </c>
      <c r="I379" s="144">
        <f t="shared" si="70"/>
        <v>0</v>
      </c>
      <c r="J379" s="144">
        <f t="shared" si="70"/>
        <v>0</v>
      </c>
      <c r="K379" s="144">
        <f t="shared" si="70"/>
        <v>0</v>
      </c>
      <c r="L379" s="144">
        <f t="shared" si="70"/>
        <v>0</v>
      </c>
      <c r="M379" s="144">
        <f t="shared" si="70"/>
        <v>0</v>
      </c>
      <c r="N379" s="120">
        <f t="shared" si="67"/>
        <v>0</v>
      </c>
    </row>
    <row r="380" spans="2:14" x14ac:dyDescent="0.5">
      <c r="B380" s="53" t="s">
        <v>161</v>
      </c>
      <c r="C380" s="29" t="s">
        <v>102</v>
      </c>
      <c r="D380" s="29" t="s">
        <v>103</v>
      </c>
      <c r="E380" s="51" t="s">
        <v>176</v>
      </c>
      <c r="F380" s="64"/>
      <c r="G380" s="144">
        <f t="shared" si="70"/>
        <v>0</v>
      </c>
      <c r="H380" s="144">
        <f t="shared" si="70"/>
        <v>0</v>
      </c>
      <c r="I380" s="144">
        <f t="shared" si="70"/>
        <v>0</v>
      </c>
      <c r="J380" s="144">
        <f t="shared" si="70"/>
        <v>0</v>
      </c>
      <c r="K380" s="144">
        <f t="shared" si="70"/>
        <v>0</v>
      </c>
      <c r="L380" s="144">
        <f t="shared" si="70"/>
        <v>0</v>
      </c>
      <c r="M380" s="144">
        <f t="shared" si="70"/>
        <v>0</v>
      </c>
      <c r="N380" s="120">
        <f t="shared" si="67"/>
        <v>0</v>
      </c>
    </row>
    <row r="381" spans="2:14" x14ac:dyDescent="0.5">
      <c r="B381" s="8" t="s">
        <v>182</v>
      </c>
      <c r="C381" s="29" t="s">
        <v>102</v>
      </c>
      <c r="D381" s="29" t="s">
        <v>103</v>
      </c>
      <c r="E381" s="51" t="s">
        <v>182</v>
      </c>
      <c r="F381" s="64"/>
      <c r="G381" s="144">
        <f t="shared" si="70"/>
        <v>0</v>
      </c>
      <c r="H381" s="144">
        <f t="shared" si="70"/>
        <v>0</v>
      </c>
      <c r="I381" s="144">
        <f t="shared" si="70"/>
        <v>0</v>
      </c>
      <c r="J381" s="144">
        <f t="shared" si="70"/>
        <v>0</v>
      </c>
      <c r="K381" s="144">
        <f t="shared" si="70"/>
        <v>0</v>
      </c>
      <c r="L381" s="144">
        <f t="shared" si="70"/>
        <v>0</v>
      </c>
      <c r="M381" s="144">
        <f t="shared" si="70"/>
        <v>0</v>
      </c>
      <c r="N381" s="120">
        <f t="shared" si="67"/>
        <v>0</v>
      </c>
    </row>
    <row r="382" spans="2:14" x14ac:dyDescent="0.5">
      <c r="B382" s="8" t="s">
        <v>183</v>
      </c>
      <c r="C382" s="29" t="s">
        <v>102</v>
      </c>
      <c r="D382" s="29" t="s">
        <v>103</v>
      </c>
      <c r="E382" s="51" t="s">
        <v>184</v>
      </c>
      <c r="F382" s="64"/>
      <c r="G382" s="144">
        <f t="shared" ref="G382:M391" si="71">F215*(1+G48)*(1+G102)*G156</f>
        <v>0</v>
      </c>
      <c r="H382" s="144">
        <f t="shared" si="71"/>
        <v>0</v>
      </c>
      <c r="I382" s="144">
        <f t="shared" si="71"/>
        <v>0</v>
      </c>
      <c r="J382" s="144">
        <f t="shared" si="71"/>
        <v>0</v>
      </c>
      <c r="K382" s="144">
        <f t="shared" si="71"/>
        <v>0</v>
      </c>
      <c r="L382" s="144">
        <f t="shared" si="71"/>
        <v>0</v>
      </c>
      <c r="M382" s="144">
        <f t="shared" si="71"/>
        <v>0</v>
      </c>
      <c r="N382" s="120">
        <f t="shared" si="67"/>
        <v>0</v>
      </c>
    </row>
    <row r="383" spans="2:14" x14ac:dyDescent="0.5">
      <c r="B383" s="8" t="s">
        <v>185</v>
      </c>
      <c r="C383" s="29" t="s">
        <v>102</v>
      </c>
      <c r="D383" s="29" t="s">
        <v>103</v>
      </c>
      <c r="E383" s="51" t="s">
        <v>184</v>
      </c>
      <c r="F383" s="64"/>
      <c r="G383" s="144">
        <f t="shared" si="71"/>
        <v>0</v>
      </c>
      <c r="H383" s="144">
        <f t="shared" si="71"/>
        <v>0</v>
      </c>
      <c r="I383" s="144">
        <f t="shared" si="71"/>
        <v>0</v>
      </c>
      <c r="J383" s="144">
        <f t="shared" si="71"/>
        <v>0</v>
      </c>
      <c r="K383" s="144">
        <f t="shared" si="71"/>
        <v>0</v>
      </c>
      <c r="L383" s="144">
        <f t="shared" si="71"/>
        <v>0</v>
      </c>
      <c r="M383" s="144">
        <f t="shared" si="71"/>
        <v>0</v>
      </c>
      <c r="N383" s="120">
        <f t="shared" si="67"/>
        <v>0</v>
      </c>
    </row>
    <row r="384" spans="2:14" x14ac:dyDescent="0.5">
      <c r="B384" s="8" t="s">
        <v>186</v>
      </c>
      <c r="C384" s="29" t="s">
        <v>102</v>
      </c>
      <c r="D384" s="29" t="s">
        <v>103</v>
      </c>
      <c r="E384" s="51" t="s">
        <v>184</v>
      </c>
      <c r="F384" s="64"/>
      <c r="G384" s="144">
        <f t="shared" si="71"/>
        <v>0</v>
      </c>
      <c r="H384" s="144">
        <f t="shared" si="71"/>
        <v>0</v>
      </c>
      <c r="I384" s="144">
        <f t="shared" si="71"/>
        <v>0</v>
      </c>
      <c r="J384" s="144">
        <f t="shared" si="71"/>
        <v>0</v>
      </c>
      <c r="K384" s="144">
        <f t="shared" si="71"/>
        <v>0</v>
      </c>
      <c r="L384" s="144">
        <f t="shared" si="71"/>
        <v>0</v>
      </c>
      <c r="M384" s="144">
        <f t="shared" si="71"/>
        <v>0</v>
      </c>
      <c r="N384" s="120">
        <f t="shared" si="67"/>
        <v>0</v>
      </c>
    </row>
    <row r="385" spans="2:14" x14ac:dyDescent="0.5">
      <c r="B385" s="8" t="s">
        <v>161</v>
      </c>
      <c r="C385" s="29" t="s">
        <v>102</v>
      </c>
      <c r="D385" s="29" t="s">
        <v>103</v>
      </c>
      <c r="E385" s="51" t="s">
        <v>184</v>
      </c>
      <c r="F385" s="64"/>
      <c r="G385" s="144">
        <f t="shared" si="71"/>
        <v>0</v>
      </c>
      <c r="H385" s="144">
        <f t="shared" si="71"/>
        <v>0</v>
      </c>
      <c r="I385" s="144">
        <f t="shared" si="71"/>
        <v>0</v>
      </c>
      <c r="J385" s="144">
        <f t="shared" si="71"/>
        <v>0</v>
      </c>
      <c r="K385" s="144">
        <f t="shared" si="71"/>
        <v>0</v>
      </c>
      <c r="L385" s="144">
        <f t="shared" si="71"/>
        <v>0</v>
      </c>
      <c r="M385" s="144">
        <f t="shared" si="71"/>
        <v>0</v>
      </c>
      <c r="N385" s="120">
        <f t="shared" si="67"/>
        <v>0</v>
      </c>
    </row>
    <row r="386" spans="2:14" x14ac:dyDescent="0.5">
      <c r="B386" s="53" t="s">
        <v>161</v>
      </c>
      <c r="C386" s="29" t="s">
        <v>102</v>
      </c>
      <c r="D386" s="29" t="s">
        <v>103</v>
      </c>
      <c r="E386" s="51" t="s">
        <v>184</v>
      </c>
      <c r="F386" s="64"/>
      <c r="G386" s="144">
        <f t="shared" si="71"/>
        <v>0</v>
      </c>
      <c r="H386" s="144">
        <f t="shared" si="71"/>
        <v>0</v>
      </c>
      <c r="I386" s="144">
        <f t="shared" si="71"/>
        <v>0</v>
      </c>
      <c r="J386" s="144">
        <f t="shared" si="71"/>
        <v>0</v>
      </c>
      <c r="K386" s="144">
        <f t="shared" si="71"/>
        <v>0</v>
      </c>
      <c r="L386" s="144">
        <f t="shared" si="71"/>
        <v>0</v>
      </c>
      <c r="M386" s="144">
        <f t="shared" si="71"/>
        <v>0</v>
      </c>
      <c r="N386" s="120">
        <f t="shared" si="67"/>
        <v>0</v>
      </c>
    </row>
    <row r="387" spans="2:14" x14ac:dyDescent="0.5">
      <c r="B387" s="53" t="s">
        <v>161</v>
      </c>
      <c r="C387" s="29" t="s">
        <v>102</v>
      </c>
      <c r="D387" s="29" t="s">
        <v>103</v>
      </c>
      <c r="E387" s="51" t="s">
        <v>184</v>
      </c>
      <c r="F387" s="64"/>
      <c r="G387" s="144">
        <f t="shared" si="71"/>
        <v>0</v>
      </c>
      <c r="H387" s="144">
        <f t="shared" si="71"/>
        <v>0</v>
      </c>
      <c r="I387" s="144">
        <f t="shared" si="71"/>
        <v>0</v>
      </c>
      <c r="J387" s="144">
        <f t="shared" si="71"/>
        <v>0</v>
      </c>
      <c r="K387" s="144">
        <f t="shared" si="71"/>
        <v>0</v>
      </c>
      <c r="L387" s="144">
        <f t="shared" si="71"/>
        <v>0</v>
      </c>
      <c r="M387" s="144">
        <f t="shared" si="71"/>
        <v>0</v>
      </c>
      <c r="N387" s="120">
        <f t="shared" si="67"/>
        <v>0</v>
      </c>
    </row>
    <row r="388" spans="2:14" x14ac:dyDescent="0.5">
      <c r="B388" s="53" t="s">
        <v>187</v>
      </c>
      <c r="C388" s="29" t="s">
        <v>102</v>
      </c>
      <c r="D388" s="29" t="s">
        <v>103</v>
      </c>
      <c r="E388" s="51" t="s">
        <v>187</v>
      </c>
      <c r="F388" s="64"/>
      <c r="G388" s="190"/>
      <c r="H388" s="190"/>
      <c r="I388" s="190"/>
      <c r="J388" s="190"/>
      <c r="K388" s="190"/>
      <c r="L388" s="190"/>
      <c r="M388" s="190"/>
      <c r="N388" s="120"/>
    </row>
    <row r="389" spans="2:14" x14ac:dyDescent="0.5">
      <c r="B389" s="8" t="s">
        <v>161</v>
      </c>
      <c r="C389" s="29" t="s">
        <v>102</v>
      </c>
      <c r="D389" s="29" t="s">
        <v>103</v>
      </c>
      <c r="E389" s="51" t="s">
        <v>187</v>
      </c>
      <c r="F389" s="64"/>
      <c r="G389" s="144">
        <f t="shared" si="71"/>
        <v>0</v>
      </c>
      <c r="H389" s="144">
        <f t="shared" si="71"/>
        <v>0</v>
      </c>
      <c r="I389" s="144">
        <f t="shared" si="71"/>
        <v>0</v>
      </c>
      <c r="J389" s="144">
        <f t="shared" si="71"/>
        <v>0</v>
      </c>
      <c r="K389" s="144">
        <f t="shared" si="71"/>
        <v>0</v>
      </c>
      <c r="L389" s="144">
        <f t="shared" si="71"/>
        <v>0</v>
      </c>
      <c r="M389" s="144">
        <f t="shared" si="71"/>
        <v>0</v>
      </c>
      <c r="N389" s="120">
        <f t="shared" si="67"/>
        <v>0</v>
      </c>
    </row>
    <row r="390" spans="2:14" x14ac:dyDescent="0.5">
      <c r="B390" s="53" t="s">
        <v>161</v>
      </c>
      <c r="C390" s="29" t="s">
        <v>102</v>
      </c>
      <c r="D390" s="29" t="s">
        <v>103</v>
      </c>
      <c r="E390" s="51" t="s">
        <v>187</v>
      </c>
      <c r="F390" s="64"/>
      <c r="G390" s="144">
        <f t="shared" si="71"/>
        <v>0</v>
      </c>
      <c r="H390" s="144">
        <f t="shared" si="71"/>
        <v>0</v>
      </c>
      <c r="I390" s="144">
        <f t="shared" si="71"/>
        <v>0</v>
      </c>
      <c r="J390" s="144">
        <f t="shared" si="71"/>
        <v>0</v>
      </c>
      <c r="K390" s="144">
        <f t="shared" si="71"/>
        <v>0</v>
      </c>
      <c r="L390" s="144">
        <f t="shared" si="71"/>
        <v>0</v>
      </c>
      <c r="M390" s="144">
        <f t="shared" si="71"/>
        <v>0</v>
      </c>
      <c r="N390" s="120">
        <f t="shared" si="67"/>
        <v>0</v>
      </c>
    </row>
    <row r="391" spans="2:14" ht="17" thickBot="1" x14ac:dyDescent="0.55000000000000004">
      <c r="B391" s="54" t="s">
        <v>194</v>
      </c>
      <c r="C391" s="29" t="s">
        <v>102</v>
      </c>
      <c r="D391" s="29" t="s">
        <v>103</v>
      </c>
      <c r="E391" s="51" t="s">
        <v>187</v>
      </c>
      <c r="F391" s="64"/>
      <c r="G391" s="144">
        <f t="shared" si="71"/>
        <v>0</v>
      </c>
      <c r="H391" s="144">
        <f t="shared" si="71"/>
        <v>0</v>
      </c>
      <c r="I391" s="144">
        <f t="shared" si="71"/>
        <v>0</v>
      </c>
      <c r="J391" s="144">
        <f t="shared" si="71"/>
        <v>0</v>
      </c>
      <c r="K391" s="144">
        <f t="shared" si="71"/>
        <v>0</v>
      </c>
      <c r="L391" s="144">
        <f t="shared" si="71"/>
        <v>0</v>
      </c>
      <c r="M391" s="144">
        <f t="shared" si="71"/>
        <v>0</v>
      </c>
      <c r="N391" s="120">
        <f t="shared" si="67"/>
        <v>0</v>
      </c>
    </row>
    <row r="392" spans="2:14" x14ac:dyDescent="0.5">
      <c r="B392" s="53" t="s">
        <v>195</v>
      </c>
      <c r="C392" s="29" t="s">
        <v>102</v>
      </c>
      <c r="D392" s="29"/>
      <c r="E392" s="51"/>
      <c r="F392" s="64"/>
      <c r="G392" s="144">
        <f>SUM(G342:G391)</f>
        <v>2.7796645692672226</v>
      </c>
      <c r="H392" s="144">
        <f t="shared" ref="H392:M392" si="72">SUM(H342:H391)</f>
        <v>2.8058931128738278</v>
      </c>
      <c r="I392" s="144">
        <f t="shared" si="72"/>
        <v>2.8350926284113216</v>
      </c>
      <c r="J392" s="144">
        <f t="shared" si="72"/>
        <v>2.8929861706791691</v>
      </c>
      <c r="K392" s="144">
        <f t="shared" si="72"/>
        <v>2.9542395446072485</v>
      </c>
      <c r="L392" s="144">
        <f t="shared" si="72"/>
        <v>3.0149692453081256</v>
      </c>
      <c r="M392" s="144">
        <f t="shared" si="72"/>
        <v>3.0733569264807903</v>
      </c>
      <c r="N392" s="119">
        <f>SUM(G392:M392)</f>
        <v>20.356202197627706</v>
      </c>
    </row>
  </sheetData>
  <pageMargins left="0.7" right="0.7" top="0.75" bottom="0.75" header="0.3" footer="0.3"/>
  <headerFooter>
    <oddHeader>&amp;C&amp;"Calibri"&amp;8&amp;K000000 OFFICIAL - CAA Use Only: This information is for CAA use only &amp;1#_x000D_</oddHeader>
    <oddFooter>&amp;C_x000D_&amp;1#&amp;"Calibri"&amp;8&amp;K000000 OFFICIAL - CAA Use Only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92382-B63D-4296-BC37-05AE102F632F}">
  <sheetPr>
    <tabColor theme="4"/>
  </sheetPr>
  <dimension ref="A1:M38"/>
  <sheetViews>
    <sheetView topLeftCell="B3" zoomScale="90" zoomScaleNormal="90" workbookViewId="0">
      <selection activeCell="H18" sqref="H18"/>
    </sheetView>
  </sheetViews>
  <sheetFormatPr defaultColWidth="8.90625" defaultRowHeight="16.5" x14ac:dyDescent="0.5"/>
  <cols>
    <col min="2" max="2" width="31.6328125" customWidth="1"/>
    <col min="3" max="3" width="15.6328125" customWidth="1"/>
    <col min="4" max="5" width="17.453125" customWidth="1"/>
    <col min="6" max="12" width="15.6328125" customWidth="1"/>
  </cols>
  <sheetData>
    <row r="1" spans="1:13" ht="23" thickBot="1" x14ac:dyDescent="0.7">
      <c r="A1" s="13" t="s">
        <v>398</v>
      </c>
    </row>
    <row r="2" spans="1:13" ht="17" thickTop="1" x14ac:dyDescent="0.5"/>
    <row r="3" spans="1:13" ht="19" thickBot="1" x14ac:dyDescent="0.55000000000000004">
      <c r="A3" s="14" t="s">
        <v>166</v>
      </c>
    </row>
    <row r="4" spans="1:13" ht="17" thickTop="1" x14ac:dyDescent="0.5"/>
    <row r="6" spans="1:13" ht="17" thickBot="1" x14ac:dyDescent="0.55000000000000004">
      <c r="B6" s="27" t="s">
        <v>399</v>
      </c>
      <c r="C6" s="27" t="s">
        <v>96</v>
      </c>
      <c r="D6" s="27" t="s">
        <v>97</v>
      </c>
      <c r="E6" s="27">
        <v>2024</v>
      </c>
      <c r="F6" s="12">
        <v>2025</v>
      </c>
      <c r="G6" s="12">
        <v>2026</v>
      </c>
      <c r="H6" s="12">
        <v>2027</v>
      </c>
      <c r="I6" s="12">
        <v>2028</v>
      </c>
      <c r="J6" s="12">
        <v>2029</v>
      </c>
      <c r="K6" s="12">
        <v>2030</v>
      </c>
      <c r="L6" s="12">
        <v>2031</v>
      </c>
    </row>
    <row r="7" spans="1:13" x14ac:dyDescent="0.5">
      <c r="B7" s="35" t="s">
        <v>400</v>
      </c>
      <c r="C7" s="29" t="s">
        <v>401</v>
      </c>
      <c r="D7" s="29"/>
      <c r="E7" s="208"/>
      <c r="F7" s="207">
        <f>'Volume Drivers'!G39/1000000</f>
        <v>13.306940318238944</v>
      </c>
      <c r="G7" s="207">
        <f>'Volume Drivers'!H39/1000000</f>
        <v>13.427163592839948</v>
      </c>
      <c r="H7" s="207">
        <f>'Volume Drivers'!I39/1000000</f>
        <v>13.435326944705212</v>
      </c>
      <c r="I7" s="207">
        <f>'Volume Drivers'!J39/1000000</f>
        <v>13.593493249207306</v>
      </c>
      <c r="J7" s="207">
        <f>'Volume Drivers'!K39/1000000</f>
        <v>13.764501703353579</v>
      </c>
      <c r="K7" s="207">
        <f>'Volume Drivers'!L39/1000000</f>
        <v>13.927406390765887</v>
      </c>
      <c r="L7" s="207">
        <f>'Volume Drivers'!M39/1000000</f>
        <v>14.074740347549348</v>
      </c>
    </row>
    <row r="8" spans="1:13" x14ac:dyDescent="0.5">
      <c r="B8" s="35" t="s">
        <v>402</v>
      </c>
      <c r="C8" s="29" t="s">
        <v>349</v>
      </c>
      <c r="D8" s="29"/>
      <c r="E8" s="208"/>
      <c r="F8" s="174">
        <v>0.71</v>
      </c>
      <c r="G8" s="174">
        <v>0.71</v>
      </c>
      <c r="H8" s="174">
        <v>0.71</v>
      </c>
      <c r="I8" s="174">
        <v>0.71</v>
      </c>
      <c r="J8" s="174">
        <v>0.71</v>
      </c>
      <c r="K8" s="174">
        <v>0.71</v>
      </c>
      <c r="L8" s="174">
        <v>0.71</v>
      </c>
    </row>
    <row r="9" spans="1:13" x14ac:dyDescent="0.5">
      <c r="B9" s="35" t="s">
        <v>403</v>
      </c>
      <c r="C9" s="29" t="s">
        <v>350</v>
      </c>
      <c r="D9" s="29"/>
      <c r="E9" s="209"/>
      <c r="F9" s="94">
        <v>0.96499999999999997</v>
      </c>
      <c r="G9" s="94">
        <v>0.96499999999999997</v>
      </c>
      <c r="H9" s="94">
        <v>0.96499999999999997</v>
      </c>
      <c r="I9" s="94">
        <v>0.96499999999999997</v>
      </c>
      <c r="J9" s="94">
        <v>0.96499999999999997</v>
      </c>
      <c r="K9" s="94">
        <v>0.96499999999999997</v>
      </c>
      <c r="L9" s="94">
        <v>0.96499999999999997</v>
      </c>
    </row>
    <row r="10" spans="1:13" ht="17.5" customHeight="1" x14ac:dyDescent="0.5">
      <c r="B10" s="175" t="s">
        <v>404</v>
      </c>
      <c r="C10" s="176" t="s">
        <v>405</v>
      </c>
      <c r="D10" s="176" t="s">
        <v>217</v>
      </c>
      <c r="E10" s="210"/>
      <c r="F10" s="141">
        <v>5.8333333333333339</v>
      </c>
      <c r="G10" s="177">
        <v>5.8333333333333339</v>
      </c>
      <c r="H10" s="177">
        <v>5.8333333333333339</v>
      </c>
      <c r="I10" s="177">
        <v>5.8333333333333339</v>
      </c>
      <c r="J10" s="177">
        <v>5.8333333333333339</v>
      </c>
      <c r="K10" s="177">
        <v>5.8333333333333339</v>
      </c>
      <c r="L10" s="177">
        <v>5.8333333333333339</v>
      </c>
    </row>
    <row r="11" spans="1:13" x14ac:dyDescent="0.5">
      <c r="B11" s="178" t="s">
        <v>406</v>
      </c>
      <c r="C11" s="179" t="s">
        <v>102</v>
      </c>
      <c r="D11" s="179" t="s">
        <v>217</v>
      </c>
      <c r="E11" s="211"/>
      <c r="F11" s="180">
        <f>PRODUCT(F7:F10)</f>
        <v>53.183959261074904</v>
      </c>
      <c r="G11" s="180">
        <f t="shared" ref="G11:L11" si="0">PRODUCT(G7:G10)</f>
        <v>53.664456624533365</v>
      </c>
      <c r="H11" s="180">
        <f t="shared" si="0"/>
        <v>53.697083160961199</v>
      </c>
      <c r="I11" s="180">
        <f t="shared" si="0"/>
        <v>54.329227748217257</v>
      </c>
      <c r="J11" s="180">
        <f t="shared" si="0"/>
        <v>55.012698661974113</v>
      </c>
      <c r="K11" s="180">
        <f t="shared" si="0"/>
        <v>55.663781183693942</v>
      </c>
      <c r="L11" s="180">
        <f t="shared" si="0"/>
        <v>56.252632036553379</v>
      </c>
    </row>
    <row r="12" spans="1:13" x14ac:dyDescent="0.5">
      <c r="B12" s="175" t="s">
        <v>407</v>
      </c>
      <c r="C12" s="176" t="s">
        <v>408</v>
      </c>
      <c r="D12" s="176"/>
      <c r="E12" s="212"/>
      <c r="F12" s="181">
        <f>Scaling!E6+1</f>
        <v>1.0345276884145502</v>
      </c>
      <c r="G12" s="181">
        <f>F12*(1+Scaling!F6)</f>
        <v>1.0601852428298773</v>
      </c>
      <c r="H12" s="181">
        <f>G12*(1+Scaling!G6)</f>
        <v>1.0815505101814584</v>
      </c>
      <c r="I12" s="181">
        <f>H12*(1+Scaling!H6)</f>
        <v>1.1035605361149599</v>
      </c>
      <c r="J12" s="181">
        <f>I12*(1+Scaling!I6)</f>
        <v>1.126052668387856</v>
      </c>
      <c r="K12" s="181">
        <f>J12*(1+Scaling!J6)</f>
        <v>1.1486085868425</v>
      </c>
      <c r="L12" s="181">
        <f>K12*(1+Scaling!K6)</f>
        <v>1.1716163220474749</v>
      </c>
      <c r="M12" s="46"/>
    </row>
    <row r="13" spans="1:13" x14ac:dyDescent="0.5">
      <c r="B13" s="35" t="s">
        <v>406</v>
      </c>
      <c r="C13" s="29" t="s">
        <v>102</v>
      </c>
      <c r="D13" s="29" t="s">
        <v>103</v>
      </c>
      <c r="E13" s="91">
        <v>53.079143000000002</v>
      </c>
      <c r="F13" s="182">
        <f>F11/F12</f>
        <v>51.408927819593863</v>
      </c>
      <c r="G13" s="182">
        <f t="shared" ref="G13:L13" si="1">G11/G12</f>
        <v>50.618000002801999</v>
      </c>
      <c r="H13" s="182">
        <f>H11/H12</f>
        <v>49.648243568349024</v>
      </c>
      <c r="I13" s="182">
        <f t="shared" si="1"/>
        <v>49.230854103827511</v>
      </c>
      <c r="J13" s="182">
        <f t="shared" si="1"/>
        <v>48.854463211507273</v>
      </c>
      <c r="K13" s="182">
        <f t="shared" si="1"/>
        <v>48.461923253344693</v>
      </c>
      <c r="L13" s="182">
        <f t="shared" si="1"/>
        <v>48.012844288690246</v>
      </c>
      <c r="M13" s="172"/>
    </row>
    <row r="14" spans="1:13" x14ac:dyDescent="0.5">
      <c r="D14" t="s">
        <v>409</v>
      </c>
      <c r="F14" s="171"/>
      <c r="G14" s="171"/>
      <c r="H14" s="171"/>
      <c r="I14" s="171"/>
      <c r="J14" s="171"/>
      <c r="K14" s="171"/>
      <c r="L14" s="171"/>
      <c r="M14" s="172"/>
    </row>
    <row r="15" spans="1:13" ht="17" thickBot="1" x14ac:dyDescent="0.55000000000000004">
      <c r="B15" s="27" t="s">
        <v>399</v>
      </c>
      <c r="C15" s="27" t="s">
        <v>91</v>
      </c>
      <c r="F15" s="46"/>
      <c r="G15" s="46"/>
      <c r="H15" s="46"/>
      <c r="I15" s="46"/>
      <c r="J15" s="46"/>
      <c r="K15" s="46"/>
      <c r="L15" s="46"/>
      <c r="M15" s="46"/>
    </row>
    <row r="16" spans="1:13" x14ac:dyDescent="0.5">
      <c r="B16" s="35" t="s">
        <v>402</v>
      </c>
      <c r="C16" t="s">
        <v>410</v>
      </c>
      <c r="F16" s="46"/>
      <c r="G16" s="46"/>
      <c r="H16" s="46"/>
      <c r="I16" s="46"/>
      <c r="J16" s="46"/>
      <c r="K16" s="46"/>
      <c r="L16" s="46"/>
      <c r="M16" s="46"/>
    </row>
    <row r="17" spans="1:13" x14ac:dyDescent="0.5">
      <c r="B17" s="35" t="s">
        <v>403</v>
      </c>
      <c r="C17" t="s">
        <v>411</v>
      </c>
      <c r="F17" s="46"/>
      <c r="G17" s="46"/>
      <c r="H17" s="46"/>
      <c r="I17" s="46"/>
      <c r="J17" s="46"/>
      <c r="K17" s="46"/>
      <c r="L17" s="46"/>
      <c r="M17" s="46"/>
    </row>
    <row r="18" spans="1:13" x14ac:dyDescent="0.5">
      <c r="F18" s="46"/>
      <c r="G18" s="46"/>
      <c r="H18" s="46"/>
      <c r="I18" s="46"/>
      <c r="J18" s="46"/>
      <c r="K18" s="46"/>
      <c r="L18" s="46"/>
      <c r="M18" s="46"/>
    </row>
    <row r="19" spans="1:13" ht="19" thickBot="1" x14ac:dyDescent="0.55000000000000004">
      <c r="A19" s="14" t="s">
        <v>187</v>
      </c>
      <c r="M19" s="46"/>
    </row>
    <row r="20" spans="1:13" ht="17" thickTop="1" x14ac:dyDescent="0.5">
      <c r="M20" s="46"/>
    </row>
    <row r="21" spans="1:13" x14ac:dyDescent="0.5">
      <c r="M21" s="46"/>
    </row>
    <row r="22" spans="1:13" ht="17" thickBot="1" x14ac:dyDescent="0.55000000000000004">
      <c r="B22" s="27" t="s">
        <v>399</v>
      </c>
      <c r="C22" s="27" t="s">
        <v>96</v>
      </c>
      <c r="D22" s="27" t="s">
        <v>97</v>
      </c>
      <c r="E22" s="27">
        <v>2024</v>
      </c>
      <c r="F22" s="12">
        <v>2025</v>
      </c>
      <c r="G22" s="12">
        <v>2026</v>
      </c>
      <c r="H22" s="12">
        <v>2027</v>
      </c>
      <c r="I22" s="12">
        <v>2028</v>
      </c>
      <c r="J22" s="12">
        <v>2029</v>
      </c>
      <c r="K22" s="12">
        <v>2030</v>
      </c>
      <c r="L22" s="12">
        <v>2031</v>
      </c>
      <c r="M22" s="46"/>
    </row>
    <row r="23" spans="1:13" x14ac:dyDescent="0.5">
      <c r="B23" s="35" t="s">
        <v>283</v>
      </c>
      <c r="C23" s="29" t="s">
        <v>349</v>
      </c>
      <c r="D23" s="29"/>
      <c r="E23" s="173">
        <f>'Volume Drivers'!F44</f>
        <v>2667</v>
      </c>
      <c r="F23" s="173">
        <f>'Volume Drivers'!G44</f>
        <v>2573.4960000000001</v>
      </c>
      <c r="G23" s="173">
        <f>'Volume Drivers'!H44</f>
        <v>2499.9259999999999</v>
      </c>
      <c r="H23" s="173">
        <f>'Volume Drivers'!I44</f>
        <v>2440.299</v>
      </c>
      <c r="I23" s="173">
        <f>'Volume Drivers'!J44</f>
        <v>2390.422</v>
      </c>
      <c r="J23" s="173">
        <f>'Volume Drivers'!K44</f>
        <v>2347.366</v>
      </c>
      <c r="K23" s="173">
        <f>'Volume Drivers'!L44</f>
        <v>2309.0810000000001</v>
      </c>
      <c r="L23" s="173">
        <f>'Volume Drivers'!M44</f>
        <v>2274.1320000000001</v>
      </c>
      <c r="M23" s="46"/>
    </row>
    <row r="24" spans="1:13" x14ac:dyDescent="0.5">
      <c r="B24" s="35" t="s">
        <v>412</v>
      </c>
      <c r="C24" s="29" t="s">
        <v>405</v>
      </c>
      <c r="D24" s="29" t="s">
        <v>103</v>
      </c>
      <c r="E24" s="174">
        <v>5339</v>
      </c>
      <c r="F24" s="174">
        <v>5339</v>
      </c>
      <c r="G24" s="174">
        <v>5339</v>
      </c>
      <c r="H24" s="174">
        <v>5339</v>
      </c>
      <c r="I24" s="174">
        <v>5339</v>
      </c>
      <c r="J24" s="174">
        <v>5339</v>
      </c>
      <c r="K24" s="174">
        <v>5339</v>
      </c>
      <c r="L24" s="174">
        <v>5339</v>
      </c>
      <c r="M24" s="46"/>
    </row>
    <row r="25" spans="1:13" x14ac:dyDescent="0.5">
      <c r="B25" s="35" t="s">
        <v>285</v>
      </c>
      <c r="C25" s="29" t="s">
        <v>349</v>
      </c>
      <c r="D25" s="29"/>
      <c r="E25" s="144">
        <f>'Volume Drivers'!F45</f>
        <v>1785</v>
      </c>
      <c r="F25" s="144">
        <f>'Volume Drivers'!G45</f>
        <v>1785</v>
      </c>
      <c r="G25" s="144">
        <f>'Volume Drivers'!H45</f>
        <v>1785</v>
      </c>
      <c r="H25" s="144">
        <f>'Volume Drivers'!I45</f>
        <v>1633.0708661417323</v>
      </c>
      <c r="I25" s="144">
        <f>'Volume Drivers'!J45</f>
        <v>1494.073083384262</v>
      </c>
      <c r="J25" s="144">
        <f>'Volume Drivers'!K45</f>
        <v>1366.906008045594</v>
      </c>
      <c r="K25" s="144">
        <f>'Volume Drivers'!L45</f>
        <v>1250.5626770270901</v>
      </c>
      <c r="L25" s="144">
        <f>'Volume Drivers'!M45</f>
        <v>1144.1218342505063</v>
      </c>
      <c r="M25" s="46"/>
    </row>
    <row r="26" spans="1:13" ht="17.5" customHeight="1" x14ac:dyDescent="0.5">
      <c r="B26" s="35" t="s">
        <v>413</v>
      </c>
      <c r="C26" s="176" t="s">
        <v>405</v>
      </c>
      <c r="D26" s="29" t="s">
        <v>103</v>
      </c>
      <c r="E26" s="141">
        <v>4005.90652661064</v>
      </c>
      <c r="F26" s="141">
        <v>4005.90652661064</v>
      </c>
      <c r="G26" s="141">
        <v>4005.90652661064</v>
      </c>
      <c r="H26" s="141">
        <v>4005.90652661064</v>
      </c>
      <c r="I26" s="141">
        <v>4005.90652661064</v>
      </c>
      <c r="J26" s="141">
        <v>4005.90652661064</v>
      </c>
      <c r="K26" s="141">
        <v>4005.90652661064</v>
      </c>
      <c r="L26" s="141">
        <v>4005.90652661064</v>
      </c>
      <c r="M26" s="46"/>
    </row>
    <row r="27" spans="1:13" x14ac:dyDescent="0.5">
      <c r="B27" s="178" t="s">
        <v>187</v>
      </c>
      <c r="C27" s="179" t="s">
        <v>102</v>
      </c>
      <c r="D27" s="179" t="s">
        <v>103</v>
      </c>
      <c r="E27" s="180">
        <f>(E23*E24+E25*E26)/10^6</f>
        <v>21.38965614999999</v>
      </c>
      <c r="F27" s="180">
        <f t="shared" ref="F27:L27" si="2">(F23*F24+F25*F26)/10^6</f>
        <v>20.890438293999992</v>
      </c>
      <c r="G27" s="180">
        <f t="shared" si="2"/>
        <v>20.497648063999993</v>
      </c>
      <c r="H27" s="180">
        <f t="shared" si="2"/>
        <v>19.570685602094855</v>
      </c>
      <c r="I27" s="180">
        <f t="shared" si="2"/>
        <v>18.747580173962298</v>
      </c>
      <c r="J27" s="180">
        <f t="shared" si="2"/>
        <v>18.008284772893138</v>
      </c>
      <c r="K27" s="180">
        <f t="shared" si="2"/>
        <v>17.337820648838495</v>
      </c>
      <c r="L27" s="180">
        <f t="shared" si="2"/>
        <v>16.724835871061838</v>
      </c>
      <c r="M27" s="172"/>
    </row>
    <row r="29" spans="1:13" ht="17" thickBot="1" x14ac:dyDescent="0.55000000000000004">
      <c r="B29" s="27" t="s">
        <v>399</v>
      </c>
      <c r="C29" s="27" t="s">
        <v>91</v>
      </c>
    </row>
    <row r="30" spans="1:13" x14ac:dyDescent="0.5">
      <c r="B30" s="35" t="s">
        <v>412</v>
      </c>
      <c r="C30" s="204" t="s">
        <v>414</v>
      </c>
    </row>
    <row r="31" spans="1:13" x14ac:dyDescent="0.5">
      <c r="B31" s="35" t="s">
        <v>413</v>
      </c>
      <c r="C31" s="204" t="s">
        <v>414</v>
      </c>
    </row>
    <row r="33" spans="1:13" ht="19" thickBot="1" x14ac:dyDescent="0.55000000000000004">
      <c r="A33" s="14" t="s">
        <v>415</v>
      </c>
    </row>
    <row r="34" spans="1:13" ht="17" thickTop="1" x14ac:dyDescent="0.5"/>
    <row r="35" spans="1:13" ht="17" thickBot="1" x14ac:dyDescent="0.55000000000000004">
      <c r="B35" s="27" t="s">
        <v>32</v>
      </c>
      <c r="C35" s="27" t="s">
        <v>96</v>
      </c>
      <c r="D35" s="27" t="s">
        <v>97</v>
      </c>
      <c r="E35" s="27"/>
      <c r="F35" s="11">
        <v>2025</v>
      </c>
      <c r="G35" s="11">
        <v>2026</v>
      </c>
      <c r="H35" s="12">
        <v>2027</v>
      </c>
      <c r="I35" s="12">
        <v>2028</v>
      </c>
      <c r="J35" s="12">
        <v>2029</v>
      </c>
      <c r="K35" s="12">
        <v>2030</v>
      </c>
      <c r="L35" s="12">
        <v>2031</v>
      </c>
      <c r="M35" s="162" t="s">
        <v>366</v>
      </c>
    </row>
    <row r="36" spans="1:13" x14ac:dyDescent="0.5">
      <c r="B36" s="8" t="s">
        <v>416</v>
      </c>
      <c r="C36" s="29" t="s">
        <v>102</v>
      </c>
      <c r="D36" s="29" t="s">
        <v>103</v>
      </c>
      <c r="E36" s="51"/>
      <c r="F36" s="51"/>
      <c r="G36" s="51"/>
      <c r="H36" s="141">
        <v>180.25879958189489</v>
      </c>
      <c r="I36" s="141">
        <v>222.66030814739912</v>
      </c>
      <c r="J36" s="141">
        <v>222.66048484694991</v>
      </c>
      <c r="K36" s="141">
        <v>222.66066154664091</v>
      </c>
      <c r="L36" s="141">
        <v>222.66083824647217</v>
      </c>
      <c r="M36" s="198">
        <f>SUM(H36:L36)</f>
        <v>1070.901092369357</v>
      </c>
    </row>
    <row r="37" spans="1:13" x14ac:dyDescent="0.5">
      <c r="B37" s="183" t="s">
        <v>417</v>
      </c>
      <c r="C37" s="176" t="s">
        <v>102</v>
      </c>
      <c r="D37" s="176" t="s">
        <v>103</v>
      </c>
      <c r="E37" s="184"/>
      <c r="F37" s="184"/>
      <c r="G37" s="184"/>
      <c r="H37" s="200">
        <v>20.8</v>
      </c>
      <c r="I37" s="200">
        <v>20.8</v>
      </c>
      <c r="J37" s="200">
        <v>20.8</v>
      </c>
      <c r="K37" s="177">
        <v>20.8</v>
      </c>
      <c r="L37" s="177">
        <v>20.8</v>
      </c>
      <c r="M37" s="196">
        <f>SUM(H37:L37)</f>
        <v>104</v>
      </c>
    </row>
    <row r="38" spans="1:13" x14ac:dyDescent="0.5">
      <c r="B38" s="8" t="s">
        <v>418</v>
      </c>
      <c r="C38" s="29" t="s">
        <v>102</v>
      </c>
      <c r="D38" s="29" t="s">
        <v>103</v>
      </c>
      <c r="E38" s="51"/>
      <c r="F38" s="51"/>
      <c r="G38" s="192"/>
      <c r="H38" s="199">
        <f>H36-H37</f>
        <v>159.45879958189488</v>
      </c>
      <c r="I38" s="199">
        <f t="shared" ref="I38:L38" si="3">I36-I37</f>
        <v>201.86030814739911</v>
      </c>
      <c r="J38" s="199">
        <f t="shared" si="3"/>
        <v>201.8604848469499</v>
      </c>
      <c r="K38" s="199">
        <f t="shared" si="3"/>
        <v>201.8606615466409</v>
      </c>
      <c r="L38" s="199">
        <f t="shared" si="3"/>
        <v>201.86083824647216</v>
      </c>
      <c r="M38" s="198">
        <f>SUM(H38:L38)</f>
        <v>966.901092369357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9AC26-0EB7-4FA5-B61A-61FF5B37181D}">
  <sheetPr>
    <tabColor theme="4"/>
  </sheetPr>
  <dimension ref="A1:Y92"/>
  <sheetViews>
    <sheetView topLeftCell="A16" zoomScale="82" workbookViewId="0">
      <selection activeCell="F26" sqref="F26"/>
    </sheetView>
  </sheetViews>
  <sheetFormatPr defaultColWidth="8.90625" defaultRowHeight="16.5" x14ac:dyDescent="0.5"/>
  <cols>
    <col min="1" max="13" width="20.6328125" customWidth="1"/>
    <col min="14" max="14" width="26.90625" customWidth="1"/>
    <col min="15" max="24" width="10.90625" customWidth="1"/>
  </cols>
  <sheetData>
    <row r="1" spans="1:7" ht="23" thickBot="1" x14ac:dyDescent="0.7">
      <c r="A1" s="13" t="s">
        <v>419</v>
      </c>
    </row>
    <row r="2" spans="1:7" ht="17" thickTop="1" x14ac:dyDescent="0.5"/>
    <row r="5" spans="1:7" ht="17" thickBot="1" x14ac:dyDescent="0.55000000000000004">
      <c r="B5" s="11" t="s">
        <v>339</v>
      </c>
      <c r="C5" s="11" t="s">
        <v>341</v>
      </c>
      <c r="D5" s="11" t="s">
        <v>96</v>
      </c>
      <c r="E5" s="11" t="s">
        <v>97</v>
      </c>
      <c r="F5" s="85" t="s">
        <v>420</v>
      </c>
      <c r="G5" s="85" t="s">
        <v>421</v>
      </c>
    </row>
    <row r="6" spans="1:7" x14ac:dyDescent="0.5">
      <c r="B6" s="8" t="s">
        <v>197</v>
      </c>
      <c r="C6" s="28" t="s">
        <v>346</v>
      </c>
      <c r="D6" s="29" t="s">
        <v>344</v>
      </c>
      <c r="E6" s="29" t="s">
        <v>103</v>
      </c>
      <c r="F6" s="98">
        <f>ORCs!G7+ORCs!G10</f>
        <v>13940.454264380553</v>
      </c>
      <c r="G6" s="107">
        <f t="shared" ref="G6:G17" si="0">F6/F$23</f>
        <v>5.3756395493292704E-2</v>
      </c>
    </row>
    <row r="7" spans="1:7" x14ac:dyDescent="0.5">
      <c r="B7" s="8" t="s">
        <v>198</v>
      </c>
      <c r="C7" s="28" t="s">
        <v>346</v>
      </c>
      <c r="D7" s="29" t="s">
        <v>344</v>
      </c>
      <c r="E7" s="29" t="s">
        <v>103</v>
      </c>
      <c r="F7" s="98">
        <f>ORCs!G16+ORCs!G19</f>
        <v>2617.2936918909759</v>
      </c>
      <c r="G7" s="107">
        <f t="shared" si="0"/>
        <v>1.0092660694916268E-2</v>
      </c>
    </row>
    <row r="8" spans="1:7" x14ac:dyDescent="0.5">
      <c r="B8" s="8" t="s">
        <v>199</v>
      </c>
      <c r="C8" s="28" t="s">
        <v>346</v>
      </c>
      <c r="D8" s="29" t="s">
        <v>344</v>
      </c>
      <c r="E8" s="29" t="s">
        <v>103</v>
      </c>
      <c r="F8" s="98">
        <f>ORCs!G25+ORCs!G28</f>
        <v>1288.9416652547466</v>
      </c>
      <c r="G8" s="107">
        <f t="shared" si="0"/>
        <v>4.9703443382227777E-3</v>
      </c>
    </row>
    <row r="9" spans="1:7" x14ac:dyDescent="0.5">
      <c r="B9" s="8" t="s">
        <v>118</v>
      </c>
      <c r="C9" s="28" t="s">
        <v>346</v>
      </c>
      <c r="D9" s="29" t="s">
        <v>344</v>
      </c>
      <c r="E9" s="29" t="s">
        <v>103</v>
      </c>
      <c r="F9" s="98">
        <f>ORCs!G34+ORCs!G37</f>
        <v>25039.999999999996</v>
      </c>
      <c r="G9" s="107">
        <f t="shared" si="0"/>
        <v>9.6557839337516146E-2</v>
      </c>
    </row>
    <row r="10" spans="1:7" x14ac:dyDescent="0.5">
      <c r="B10" s="8" t="s">
        <v>200</v>
      </c>
      <c r="C10" s="28" t="s">
        <v>346</v>
      </c>
      <c r="D10" s="29" t="s">
        <v>344</v>
      </c>
      <c r="E10" s="29" t="s">
        <v>103</v>
      </c>
      <c r="F10" s="98">
        <f>ORCs!G43+ORCs!G46</f>
        <v>1194</v>
      </c>
      <c r="G10" s="107">
        <f t="shared" si="0"/>
        <v>4.6042356297521679E-3</v>
      </c>
    </row>
    <row r="11" spans="1:7" x14ac:dyDescent="0.5">
      <c r="B11" s="8" t="s">
        <v>201</v>
      </c>
      <c r="C11" s="28" t="s">
        <v>346</v>
      </c>
      <c r="D11" s="29" t="s">
        <v>344</v>
      </c>
      <c r="E11" s="29" t="s">
        <v>103</v>
      </c>
      <c r="F11" s="98">
        <f>ORCs!G52+ORCs!G55</f>
        <v>2849.0000000000018</v>
      </c>
      <c r="G11" s="107">
        <f t="shared" si="0"/>
        <v>1.0986153525262927E-2</v>
      </c>
    </row>
    <row r="12" spans="1:7" x14ac:dyDescent="0.5">
      <c r="B12" s="8" t="s">
        <v>202</v>
      </c>
      <c r="C12" s="28" t="s">
        <v>346</v>
      </c>
      <c r="D12" s="29" t="s">
        <v>344</v>
      </c>
      <c r="E12" s="29" t="s">
        <v>103</v>
      </c>
      <c r="F12" s="98">
        <f>ORCs!G61+ORCs!G64</f>
        <v>1105.5058235198353</v>
      </c>
      <c r="G12" s="107">
        <f t="shared" si="0"/>
        <v>4.2629893647810205E-3</v>
      </c>
    </row>
    <row r="13" spans="1:7" x14ac:dyDescent="0.5">
      <c r="B13" s="8" t="s">
        <v>203</v>
      </c>
      <c r="C13" s="28" t="s">
        <v>346</v>
      </c>
      <c r="D13" s="29" t="s">
        <v>344</v>
      </c>
      <c r="E13" s="29" t="s">
        <v>103</v>
      </c>
      <c r="F13" s="98">
        <f>ORCs!G70</f>
        <v>123395</v>
      </c>
      <c r="G13" s="107">
        <f t="shared" si="0"/>
        <v>0.47582885723054336</v>
      </c>
    </row>
    <row r="14" spans="1:7" x14ac:dyDescent="0.5">
      <c r="B14" s="8" t="s">
        <v>204</v>
      </c>
      <c r="C14" s="28" t="s">
        <v>346</v>
      </c>
      <c r="D14" s="29" t="s">
        <v>344</v>
      </c>
      <c r="E14" s="29" t="s">
        <v>103</v>
      </c>
      <c r="F14" s="98">
        <f>ORCs!G76</f>
        <v>11020</v>
      </c>
      <c r="G14" s="107">
        <f t="shared" si="0"/>
        <v>4.2494704053491539E-2</v>
      </c>
    </row>
    <row r="15" spans="1:7" x14ac:dyDescent="0.5">
      <c r="B15" s="8" t="s">
        <v>205</v>
      </c>
      <c r="C15" s="28" t="s">
        <v>346</v>
      </c>
      <c r="D15" s="29" t="s">
        <v>344</v>
      </c>
      <c r="E15" s="29" t="s">
        <v>103</v>
      </c>
      <c r="F15" s="98">
        <f>ORCs!G82</f>
        <v>65749.736999999994</v>
      </c>
      <c r="G15" s="107">
        <f t="shared" si="0"/>
        <v>0.25354043697004558</v>
      </c>
    </row>
    <row r="16" spans="1:7" x14ac:dyDescent="0.5">
      <c r="B16" s="8" t="s">
        <v>206</v>
      </c>
      <c r="C16" s="28" t="s">
        <v>346</v>
      </c>
      <c r="D16" s="29" t="s">
        <v>344</v>
      </c>
      <c r="E16" s="29" t="s">
        <v>103</v>
      </c>
      <c r="F16" s="98">
        <f>ORCs!G88</f>
        <v>610.5</v>
      </c>
      <c r="G16" s="107">
        <f t="shared" si="0"/>
        <v>2.3541757554134831E-3</v>
      </c>
    </row>
    <row r="17" spans="1:25" x14ac:dyDescent="0.5">
      <c r="B17" s="8" t="s">
        <v>207</v>
      </c>
      <c r="C17" s="28" t="s">
        <v>346</v>
      </c>
      <c r="D17" s="29" t="s">
        <v>344</v>
      </c>
      <c r="E17" s="29" t="s">
        <v>103</v>
      </c>
      <c r="F17" s="98">
        <f>ORCs!G94</f>
        <v>9538</v>
      </c>
      <c r="G17" s="107">
        <f t="shared" si="0"/>
        <v>3.6779899025608194E-2</v>
      </c>
    </row>
    <row r="18" spans="1:25" x14ac:dyDescent="0.5">
      <c r="B18" s="8" t="s">
        <v>208</v>
      </c>
      <c r="C18" s="28" t="s">
        <v>346</v>
      </c>
      <c r="D18" s="29" t="s">
        <v>344</v>
      </c>
      <c r="E18" s="29" t="s">
        <v>103</v>
      </c>
      <c r="F18" s="98">
        <f>ORCs!G100</f>
        <v>978</v>
      </c>
      <c r="G18" s="107">
        <f>F18/F$23</f>
        <v>3.7713085811537858E-3</v>
      </c>
    </row>
    <row r="19" spans="1:25" x14ac:dyDescent="0.5">
      <c r="B19" s="8" t="s">
        <v>240</v>
      </c>
      <c r="C19" s="28" t="s">
        <v>346</v>
      </c>
      <c r="D19" s="29" t="s">
        <v>344</v>
      </c>
      <c r="E19" s="29" t="s">
        <v>103</v>
      </c>
      <c r="F19" s="98"/>
      <c r="G19" s="107"/>
    </row>
    <row r="20" spans="1:25" x14ac:dyDescent="0.5">
      <c r="B20" s="8" t="s">
        <v>240</v>
      </c>
      <c r="C20" s="28" t="s">
        <v>346</v>
      </c>
      <c r="D20" s="29" t="s">
        <v>344</v>
      </c>
      <c r="E20" s="29" t="s">
        <v>103</v>
      </c>
      <c r="F20" s="98"/>
      <c r="G20" s="107"/>
    </row>
    <row r="21" spans="1:25" x14ac:dyDescent="0.5">
      <c r="B21" s="8" t="s">
        <v>240</v>
      </c>
      <c r="C21" s="28" t="s">
        <v>346</v>
      </c>
      <c r="D21" s="29" t="s">
        <v>344</v>
      </c>
      <c r="E21" s="29" t="s">
        <v>103</v>
      </c>
      <c r="F21" s="98"/>
      <c r="G21" s="107"/>
    </row>
    <row r="22" spans="1:25" ht="17" thickBot="1" x14ac:dyDescent="0.55000000000000004">
      <c r="B22" s="48" t="s">
        <v>240</v>
      </c>
      <c r="C22" s="79" t="s">
        <v>346</v>
      </c>
      <c r="D22" s="37" t="s">
        <v>344</v>
      </c>
      <c r="E22" s="37" t="s">
        <v>103</v>
      </c>
      <c r="F22" s="99"/>
      <c r="G22" s="108"/>
    </row>
    <row r="23" spans="1:25" x14ac:dyDescent="0.5">
      <c r="B23" s="8" t="s">
        <v>397</v>
      </c>
      <c r="C23" s="28" t="s">
        <v>346</v>
      </c>
      <c r="D23" s="29" t="s">
        <v>344</v>
      </c>
      <c r="E23" s="29" t="s">
        <v>103</v>
      </c>
      <c r="F23" s="98">
        <f>SUM(F6:F22)</f>
        <v>259326.43244504611</v>
      </c>
      <c r="G23" s="109">
        <f>SUM(G6:G22)</f>
        <v>1</v>
      </c>
    </row>
    <row r="24" spans="1:25" x14ac:dyDescent="0.5">
      <c r="B24" s="8" t="s">
        <v>397</v>
      </c>
      <c r="C24" s="28" t="s">
        <v>346</v>
      </c>
      <c r="D24" s="29" t="s">
        <v>102</v>
      </c>
      <c r="E24" s="29" t="s">
        <v>103</v>
      </c>
      <c r="F24" s="98">
        <f>F23/1000</f>
        <v>259.32643244504612</v>
      </c>
      <c r="G24" s="109"/>
    </row>
    <row r="25" spans="1:25" x14ac:dyDescent="0.5">
      <c r="B25" s="8" t="s">
        <v>422</v>
      </c>
      <c r="C25" s="28" t="s">
        <v>346</v>
      </c>
      <c r="D25" s="29" t="s">
        <v>102</v>
      </c>
      <c r="E25" s="29" t="s">
        <v>103</v>
      </c>
      <c r="F25" s="128">
        <v>263.3</v>
      </c>
      <c r="G25" s="89"/>
    </row>
    <row r="26" spans="1:25" x14ac:dyDescent="0.5">
      <c r="B26" s="8" t="s">
        <v>423</v>
      </c>
      <c r="C26" s="28"/>
      <c r="D26" s="29"/>
      <c r="E26" s="29"/>
      <c r="F26" s="107">
        <f>(Baseline!G19-Baseline!G15)/(Baseline!F19-Baseline!F15)</f>
        <v>0.95652025737499324</v>
      </c>
      <c r="G26" s="109"/>
      <c r="H26" s="146"/>
      <c r="I26" s="146"/>
      <c r="J26" s="146"/>
      <c r="K26" s="146"/>
      <c r="L26" s="146"/>
      <c r="M26" s="146"/>
      <c r="N26" s="146"/>
      <c r="O26" s="146"/>
      <c r="P26" s="146"/>
      <c r="Q26" s="146"/>
      <c r="R26" s="146"/>
      <c r="S26" s="146"/>
      <c r="T26" s="146"/>
      <c r="U26" s="146"/>
      <c r="V26" s="146"/>
      <c r="W26" s="146"/>
      <c r="X26" s="146"/>
      <c r="Y26" s="146"/>
    </row>
    <row r="27" spans="1:25" x14ac:dyDescent="0.5">
      <c r="B27" s="8" t="s">
        <v>424</v>
      </c>
      <c r="C27" s="28" t="s">
        <v>346</v>
      </c>
      <c r="D27" s="29" t="s">
        <v>102</v>
      </c>
      <c r="E27" s="29" t="s">
        <v>103</v>
      </c>
      <c r="F27" s="98">
        <f>F25*F26</f>
        <v>251.85178376683572</v>
      </c>
      <c r="G27" s="109"/>
    </row>
    <row r="29" spans="1:25" ht="19" thickBot="1" x14ac:dyDescent="0.55000000000000004">
      <c r="A29" s="14" t="s">
        <v>425</v>
      </c>
    </row>
    <row r="30" spans="1:25" ht="17" thickTop="1" x14ac:dyDescent="0.5"/>
    <row r="31" spans="1:25" ht="17" thickBot="1" x14ac:dyDescent="0.55000000000000004">
      <c r="B31" s="11" t="s">
        <v>339</v>
      </c>
      <c r="C31" s="11"/>
      <c r="D31" s="11" t="s">
        <v>96</v>
      </c>
      <c r="E31" s="11" t="s">
        <v>97</v>
      </c>
      <c r="F31" s="11">
        <v>2024</v>
      </c>
    </row>
    <row r="32" spans="1:25" x14ac:dyDescent="0.5">
      <c r="B32" s="8" t="s">
        <v>426</v>
      </c>
      <c r="C32" s="8"/>
      <c r="D32" s="29" t="s">
        <v>102</v>
      </c>
      <c r="E32" s="127" t="s">
        <v>103</v>
      </c>
      <c r="F32" s="111">
        <f>F27</f>
        <v>251.85178376683572</v>
      </c>
    </row>
    <row r="33" spans="1:13" ht="17" thickBot="1" x14ac:dyDescent="0.55000000000000004">
      <c r="B33" s="86" t="s">
        <v>427</v>
      </c>
      <c r="C33" s="48"/>
      <c r="D33" s="37" t="s">
        <v>102</v>
      </c>
      <c r="E33" s="37" t="s">
        <v>103</v>
      </c>
      <c r="F33" s="100">
        <f>OPEX!F165-OPEX!F140</f>
        <v>1403.3283554334062</v>
      </c>
    </row>
    <row r="34" spans="1:13" x14ac:dyDescent="0.5">
      <c r="B34" s="8" t="s">
        <v>428</v>
      </c>
      <c r="C34" s="8"/>
      <c r="D34" s="64" t="s">
        <v>350</v>
      </c>
      <c r="E34" s="8"/>
      <c r="F34" s="112">
        <f>F32/F33</f>
        <v>0.17946746589400556</v>
      </c>
    </row>
    <row r="37" spans="1:13" ht="19" thickBot="1" x14ac:dyDescent="0.55000000000000004">
      <c r="A37" s="14" t="s">
        <v>429</v>
      </c>
    </row>
    <row r="38" spans="1:13" ht="17" thickTop="1" x14ac:dyDescent="0.5"/>
    <row r="39" spans="1:13" ht="17" thickBot="1" x14ac:dyDescent="0.55000000000000004">
      <c r="B39" s="11" t="s">
        <v>339</v>
      </c>
      <c r="C39" s="11"/>
      <c r="D39" s="11" t="s">
        <v>96</v>
      </c>
      <c r="E39" s="11" t="s">
        <v>97</v>
      </c>
      <c r="F39" s="12">
        <v>2024</v>
      </c>
      <c r="G39" s="12">
        <v>2025</v>
      </c>
      <c r="H39" s="12">
        <v>2026</v>
      </c>
      <c r="I39" s="12">
        <v>2027</v>
      </c>
      <c r="J39" s="12">
        <v>2028</v>
      </c>
      <c r="K39" s="12">
        <v>2029</v>
      </c>
      <c r="L39" s="12">
        <v>2030</v>
      </c>
      <c r="M39" s="12">
        <v>2031</v>
      </c>
    </row>
    <row r="40" spans="1:13" x14ac:dyDescent="0.5">
      <c r="B40" s="8" t="s">
        <v>192</v>
      </c>
      <c r="C40" s="8"/>
      <c r="D40" s="29" t="s">
        <v>102</v>
      </c>
      <c r="E40" s="127" t="s">
        <v>103</v>
      </c>
      <c r="F40" s="114"/>
      <c r="G40" s="98">
        <f>OPEX!G165-OPEX!G140</f>
        <v>1402.3626139700214</v>
      </c>
      <c r="H40" s="98">
        <f>OPEX!H165-OPEX!H140</f>
        <v>1398.7773285530677</v>
      </c>
      <c r="I40" s="98">
        <f>OPEX!I165-OPEX!I140</f>
        <v>1396.6733832882426</v>
      </c>
      <c r="J40" s="98">
        <f>OPEX!J165-OPEX!J140</f>
        <v>1388.4506067592679</v>
      </c>
      <c r="K40" s="98">
        <f>OPEX!K165-OPEX!K140</f>
        <v>1380.5965725201238</v>
      </c>
      <c r="L40" s="98">
        <f>OPEX!L165-OPEX!L140</f>
        <v>1368.3827741077819</v>
      </c>
      <c r="M40" s="98">
        <f>OPEX!M165-OPEX!M140</f>
        <v>1360.7040094504712</v>
      </c>
    </row>
    <row r="41" spans="1:13" ht="17" thickBot="1" x14ac:dyDescent="0.55000000000000004">
      <c r="B41" s="48" t="s">
        <v>430</v>
      </c>
      <c r="C41" s="48"/>
      <c r="D41" s="37" t="s">
        <v>350</v>
      </c>
      <c r="E41" s="37"/>
      <c r="F41" s="115"/>
      <c r="G41" s="113">
        <f t="shared" ref="G41:M41" si="1">$F34</f>
        <v>0.17946746589400556</v>
      </c>
      <c r="H41" s="113">
        <f t="shared" si="1"/>
        <v>0.17946746589400556</v>
      </c>
      <c r="I41" s="113">
        <f t="shared" si="1"/>
        <v>0.17946746589400556</v>
      </c>
      <c r="J41" s="113">
        <f t="shared" si="1"/>
        <v>0.17946746589400556</v>
      </c>
      <c r="K41" s="113">
        <f t="shared" si="1"/>
        <v>0.17946746589400556</v>
      </c>
      <c r="L41" s="113">
        <f t="shared" si="1"/>
        <v>0.17946746589400556</v>
      </c>
      <c r="M41" s="113">
        <f t="shared" si="1"/>
        <v>0.17946746589400556</v>
      </c>
    </row>
    <row r="42" spans="1:13" x14ac:dyDescent="0.5">
      <c r="B42" s="8" t="s">
        <v>431</v>
      </c>
      <c r="C42" s="8"/>
      <c r="D42" s="29" t="s">
        <v>102</v>
      </c>
      <c r="E42" s="29" t="str">
        <f>[1]Assumptions!C$58</f>
        <v>Prices of the year</v>
      </c>
      <c r="F42" s="116"/>
      <c r="G42" s="111">
        <f t="shared" ref="G42:M42" si="2">G40*G41</f>
        <v>251.67846459369329</v>
      </c>
      <c r="H42" s="111">
        <f t="shared" si="2"/>
        <v>251.03502250540589</v>
      </c>
      <c r="I42" s="111">
        <f t="shared" si="2"/>
        <v>250.65743278034802</v>
      </c>
      <c r="J42" s="111">
        <f t="shared" si="2"/>
        <v>249.18171191408024</v>
      </c>
      <c r="K42" s="111">
        <f t="shared" si="2"/>
        <v>247.77216829213629</v>
      </c>
      <c r="L42" s="111">
        <f t="shared" si="2"/>
        <v>245.58018884213305</v>
      </c>
      <c r="M42" s="111">
        <f t="shared" si="2"/>
        <v>244.20210040788905</v>
      </c>
    </row>
    <row r="44" spans="1:13" ht="19" thickBot="1" x14ac:dyDescent="0.55000000000000004">
      <c r="A44" s="14" t="s">
        <v>432</v>
      </c>
    </row>
    <row r="45" spans="1:13" ht="17" thickTop="1" x14ac:dyDescent="0.5"/>
    <row r="46" spans="1:13" ht="17" thickBot="1" x14ac:dyDescent="0.55000000000000004">
      <c r="B46" s="11" t="s">
        <v>196</v>
      </c>
      <c r="C46" s="11" t="s">
        <v>341</v>
      </c>
      <c r="D46" s="11" t="s">
        <v>96</v>
      </c>
      <c r="E46" s="11" t="s">
        <v>97</v>
      </c>
      <c r="F46" s="12">
        <v>2024</v>
      </c>
      <c r="G46" s="12">
        <v>2025</v>
      </c>
      <c r="H46" s="12">
        <v>2026</v>
      </c>
      <c r="I46" s="12">
        <v>2027</v>
      </c>
      <c r="J46" s="12">
        <v>2028</v>
      </c>
      <c r="K46" s="12">
        <v>2029</v>
      </c>
      <c r="L46" s="12">
        <v>2030</v>
      </c>
      <c r="M46" s="12">
        <v>2031</v>
      </c>
    </row>
    <row r="47" spans="1:13" x14ac:dyDescent="0.5">
      <c r="B47" s="8" t="s">
        <v>197</v>
      </c>
      <c r="C47" s="28" t="s">
        <v>346</v>
      </c>
      <c r="D47" s="29" t="s">
        <v>102</v>
      </c>
      <c r="E47" s="29" t="s">
        <v>103</v>
      </c>
      <c r="F47" s="114"/>
      <c r="G47" s="98">
        <f t="shared" ref="G47:M47" si="3">G$42*$G6</f>
        <v>13.529327079843242</v>
      </c>
      <c r="H47" s="98">
        <f t="shared" si="3"/>
        <v>13.494737952468233</v>
      </c>
      <c r="I47" s="98">
        <f t="shared" si="3"/>
        <v>13.474440089873818</v>
      </c>
      <c r="J47" s="98">
        <f t="shared" si="3"/>
        <v>13.395110655349024</v>
      </c>
      <c r="K47" s="98">
        <f t="shared" si="3"/>
        <v>13.319338670942756</v>
      </c>
      <c r="L47" s="98">
        <f t="shared" si="3"/>
        <v>13.201505756715212</v>
      </c>
      <c r="M47" s="98">
        <f t="shared" si="3"/>
        <v>13.127424689819259</v>
      </c>
    </row>
    <row r="48" spans="1:13" x14ac:dyDescent="0.5">
      <c r="B48" s="8" t="s">
        <v>198</v>
      </c>
      <c r="C48" s="28" t="s">
        <v>346</v>
      </c>
      <c r="D48" s="29" t="s">
        <v>102</v>
      </c>
      <c r="E48" s="29" t="s">
        <v>103</v>
      </c>
      <c r="F48" s="114"/>
      <c r="G48" s="98">
        <f t="shared" ref="G48:M59" si="4">G$42*$G7</f>
        <v>2.540105347361644</v>
      </c>
      <c r="H48" s="98">
        <f t="shared" si="4"/>
        <v>2.5336113046877311</v>
      </c>
      <c r="I48" s="98">
        <f t="shared" si="4"/>
        <v>2.5298004197108352</v>
      </c>
      <c r="J48" s="98">
        <f t="shared" si="4"/>
        <v>2.5149064697271863</v>
      </c>
      <c r="K48" s="98">
        <f t="shared" si="4"/>
        <v>2.5006804242162226</v>
      </c>
      <c r="L48" s="98">
        <f t="shared" si="4"/>
        <v>2.478557519377111</v>
      </c>
      <c r="M48" s="98">
        <f t="shared" si="4"/>
        <v>2.4646489404026979</v>
      </c>
    </row>
    <row r="49" spans="1:13" x14ac:dyDescent="0.5">
      <c r="B49" s="8" t="s">
        <v>199</v>
      </c>
      <c r="C49" s="28" t="s">
        <v>346</v>
      </c>
      <c r="D49" s="29" t="s">
        <v>102</v>
      </c>
      <c r="E49" s="29" t="s">
        <v>103</v>
      </c>
      <c r="F49" s="114"/>
      <c r="G49" s="98">
        <f t="shared" si="4"/>
        <v>1.2509286315458652</v>
      </c>
      <c r="H49" s="98">
        <f t="shared" si="4"/>
        <v>1.2477305028053718</v>
      </c>
      <c r="I49" s="98">
        <f t="shared" si="4"/>
        <v>1.2458537518532593</v>
      </c>
      <c r="J49" s="98">
        <f t="shared" si="4"/>
        <v>1.2385189110008079</v>
      </c>
      <c r="K49" s="98">
        <f t="shared" si="4"/>
        <v>1.2315129938400009</v>
      </c>
      <c r="L49" s="98">
        <f t="shared" si="4"/>
        <v>1.2206181011911765</v>
      </c>
      <c r="M49" s="98">
        <f t="shared" si="4"/>
        <v>1.2137685271444616</v>
      </c>
    </row>
    <row r="50" spans="1:13" x14ac:dyDescent="0.5">
      <c r="B50" s="8" t="s">
        <v>118</v>
      </c>
      <c r="C50" s="28" t="s">
        <v>346</v>
      </c>
      <c r="D50" s="29" t="s">
        <v>102</v>
      </c>
      <c r="E50" s="29" t="s">
        <v>103</v>
      </c>
      <c r="F50" s="114"/>
      <c r="G50" s="98">
        <f t="shared" si="4"/>
        <v>24.301528748950584</v>
      </c>
      <c r="H50" s="98">
        <f t="shared" si="4"/>
        <v>24.239399371166733</v>
      </c>
      <c r="I50" s="98">
        <f t="shared" si="4"/>
        <v>24.202940123159095</v>
      </c>
      <c r="J50" s="98">
        <f t="shared" si="4"/>
        <v>24.060447704846993</v>
      </c>
      <c r="K50" s="98">
        <f t="shared" si="4"/>
        <v>23.924345218260108</v>
      </c>
      <c r="L50" s="98">
        <f t="shared" si="4"/>
        <v>23.712692418695561</v>
      </c>
      <c r="M50" s="98">
        <f t="shared" si="4"/>
        <v>23.579627177068936</v>
      </c>
    </row>
    <row r="51" spans="1:13" x14ac:dyDescent="0.5">
      <c r="B51" s="8" t="s">
        <v>200</v>
      </c>
      <c r="C51" s="28" t="s">
        <v>346</v>
      </c>
      <c r="D51" s="29" t="s">
        <v>102</v>
      </c>
      <c r="E51" s="29" t="s">
        <v>103</v>
      </c>
      <c r="F51" s="114"/>
      <c r="G51" s="98">
        <f t="shared" si="4"/>
        <v>1.1587869539236022</v>
      </c>
      <c r="H51" s="98">
        <f t="shared" si="4"/>
        <v>1.1558243949350271</v>
      </c>
      <c r="I51" s="98">
        <f t="shared" si="4"/>
        <v>1.1540858828694873</v>
      </c>
      <c r="J51" s="98">
        <f t="shared" si="4"/>
        <v>1.1472913162774485</v>
      </c>
      <c r="K51" s="98">
        <f t="shared" si="4"/>
        <v>1.1408014453116042</v>
      </c>
      <c r="L51" s="98">
        <f t="shared" si="4"/>
        <v>1.1307090554282149</v>
      </c>
      <c r="M51" s="98">
        <f t="shared" si="4"/>
        <v>1.1243640115583191</v>
      </c>
    </row>
    <row r="52" spans="1:13" x14ac:dyDescent="0.5">
      <c r="B52" s="8" t="s">
        <v>201</v>
      </c>
      <c r="C52" s="28" t="s">
        <v>346</v>
      </c>
      <c r="D52" s="29" t="s">
        <v>102</v>
      </c>
      <c r="E52" s="29" t="s">
        <v>103</v>
      </c>
      <c r="F52" s="114"/>
      <c r="G52" s="98">
        <f t="shared" si="4"/>
        <v>2.7649782510287642</v>
      </c>
      <c r="H52" s="98">
        <f t="shared" si="4"/>
        <v>2.757909297462223</v>
      </c>
      <c r="I52" s="98">
        <f t="shared" si="4"/>
        <v>2.7537610387731757</v>
      </c>
      <c r="J52" s="98">
        <f t="shared" si="4"/>
        <v>2.7375485427759236</v>
      </c>
      <c r="K52" s="98">
        <f t="shared" si="4"/>
        <v>2.7220630801446921</v>
      </c>
      <c r="L52" s="98">
        <f t="shared" si="4"/>
        <v>2.6979816573827353</v>
      </c>
      <c r="M52" s="98">
        <f t="shared" si="4"/>
        <v>2.6828417662727415</v>
      </c>
    </row>
    <row r="53" spans="1:13" x14ac:dyDescent="0.5">
      <c r="B53" s="8" t="s">
        <v>202</v>
      </c>
      <c r="C53" s="28" t="s">
        <v>346</v>
      </c>
      <c r="D53" s="29" t="s">
        <v>102</v>
      </c>
      <c r="E53" s="29" t="s">
        <v>103</v>
      </c>
      <c r="F53" s="114"/>
      <c r="G53" s="98">
        <f t="shared" si="4"/>
        <v>1.0729026179073311</v>
      </c>
      <c r="H53" s="98">
        <f t="shared" si="4"/>
        <v>1.0701596311281094</v>
      </c>
      <c r="I53" s="98">
        <f t="shared" si="4"/>
        <v>1.0685499701459371</v>
      </c>
      <c r="J53" s="98">
        <f t="shared" si="4"/>
        <v>1.0622589877876523</v>
      </c>
      <c r="K53" s="98">
        <f t="shared" si="4"/>
        <v>1.0562501183181101</v>
      </c>
      <c r="L53" s="98">
        <f t="shared" si="4"/>
        <v>1.0469057332349279</v>
      </c>
      <c r="M53" s="98">
        <f t="shared" si="4"/>
        <v>1.0410309568960179</v>
      </c>
    </row>
    <row r="54" spans="1:13" x14ac:dyDescent="0.5">
      <c r="B54" s="8" t="s">
        <v>203</v>
      </c>
      <c r="C54" s="28" t="s">
        <v>346</v>
      </c>
      <c r="D54" s="29" t="s">
        <v>102</v>
      </c>
      <c r="E54" s="29" t="s">
        <v>103</v>
      </c>
      <c r="F54" s="114"/>
      <c r="G54" s="98">
        <f t="shared" si="4"/>
        <v>119.75587619715485</v>
      </c>
      <c r="H54" s="98">
        <f t="shared" si="4"/>
        <v>119.44970788359102</v>
      </c>
      <c r="I54" s="98">
        <f t="shared" si="4"/>
        <v>119.27003979621473</v>
      </c>
      <c r="J54" s="98">
        <f t="shared" si="4"/>
        <v>118.56784922282728</v>
      </c>
      <c r="K54" s="98">
        <f t="shared" si="4"/>
        <v>117.89714769198108</v>
      </c>
      <c r="L54" s="98">
        <f t="shared" si="4"/>
        <v>116.85414061521321</v>
      </c>
      <c r="M54" s="98">
        <f t="shared" si="4"/>
        <v>116.19840637038425</v>
      </c>
    </row>
    <row r="55" spans="1:13" x14ac:dyDescent="0.5">
      <c r="B55" s="8" t="s">
        <v>204</v>
      </c>
      <c r="C55" s="28" t="s">
        <v>346</v>
      </c>
      <c r="D55" s="29" t="s">
        <v>102</v>
      </c>
      <c r="E55" s="29" t="s">
        <v>103</v>
      </c>
      <c r="F55" s="114"/>
      <c r="G55" s="98">
        <f t="shared" si="4"/>
        <v>10.695001869546145</v>
      </c>
      <c r="H55" s="98">
        <f t="shared" si="4"/>
        <v>10.667658988428812</v>
      </c>
      <c r="I55" s="98">
        <f t="shared" si="4"/>
        <v>10.651613424808838</v>
      </c>
      <c r="J55" s="98">
        <f t="shared" si="4"/>
        <v>10.588903103331226</v>
      </c>
      <c r="K55" s="98">
        <f t="shared" si="4"/>
        <v>10.529004964266232</v>
      </c>
      <c r="L55" s="98">
        <f t="shared" si="4"/>
        <v>10.43585744624701</v>
      </c>
      <c r="M55" s="98">
        <f t="shared" si="4"/>
        <v>10.377295986074271</v>
      </c>
    </row>
    <row r="56" spans="1:13" x14ac:dyDescent="0.5">
      <c r="B56" s="8" t="s">
        <v>205</v>
      </c>
      <c r="C56" s="28" t="s">
        <v>346</v>
      </c>
      <c r="D56" s="29" t="s">
        <v>102</v>
      </c>
      <c r="E56" s="29" t="s">
        <v>103</v>
      </c>
      <c r="F56" s="114"/>
      <c r="G56" s="98">
        <f t="shared" si="4"/>
        <v>63.810667889035145</v>
      </c>
      <c r="H56" s="98">
        <f t="shared" si="4"/>
        <v>63.647529300805836</v>
      </c>
      <c r="I56" s="98">
        <f t="shared" si="4"/>
        <v>63.551795036919266</v>
      </c>
      <c r="J56" s="98">
        <f t="shared" si="4"/>
        <v>63.177640123639918</v>
      </c>
      <c r="K56" s="98">
        <f t="shared" si="4"/>
        <v>62.820263817803905</v>
      </c>
      <c r="L56" s="98">
        <f t="shared" si="4"/>
        <v>62.264508390220726</v>
      </c>
      <c r="M56" s="98">
        <f t="shared" si="4"/>
        <v>61.915107246419133</v>
      </c>
    </row>
    <row r="57" spans="1:13" x14ac:dyDescent="0.5">
      <c r="B57" s="8" t="s">
        <v>206</v>
      </c>
      <c r="C57" s="28" t="s">
        <v>346</v>
      </c>
      <c r="D57" s="29" t="s">
        <v>102</v>
      </c>
      <c r="E57" s="29" t="s">
        <v>103</v>
      </c>
      <c r="F57" s="114"/>
      <c r="G57" s="98">
        <f t="shared" si="4"/>
        <v>0.59249533950616351</v>
      </c>
      <c r="H57" s="98">
        <f t="shared" si="4"/>
        <v>0.59098056374190466</v>
      </c>
      <c r="I57" s="98">
        <f t="shared" si="4"/>
        <v>0.59009165116568019</v>
      </c>
      <c r="J57" s="98">
        <f t="shared" si="4"/>
        <v>0.58661754488055473</v>
      </c>
      <c r="K57" s="98">
        <f t="shared" si="4"/>
        <v>0.58329923145957663</v>
      </c>
      <c r="L57" s="98">
        <f t="shared" si="4"/>
        <v>0.57813892658201438</v>
      </c>
      <c r="M57" s="98">
        <f t="shared" si="4"/>
        <v>0.57489466420130142</v>
      </c>
    </row>
    <row r="58" spans="1:13" x14ac:dyDescent="0.5">
      <c r="B58" s="8" t="s">
        <v>207</v>
      </c>
      <c r="C58" s="28" t="s">
        <v>346</v>
      </c>
      <c r="D58" s="29" t="s">
        <v>102</v>
      </c>
      <c r="E58" s="29" t="s">
        <v>103</v>
      </c>
      <c r="F58" s="114"/>
      <c r="G58" s="98">
        <f t="shared" si="4"/>
        <v>9.2567085146761467</v>
      </c>
      <c r="H58" s="98">
        <f t="shared" si="4"/>
        <v>9.23304277964011</v>
      </c>
      <c r="I58" s="98">
        <f t="shared" si="4"/>
        <v>9.2191550676793739</v>
      </c>
      <c r="J58" s="98">
        <f t="shared" si="4"/>
        <v>9.1648782032280618</v>
      </c>
      <c r="K58" s="98">
        <f t="shared" si="4"/>
        <v>9.1130353311407735</v>
      </c>
      <c r="L58" s="98">
        <f t="shared" si="4"/>
        <v>9.0324145483034464</v>
      </c>
      <c r="M58" s="98">
        <f t="shared" si="4"/>
        <v>8.9817285948435934</v>
      </c>
    </row>
    <row r="59" spans="1:13" x14ac:dyDescent="0.5">
      <c r="B59" s="8" t="s">
        <v>208</v>
      </c>
      <c r="C59" s="28" t="s">
        <v>346</v>
      </c>
      <c r="D59" s="29" t="s">
        <v>102</v>
      </c>
      <c r="E59" s="29" t="s">
        <v>103</v>
      </c>
      <c r="F59" s="114"/>
      <c r="G59" s="98">
        <f t="shared" si="4"/>
        <v>0.94915715321380478</v>
      </c>
      <c r="H59" s="98">
        <f t="shared" si="4"/>
        <v>0.94673053454477096</v>
      </c>
      <c r="I59" s="98">
        <f t="shared" si="4"/>
        <v>0.9453065271745047</v>
      </c>
      <c r="J59" s="98">
        <f t="shared" si="4"/>
        <v>0.93974112840816137</v>
      </c>
      <c r="K59" s="98">
        <f t="shared" si="4"/>
        <v>0.93442530445121352</v>
      </c>
      <c r="L59" s="98">
        <f t="shared" si="4"/>
        <v>0.92615867354170356</v>
      </c>
      <c r="M59" s="98">
        <f t="shared" si="4"/>
        <v>0.92096147680405038</v>
      </c>
    </row>
    <row r="61" spans="1:13" ht="19" thickBot="1" x14ac:dyDescent="0.55000000000000004">
      <c r="A61" s="14" t="s">
        <v>433</v>
      </c>
    </row>
    <row r="62" spans="1:13" ht="17" thickTop="1" x14ac:dyDescent="0.5"/>
    <row r="63" spans="1:13" ht="17" thickBot="1" x14ac:dyDescent="0.55000000000000004">
      <c r="B63" s="11" t="s">
        <v>196</v>
      </c>
      <c r="C63" s="11" t="s">
        <v>341</v>
      </c>
      <c r="D63" s="11" t="s">
        <v>96</v>
      </c>
      <c r="E63" s="11" t="s">
        <v>97</v>
      </c>
      <c r="F63" s="12">
        <v>2024</v>
      </c>
      <c r="G63" s="12">
        <v>2025</v>
      </c>
      <c r="H63" s="12">
        <v>2026</v>
      </c>
      <c r="I63" s="12">
        <v>2027</v>
      </c>
      <c r="J63" s="12">
        <v>2028</v>
      </c>
      <c r="K63" s="12">
        <v>2029</v>
      </c>
      <c r="L63" s="12">
        <v>2030</v>
      </c>
      <c r="M63" s="12">
        <v>2031</v>
      </c>
    </row>
    <row r="64" spans="1:13" x14ac:dyDescent="0.5">
      <c r="B64" s="8" t="s">
        <v>434</v>
      </c>
      <c r="C64" s="28"/>
      <c r="D64" s="29" t="s">
        <v>102</v>
      </c>
      <c r="E64" s="29" t="s">
        <v>103</v>
      </c>
      <c r="F64" s="114"/>
      <c r="G64" s="18"/>
      <c r="H64" s="18"/>
      <c r="I64" s="141">
        <v>9.91</v>
      </c>
      <c r="J64" s="141">
        <v>9.91</v>
      </c>
      <c r="K64" s="141">
        <v>9.91</v>
      </c>
      <c r="L64" s="141">
        <v>9.91</v>
      </c>
      <c r="M64" s="141">
        <v>9.91</v>
      </c>
    </row>
    <row r="65" spans="1:13" x14ac:dyDescent="0.5">
      <c r="B65" s="8" t="s">
        <v>435</v>
      </c>
      <c r="C65" s="28"/>
      <c r="D65" s="29" t="s">
        <v>102</v>
      </c>
      <c r="E65" s="29" t="s">
        <v>103</v>
      </c>
      <c r="F65" s="114"/>
      <c r="G65" s="128"/>
      <c r="H65" s="128"/>
      <c r="I65" s="141">
        <v>1.35</v>
      </c>
      <c r="J65" s="141">
        <v>1.35</v>
      </c>
      <c r="K65" s="141">
        <v>1.35</v>
      </c>
      <c r="L65" s="141">
        <v>1.35</v>
      </c>
      <c r="M65" s="141">
        <v>1.35</v>
      </c>
    </row>
    <row r="66" spans="1:13" ht="17" thickBot="1" x14ac:dyDescent="0.55000000000000004">
      <c r="B66" s="48" t="s">
        <v>436</v>
      </c>
      <c r="C66" s="48"/>
      <c r="D66" s="37" t="s">
        <v>102</v>
      </c>
      <c r="E66" s="37" t="s">
        <v>103</v>
      </c>
      <c r="F66" s="48"/>
      <c r="G66" s="155">
        <f>Overlays!F12</f>
        <v>0</v>
      </c>
      <c r="H66" s="155">
        <f>Overlays!G12</f>
        <v>0</v>
      </c>
      <c r="I66" s="155">
        <f>Overlays!H12</f>
        <v>1.9895560195958293</v>
      </c>
      <c r="J66" s="155">
        <f>Overlays!I12</f>
        <v>2.562790538885257</v>
      </c>
      <c r="K66" s="155">
        <f>Overlays!J12</f>
        <v>2.562790538885257</v>
      </c>
      <c r="L66" s="155">
        <f>Overlays!K12</f>
        <v>3.1596573447640015</v>
      </c>
      <c r="M66" s="155">
        <f>Overlays!L12</f>
        <v>3.1596573447640015</v>
      </c>
    </row>
    <row r="67" spans="1:13" x14ac:dyDescent="0.5">
      <c r="B67" s="8" t="s">
        <v>209</v>
      </c>
      <c r="C67" s="8"/>
      <c r="D67" s="29" t="s">
        <v>102</v>
      </c>
      <c r="E67" s="29" t="s">
        <v>103</v>
      </c>
      <c r="F67" s="8"/>
      <c r="G67" s="75">
        <f>SUM(G64:G66)</f>
        <v>0</v>
      </c>
      <c r="H67" s="75">
        <f t="shared" ref="H67:M67" si="5">SUM(H64:H66)</f>
        <v>0</v>
      </c>
      <c r="I67" s="75">
        <f t="shared" si="5"/>
        <v>13.249556019595829</v>
      </c>
      <c r="J67" s="75">
        <f t="shared" si="5"/>
        <v>13.822790538885258</v>
      </c>
      <c r="K67" s="75">
        <f t="shared" si="5"/>
        <v>13.822790538885258</v>
      </c>
      <c r="L67" s="75">
        <f t="shared" si="5"/>
        <v>14.419657344764001</v>
      </c>
      <c r="M67" s="75">
        <f t="shared" si="5"/>
        <v>14.419657344764001</v>
      </c>
    </row>
    <row r="68" spans="1:13" x14ac:dyDescent="0.5">
      <c r="I68" s="120"/>
      <c r="J68" s="120"/>
      <c r="K68" s="120"/>
      <c r="L68" s="120"/>
      <c r="M68" s="120"/>
    </row>
    <row r="69" spans="1:13" ht="19" thickBot="1" x14ac:dyDescent="0.55000000000000004">
      <c r="A69" s="14" t="s">
        <v>437</v>
      </c>
    </row>
    <row r="70" spans="1:13" ht="17" thickTop="1" x14ac:dyDescent="0.5"/>
    <row r="71" spans="1:13" ht="17" thickBot="1" x14ac:dyDescent="0.55000000000000004">
      <c r="B71" s="11" t="s">
        <v>196</v>
      </c>
      <c r="C71" s="11" t="s">
        <v>341</v>
      </c>
      <c r="D71" s="11" t="s">
        <v>96</v>
      </c>
      <c r="E71" s="11" t="s">
        <v>97</v>
      </c>
      <c r="F71" s="12">
        <v>2024</v>
      </c>
      <c r="G71" s="12">
        <v>2025</v>
      </c>
      <c r="H71" s="12">
        <v>2026</v>
      </c>
      <c r="I71" s="12">
        <v>2027</v>
      </c>
      <c r="J71" s="12">
        <v>2028</v>
      </c>
      <c r="K71" s="12">
        <v>2029</v>
      </c>
      <c r="L71" s="12">
        <v>2030</v>
      </c>
      <c r="M71" s="12">
        <v>2031</v>
      </c>
    </row>
    <row r="72" spans="1:13" x14ac:dyDescent="0.5">
      <c r="B72" s="8" t="s">
        <v>197</v>
      </c>
      <c r="C72" s="28" t="s">
        <v>397</v>
      </c>
      <c r="D72" s="29" t="s">
        <v>102</v>
      </c>
      <c r="E72" s="29" t="s">
        <v>103</v>
      </c>
      <c r="F72" s="98">
        <f>SUM(ORCs!G5:G10)/10^3</f>
        <v>19.432707488019066</v>
      </c>
      <c r="G72" s="98">
        <f>G47</f>
        <v>13.529327079843242</v>
      </c>
      <c r="H72" s="98">
        <f t="shared" ref="H72:M72" si="6">H47</f>
        <v>13.494737952468233</v>
      </c>
      <c r="I72" s="98">
        <f t="shared" si="6"/>
        <v>13.474440089873818</v>
      </c>
      <c r="J72" s="98">
        <f t="shared" si="6"/>
        <v>13.395110655349024</v>
      </c>
      <c r="K72" s="98">
        <f t="shared" si="6"/>
        <v>13.319338670942756</v>
      </c>
      <c r="L72" s="98">
        <f t="shared" si="6"/>
        <v>13.201505756715212</v>
      </c>
      <c r="M72" s="98">
        <f t="shared" si="6"/>
        <v>13.127424689819259</v>
      </c>
    </row>
    <row r="73" spans="1:13" x14ac:dyDescent="0.5">
      <c r="B73" s="8" t="s">
        <v>198</v>
      </c>
      <c r="C73" s="28" t="s">
        <v>397</v>
      </c>
      <c r="D73" s="29" t="s">
        <v>102</v>
      </c>
      <c r="E73" s="29" t="s">
        <v>103</v>
      </c>
      <c r="F73" s="98">
        <f>SUM(ORCs!G14:G19)/10^3</f>
        <v>2.9244294529702164</v>
      </c>
      <c r="G73" s="98">
        <f t="shared" ref="G73:M84" si="7">G48</f>
        <v>2.540105347361644</v>
      </c>
      <c r="H73" s="98">
        <f t="shared" si="7"/>
        <v>2.5336113046877311</v>
      </c>
      <c r="I73" s="98">
        <f t="shared" si="7"/>
        <v>2.5298004197108352</v>
      </c>
      <c r="J73" s="98">
        <f t="shared" si="7"/>
        <v>2.5149064697271863</v>
      </c>
      <c r="K73" s="98">
        <f t="shared" si="7"/>
        <v>2.5006804242162226</v>
      </c>
      <c r="L73" s="98">
        <f t="shared" si="7"/>
        <v>2.478557519377111</v>
      </c>
      <c r="M73" s="98">
        <f t="shared" si="7"/>
        <v>2.4646489404026979</v>
      </c>
    </row>
    <row r="74" spans="1:13" x14ac:dyDescent="0.5">
      <c r="B74" s="8" t="s">
        <v>199</v>
      </c>
      <c r="C74" s="28" t="s">
        <v>397</v>
      </c>
      <c r="D74" s="29" t="s">
        <v>102</v>
      </c>
      <c r="E74" s="29" t="s">
        <v>103</v>
      </c>
      <c r="F74" s="98">
        <f>SUM(ORCs!G23:G28)/10^3</f>
        <v>1.47049400145982</v>
      </c>
      <c r="G74" s="98">
        <f t="shared" si="7"/>
        <v>1.2509286315458652</v>
      </c>
      <c r="H74" s="98">
        <f t="shared" si="7"/>
        <v>1.2477305028053718</v>
      </c>
      <c r="I74" s="98">
        <f t="shared" si="7"/>
        <v>1.2458537518532593</v>
      </c>
      <c r="J74" s="98">
        <f t="shared" si="7"/>
        <v>1.2385189110008079</v>
      </c>
      <c r="K74" s="98">
        <f t="shared" si="7"/>
        <v>1.2315129938400009</v>
      </c>
      <c r="L74" s="98">
        <f t="shared" si="7"/>
        <v>1.2206181011911765</v>
      </c>
      <c r="M74" s="98">
        <f t="shared" si="7"/>
        <v>1.2137685271444616</v>
      </c>
    </row>
    <row r="75" spans="1:13" x14ac:dyDescent="0.5">
      <c r="B75" s="8" t="s">
        <v>118</v>
      </c>
      <c r="C75" s="28" t="s">
        <v>397</v>
      </c>
      <c r="D75" s="29" t="s">
        <v>102</v>
      </c>
      <c r="E75" s="29" t="s">
        <v>103</v>
      </c>
      <c r="F75" s="98">
        <f>SUM(ORCs!G32:G37)/10^3</f>
        <v>39.620419593077692</v>
      </c>
      <c r="G75" s="98">
        <f t="shared" si="7"/>
        <v>24.301528748950584</v>
      </c>
      <c r="H75" s="98">
        <f t="shared" si="7"/>
        <v>24.239399371166733</v>
      </c>
      <c r="I75" s="98">
        <f t="shared" si="7"/>
        <v>24.202940123159095</v>
      </c>
      <c r="J75" s="98">
        <f t="shared" si="7"/>
        <v>24.060447704846993</v>
      </c>
      <c r="K75" s="98">
        <f t="shared" si="7"/>
        <v>23.924345218260108</v>
      </c>
      <c r="L75" s="98">
        <f t="shared" si="7"/>
        <v>23.712692418695561</v>
      </c>
      <c r="M75" s="98">
        <f t="shared" si="7"/>
        <v>23.579627177068936</v>
      </c>
    </row>
    <row r="76" spans="1:13" x14ac:dyDescent="0.5">
      <c r="B76" s="8" t="s">
        <v>200</v>
      </c>
      <c r="C76" s="28" t="s">
        <v>397</v>
      </c>
      <c r="D76" s="29" t="s">
        <v>102</v>
      </c>
      <c r="E76" s="29" t="s">
        <v>103</v>
      </c>
      <c r="F76" s="98">
        <f>SUM(ORCs!G41:G46)/10^3</f>
        <v>4.9154627389823693</v>
      </c>
      <c r="G76" s="98">
        <f t="shared" si="7"/>
        <v>1.1587869539236022</v>
      </c>
      <c r="H76" s="98">
        <f t="shared" si="7"/>
        <v>1.1558243949350271</v>
      </c>
      <c r="I76" s="98">
        <f t="shared" si="7"/>
        <v>1.1540858828694873</v>
      </c>
      <c r="J76" s="98">
        <f t="shared" si="7"/>
        <v>1.1472913162774485</v>
      </c>
      <c r="K76" s="98">
        <f t="shared" si="7"/>
        <v>1.1408014453116042</v>
      </c>
      <c r="L76" s="98">
        <f t="shared" si="7"/>
        <v>1.1307090554282149</v>
      </c>
      <c r="M76" s="98">
        <f t="shared" si="7"/>
        <v>1.1243640115583191</v>
      </c>
    </row>
    <row r="77" spans="1:13" x14ac:dyDescent="0.5">
      <c r="B77" s="8" t="s">
        <v>201</v>
      </c>
      <c r="C77" s="28" t="s">
        <v>397</v>
      </c>
      <c r="D77" s="29" t="s">
        <v>102</v>
      </c>
      <c r="E77" s="29" t="s">
        <v>103</v>
      </c>
      <c r="F77" s="98">
        <f>SUM(ORCs!G50:G55)/10^3</f>
        <v>3.0799448867157535</v>
      </c>
      <c r="G77" s="98">
        <f t="shared" si="7"/>
        <v>2.7649782510287642</v>
      </c>
      <c r="H77" s="98">
        <f t="shared" si="7"/>
        <v>2.757909297462223</v>
      </c>
      <c r="I77" s="98">
        <f t="shared" si="7"/>
        <v>2.7537610387731757</v>
      </c>
      <c r="J77" s="98">
        <f t="shared" si="7"/>
        <v>2.7375485427759236</v>
      </c>
      <c r="K77" s="98">
        <f t="shared" si="7"/>
        <v>2.7220630801446921</v>
      </c>
      <c r="L77" s="98">
        <f t="shared" si="7"/>
        <v>2.6979816573827353</v>
      </c>
      <c r="M77" s="98">
        <f t="shared" si="7"/>
        <v>2.6828417662727415</v>
      </c>
    </row>
    <row r="78" spans="1:13" x14ac:dyDescent="0.5">
      <c r="B78" s="8" t="s">
        <v>202</v>
      </c>
      <c r="C78" s="28" t="s">
        <v>397</v>
      </c>
      <c r="D78" s="29" t="s">
        <v>102</v>
      </c>
      <c r="E78" s="29" t="s">
        <v>103</v>
      </c>
      <c r="F78" s="98">
        <f>SUM(ORCs!G59:G64)/10^3</f>
        <v>2.1593937642123624</v>
      </c>
      <c r="G78" s="98">
        <f t="shared" si="7"/>
        <v>1.0729026179073311</v>
      </c>
      <c r="H78" s="98">
        <f t="shared" si="7"/>
        <v>1.0701596311281094</v>
      </c>
      <c r="I78" s="98">
        <f t="shared" si="7"/>
        <v>1.0685499701459371</v>
      </c>
      <c r="J78" s="98">
        <f t="shared" si="7"/>
        <v>1.0622589877876523</v>
      </c>
      <c r="K78" s="98">
        <f t="shared" si="7"/>
        <v>1.0562501183181101</v>
      </c>
      <c r="L78" s="98">
        <f t="shared" si="7"/>
        <v>1.0469057332349279</v>
      </c>
      <c r="M78" s="98">
        <f t="shared" si="7"/>
        <v>1.0410309568960179</v>
      </c>
    </row>
    <row r="79" spans="1:13" x14ac:dyDescent="0.5">
      <c r="B79" s="8" t="s">
        <v>203</v>
      </c>
      <c r="C79" s="28" t="s">
        <v>397</v>
      </c>
      <c r="D79" s="29" t="s">
        <v>102</v>
      </c>
      <c r="E79" s="29" t="s">
        <v>103</v>
      </c>
      <c r="F79" s="98">
        <f>SUM(ORCs!G68:G70)/10^3</f>
        <v>123.395</v>
      </c>
      <c r="G79" s="98">
        <f t="shared" si="7"/>
        <v>119.75587619715485</v>
      </c>
      <c r="H79" s="98">
        <f t="shared" si="7"/>
        <v>119.44970788359102</v>
      </c>
      <c r="I79" s="98">
        <f t="shared" si="7"/>
        <v>119.27003979621473</v>
      </c>
      <c r="J79" s="98">
        <f t="shared" si="7"/>
        <v>118.56784922282728</v>
      </c>
      <c r="K79" s="98">
        <f t="shared" si="7"/>
        <v>117.89714769198108</v>
      </c>
      <c r="L79" s="98">
        <f t="shared" si="7"/>
        <v>116.85414061521321</v>
      </c>
      <c r="M79" s="98">
        <f t="shared" si="7"/>
        <v>116.19840637038425</v>
      </c>
    </row>
    <row r="80" spans="1:13" x14ac:dyDescent="0.5">
      <c r="B80" s="8" t="s">
        <v>204</v>
      </c>
      <c r="C80" s="28" t="s">
        <v>397</v>
      </c>
      <c r="D80" s="29" t="s">
        <v>102</v>
      </c>
      <c r="E80" s="29" t="s">
        <v>103</v>
      </c>
      <c r="F80" s="98">
        <f>SUM(ORCs!G74:G76)/10^3</f>
        <v>11.02</v>
      </c>
      <c r="G80" s="98">
        <f t="shared" si="7"/>
        <v>10.695001869546145</v>
      </c>
      <c r="H80" s="98">
        <f t="shared" si="7"/>
        <v>10.667658988428812</v>
      </c>
      <c r="I80" s="98">
        <f t="shared" si="7"/>
        <v>10.651613424808838</v>
      </c>
      <c r="J80" s="98">
        <f t="shared" si="7"/>
        <v>10.588903103331226</v>
      </c>
      <c r="K80" s="98">
        <f t="shared" si="7"/>
        <v>10.529004964266232</v>
      </c>
      <c r="L80" s="98">
        <f t="shared" si="7"/>
        <v>10.43585744624701</v>
      </c>
      <c r="M80" s="98">
        <f t="shared" si="7"/>
        <v>10.377295986074271</v>
      </c>
    </row>
    <row r="81" spans="1:13" x14ac:dyDescent="0.5">
      <c r="B81" s="8" t="s">
        <v>205</v>
      </c>
      <c r="C81" s="28" t="s">
        <v>397</v>
      </c>
      <c r="D81" s="29" t="s">
        <v>102</v>
      </c>
      <c r="E81" s="29" t="s">
        <v>103</v>
      </c>
      <c r="F81" s="98">
        <f>SUM(ORCs!G80:G82)/10^3</f>
        <v>65.749736999999996</v>
      </c>
      <c r="G81" s="98">
        <f t="shared" si="7"/>
        <v>63.810667889035145</v>
      </c>
      <c r="H81" s="98">
        <f t="shared" si="7"/>
        <v>63.647529300805836</v>
      </c>
      <c r="I81" s="98">
        <f t="shared" si="7"/>
        <v>63.551795036919266</v>
      </c>
      <c r="J81" s="98">
        <f t="shared" si="7"/>
        <v>63.177640123639918</v>
      </c>
      <c r="K81" s="98">
        <f t="shared" si="7"/>
        <v>62.820263817803905</v>
      </c>
      <c r="L81" s="98">
        <f t="shared" si="7"/>
        <v>62.264508390220726</v>
      </c>
      <c r="M81" s="98">
        <f t="shared" si="7"/>
        <v>61.915107246419133</v>
      </c>
    </row>
    <row r="82" spans="1:13" x14ac:dyDescent="0.5">
      <c r="B82" s="8" t="s">
        <v>206</v>
      </c>
      <c r="C82" s="28" t="s">
        <v>397</v>
      </c>
      <c r="D82" s="29" t="s">
        <v>102</v>
      </c>
      <c r="E82" s="29" t="s">
        <v>103</v>
      </c>
      <c r="F82" s="98">
        <f>SUM(ORCs!G86:G88)/10^3</f>
        <v>0.61050000000000004</v>
      </c>
      <c r="G82" s="98">
        <f t="shared" si="7"/>
        <v>0.59249533950616351</v>
      </c>
      <c r="H82" s="98">
        <f t="shared" si="7"/>
        <v>0.59098056374190466</v>
      </c>
      <c r="I82" s="98">
        <f t="shared" si="7"/>
        <v>0.59009165116568019</v>
      </c>
      <c r="J82" s="98">
        <f t="shared" si="7"/>
        <v>0.58661754488055473</v>
      </c>
      <c r="K82" s="98">
        <f t="shared" si="7"/>
        <v>0.58329923145957663</v>
      </c>
      <c r="L82" s="98">
        <f t="shared" si="7"/>
        <v>0.57813892658201438</v>
      </c>
      <c r="M82" s="98">
        <f t="shared" si="7"/>
        <v>0.57489466420130142</v>
      </c>
    </row>
    <row r="83" spans="1:13" x14ac:dyDescent="0.5">
      <c r="B83" s="8" t="s">
        <v>207</v>
      </c>
      <c r="C83" s="28" t="s">
        <v>397</v>
      </c>
      <c r="D83" s="29" t="s">
        <v>102</v>
      </c>
      <c r="E83" s="29" t="s">
        <v>103</v>
      </c>
      <c r="F83" s="98">
        <f>SUM(ORCs!G92:G94)/10^3</f>
        <v>9.5380000000000003</v>
      </c>
      <c r="G83" s="98">
        <f t="shared" si="7"/>
        <v>9.2567085146761467</v>
      </c>
      <c r="H83" s="98">
        <f t="shared" si="7"/>
        <v>9.23304277964011</v>
      </c>
      <c r="I83" s="98">
        <f t="shared" si="7"/>
        <v>9.2191550676793739</v>
      </c>
      <c r="J83" s="98">
        <f t="shared" si="7"/>
        <v>9.1648782032280618</v>
      </c>
      <c r="K83" s="98">
        <f t="shared" si="7"/>
        <v>9.1130353311407735</v>
      </c>
      <c r="L83" s="98">
        <f t="shared" si="7"/>
        <v>9.0324145483034464</v>
      </c>
      <c r="M83" s="98">
        <f t="shared" si="7"/>
        <v>8.9817285948435934</v>
      </c>
    </row>
    <row r="84" spans="1:13" x14ac:dyDescent="0.5">
      <c r="B84" s="8" t="s">
        <v>208</v>
      </c>
      <c r="C84" s="28" t="s">
        <v>397</v>
      </c>
      <c r="D84" s="29" t="s">
        <v>102</v>
      </c>
      <c r="E84" s="29" t="s">
        <v>103</v>
      </c>
      <c r="F84" s="98">
        <f>SUM(ORCs!G98:G100)/10^3</f>
        <v>0.97799999999999998</v>
      </c>
      <c r="G84" s="98">
        <f t="shared" si="7"/>
        <v>0.94915715321380478</v>
      </c>
      <c r="H84" s="98">
        <f t="shared" si="7"/>
        <v>0.94673053454477096</v>
      </c>
      <c r="I84" s="98">
        <f t="shared" si="7"/>
        <v>0.9453065271745047</v>
      </c>
      <c r="J84" s="98">
        <f t="shared" si="7"/>
        <v>0.93974112840816137</v>
      </c>
      <c r="K84" s="98">
        <f t="shared" si="7"/>
        <v>0.93442530445121352</v>
      </c>
      <c r="L84" s="98">
        <f t="shared" si="7"/>
        <v>0.92615867354170356</v>
      </c>
      <c r="M84" s="98">
        <f t="shared" si="7"/>
        <v>0.92096147680405038</v>
      </c>
    </row>
    <row r="85" spans="1:13" ht="17" thickBot="1" x14ac:dyDescent="0.55000000000000004">
      <c r="B85" s="48" t="s">
        <v>209</v>
      </c>
      <c r="C85" s="79"/>
      <c r="D85" s="37" t="s">
        <v>102</v>
      </c>
      <c r="E85" s="37" t="s">
        <v>103</v>
      </c>
      <c r="F85" s="121"/>
      <c r="G85" s="99">
        <f>G67</f>
        <v>0</v>
      </c>
      <c r="H85" s="99">
        <f t="shared" ref="H85:M85" si="8">H67</f>
        <v>0</v>
      </c>
      <c r="I85" s="99">
        <f>I67</f>
        <v>13.249556019595829</v>
      </c>
      <c r="J85" s="99">
        <f t="shared" si="8"/>
        <v>13.822790538885258</v>
      </c>
      <c r="K85" s="99">
        <f t="shared" si="8"/>
        <v>13.822790538885258</v>
      </c>
      <c r="L85" s="99">
        <f t="shared" si="8"/>
        <v>14.419657344764001</v>
      </c>
      <c r="M85" s="99">
        <f t="shared" si="8"/>
        <v>14.419657344764001</v>
      </c>
    </row>
    <row r="86" spans="1:13" x14ac:dyDescent="0.5">
      <c r="B86" s="8" t="s">
        <v>210</v>
      </c>
      <c r="C86" s="28" t="s">
        <v>397</v>
      </c>
      <c r="D86" s="29" t="s">
        <v>102</v>
      </c>
      <c r="E86" s="29" t="s">
        <v>103</v>
      </c>
      <c r="F86" s="98">
        <f>SUM(F72:F84)</f>
        <v>284.8940889254373</v>
      </c>
      <c r="G86" s="98">
        <f t="shared" ref="G86:L86" si="9">SUM(G72:G85)</f>
        <v>251.67846459369326</v>
      </c>
      <c r="H86" s="98">
        <f t="shared" si="9"/>
        <v>251.03502250540589</v>
      </c>
      <c r="I86" s="98">
        <f t="shared" si="9"/>
        <v>263.9069887999438</v>
      </c>
      <c r="J86" s="98">
        <f t="shared" si="9"/>
        <v>263.00450245296554</v>
      </c>
      <c r="K86" s="98">
        <f t="shared" si="9"/>
        <v>261.59495883102153</v>
      </c>
      <c r="L86" s="98">
        <f t="shared" si="9"/>
        <v>259.99984618689706</v>
      </c>
      <c r="M86" s="98">
        <f>SUM(M72:M85)</f>
        <v>258.62175775265302</v>
      </c>
    </row>
    <row r="87" spans="1:13" x14ac:dyDescent="0.5">
      <c r="M87" s="119"/>
    </row>
    <row r="88" spans="1:13" ht="19" thickBot="1" x14ac:dyDescent="0.55000000000000004">
      <c r="A88" s="14"/>
      <c r="G88" s="170"/>
      <c r="H88" s="170"/>
      <c r="I88" s="172"/>
      <c r="J88" s="172"/>
      <c r="K88" s="172"/>
      <c r="L88" s="172"/>
      <c r="M88" s="172"/>
    </row>
    <row r="89" spans="1:13" ht="17" thickTop="1" x14ac:dyDescent="0.5">
      <c r="G89" s="170"/>
      <c r="H89" s="170"/>
      <c r="I89" s="171"/>
      <c r="J89" s="171"/>
      <c r="K89" s="171"/>
      <c r="L89" s="171"/>
      <c r="M89" s="171"/>
    </row>
    <row r="90" spans="1:13" x14ac:dyDescent="0.5">
      <c r="I90" s="171"/>
      <c r="J90" s="171"/>
      <c r="K90" s="171"/>
      <c r="L90" s="171"/>
      <c r="M90" s="171"/>
    </row>
    <row r="91" spans="1:13" x14ac:dyDescent="0.5">
      <c r="I91" s="171"/>
      <c r="J91" s="171"/>
      <c r="K91" s="171"/>
      <c r="L91" s="171"/>
      <c r="M91" s="171"/>
    </row>
    <row r="92" spans="1:13" x14ac:dyDescent="0.5">
      <c r="I92" s="172"/>
      <c r="J92" s="172"/>
      <c r="K92" s="172"/>
      <c r="L92" s="172"/>
      <c r="M92" s="172"/>
    </row>
  </sheetData>
  <phoneticPr fontId="27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8EF14-6CC0-4316-8A30-23FDD4E4F982}">
  <sheetPr>
    <tabColor theme="8" tint="0.79998168889431442"/>
  </sheetPr>
  <dimension ref="A1:M52"/>
  <sheetViews>
    <sheetView zoomScale="75" zoomScaleNormal="55" workbookViewId="0">
      <selection activeCell="H11" sqref="H11"/>
    </sheetView>
  </sheetViews>
  <sheetFormatPr defaultColWidth="8.90625" defaultRowHeight="16.5" x14ac:dyDescent="0.5"/>
  <cols>
    <col min="2" max="4" width="15.6328125" customWidth="1"/>
    <col min="5" max="12" width="10.6328125" customWidth="1"/>
  </cols>
  <sheetData>
    <row r="1" spans="1:13" ht="19" thickBot="1" x14ac:dyDescent="0.6">
      <c r="A1" s="205" t="s">
        <v>438</v>
      </c>
    </row>
    <row r="2" spans="1:13" ht="17" thickTop="1" x14ac:dyDescent="0.5">
      <c r="M2" s="119"/>
    </row>
    <row r="3" spans="1:13" ht="17" thickBot="1" x14ac:dyDescent="0.55000000000000004">
      <c r="B3" s="27" t="s">
        <v>98</v>
      </c>
      <c r="C3" s="27" t="s">
        <v>96</v>
      </c>
      <c r="D3" s="50" t="s">
        <v>97</v>
      </c>
      <c r="E3" s="11" t="s">
        <v>36</v>
      </c>
      <c r="F3" s="119" t="s">
        <v>439</v>
      </c>
      <c r="G3" s="119" t="s">
        <v>440</v>
      </c>
      <c r="H3" s="119"/>
      <c r="I3" s="119"/>
      <c r="J3" s="119"/>
      <c r="K3" s="119"/>
      <c r="L3" s="119"/>
      <c r="M3" s="119"/>
    </row>
    <row r="4" spans="1:13" x14ac:dyDescent="0.5">
      <c r="B4" s="8" t="s">
        <v>104</v>
      </c>
      <c r="C4" s="29" t="s">
        <v>350</v>
      </c>
      <c r="D4" s="29" t="s">
        <v>103</v>
      </c>
      <c r="E4" s="111">
        <f>Summary!F223</f>
        <v>445.51</v>
      </c>
      <c r="F4" s="189">
        <v>0.4</v>
      </c>
      <c r="G4" s="206">
        <f>F4/E4</f>
        <v>8.9784741083252903E-4</v>
      </c>
      <c r="H4" s="119"/>
      <c r="I4" s="119"/>
      <c r="J4" s="119"/>
      <c r="K4" s="119"/>
      <c r="L4" s="119"/>
      <c r="M4" s="119"/>
    </row>
    <row r="5" spans="1:13" x14ac:dyDescent="0.5">
      <c r="B5" s="8" t="s">
        <v>112</v>
      </c>
      <c r="C5" s="29" t="s">
        <v>350</v>
      </c>
      <c r="D5" s="29" t="s">
        <v>103</v>
      </c>
      <c r="E5" s="111">
        <f>Summary!F224</f>
        <v>235.42</v>
      </c>
      <c r="F5" s="189"/>
      <c r="G5" s="206">
        <f t="shared" ref="G5:G9" si="0">F5/E5</f>
        <v>0</v>
      </c>
      <c r="H5" s="119"/>
      <c r="I5" s="119"/>
      <c r="J5" s="119"/>
      <c r="K5" s="119"/>
      <c r="L5" s="119"/>
      <c r="M5" s="119"/>
    </row>
    <row r="6" spans="1:13" x14ac:dyDescent="0.5">
      <c r="B6" s="8" t="s">
        <v>117</v>
      </c>
      <c r="C6" s="29" t="s">
        <v>350</v>
      </c>
      <c r="D6" s="29" t="s">
        <v>103</v>
      </c>
      <c r="E6" s="111">
        <f>Summary!F225</f>
        <v>116.37</v>
      </c>
      <c r="F6" s="189"/>
      <c r="G6" s="206">
        <f t="shared" si="0"/>
        <v>0</v>
      </c>
      <c r="H6" s="119"/>
      <c r="I6" s="119"/>
      <c r="J6" s="119"/>
      <c r="K6" s="119"/>
      <c r="L6" s="119"/>
      <c r="M6" s="119"/>
    </row>
    <row r="7" spans="1:13" x14ac:dyDescent="0.5">
      <c r="B7" s="8" t="s">
        <v>119</v>
      </c>
      <c r="C7" s="29" t="s">
        <v>350</v>
      </c>
      <c r="D7" s="29" t="s">
        <v>103</v>
      </c>
      <c r="E7" s="111">
        <f>Summary!F226</f>
        <v>109.40999999999998</v>
      </c>
      <c r="F7" s="189"/>
      <c r="G7" s="206">
        <f t="shared" si="0"/>
        <v>0</v>
      </c>
      <c r="H7" s="119"/>
      <c r="I7" s="119"/>
      <c r="J7" s="119"/>
      <c r="K7" s="119"/>
      <c r="L7" s="119"/>
      <c r="M7" s="119"/>
    </row>
    <row r="8" spans="1:13" x14ac:dyDescent="0.5">
      <c r="B8" s="8" t="s">
        <v>124</v>
      </c>
      <c r="C8" s="29" t="s">
        <v>350</v>
      </c>
      <c r="D8" s="29" t="s">
        <v>103</v>
      </c>
      <c r="E8" s="111">
        <f>Summary!F227</f>
        <v>33.119999999999997</v>
      </c>
      <c r="F8" s="189"/>
      <c r="G8" s="206">
        <f t="shared" si="0"/>
        <v>0</v>
      </c>
      <c r="H8" s="119"/>
      <c r="I8" s="119"/>
      <c r="J8" s="119"/>
      <c r="K8" s="119"/>
      <c r="L8" s="119"/>
      <c r="M8" s="119"/>
    </row>
    <row r="9" spans="1:13" x14ac:dyDescent="0.5">
      <c r="B9" s="8" t="s">
        <v>125</v>
      </c>
      <c r="C9" s="29" t="s">
        <v>350</v>
      </c>
      <c r="D9" s="29" t="s">
        <v>103</v>
      </c>
      <c r="E9" s="111">
        <f>Summary!F228</f>
        <v>25.64</v>
      </c>
      <c r="F9" s="189"/>
      <c r="G9" s="206">
        <f t="shared" si="0"/>
        <v>0</v>
      </c>
      <c r="H9" s="119"/>
      <c r="I9" s="119"/>
      <c r="J9" s="119"/>
      <c r="K9" s="119"/>
      <c r="L9" s="119"/>
      <c r="M9" s="119"/>
    </row>
    <row r="10" spans="1:13" x14ac:dyDescent="0.5">
      <c r="B10" s="8" t="s">
        <v>127</v>
      </c>
      <c r="C10" s="29" t="s">
        <v>350</v>
      </c>
      <c r="D10" s="29" t="s">
        <v>103</v>
      </c>
      <c r="E10" s="111">
        <f>Summary!F229</f>
        <v>554.22835543340591</v>
      </c>
      <c r="F10" s="189">
        <v>10.199999999999999</v>
      </c>
      <c r="G10" s="206">
        <f>F10/E10</f>
        <v>1.8403966343482393E-2</v>
      </c>
      <c r="H10" s="119"/>
      <c r="I10" s="119"/>
      <c r="J10" s="119"/>
      <c r="K10" s="119"/>
      <c r="L10" s="119"/>
      <c r="M10" s="119"/>
    </row>
    <row r="11" spans="1:13" x14ac:dyDescent="0.5">
      <c r="B11" s="119"/>
      <c r="C11" s="119"/>
      <c r="D11" s="119"/>
      <c r="E11" s="119"/>
      <c r="F11" s="119"/>
      <c r="G11" s="119"/>
      <c r="H11" s="119"/>
      <c r="I11" s="119"/>
      <c r="J11" s="119"/>
      <c r="K11" s="119"/>
      <c r="L11" s="119"/>
      <c r="M11" s="119"/>
    </row>
    <row r="12" spans="1:13" ht="17" thickBot="1" x14ac:dyDescent="0.55000000000000004">
      <c r="B12" s="27" t="s">
        <v>98</v>
      </c>
      <c r="C12" s="27" t="s">
        <v>96</v>
      </c>
      <c r="D12" s="27" t="s">
        <v>97</v>
      </c>
      <c r="E12" s="11">
        <v>2024</v>
      </c>
      <c r="F12" s="11">
        <v>2025</v>
      </c>
      <c r="G12" s="11">
        <f>F12+1</f>
        <v>2026</v>
      </c>
      <c r="H12" s="11">
        <f t="shared" ref="H12:K12" si="1">G12+1</f>
        <v>2027</v>
      </c>
      <c r="I12" s="11">
        <f t="shared" si="1"/>
        <v>2028</v>
      </c>
      <c r="J12" s="11">
        <f t="shared" si="1"/>
        <v>2029</v>
      </c>
      <c r="K12" s="11">
        <f t="shared" si="1"/>
        <v>2030</v>
      </c>
      <c r="L12" s="11">
        <f>K12+1</f>
        <v>2031</v>
      </c>
      <c r="M12" s="218" t="s">
        <v>190</v>
      </c>
    </row>
    <row r="13" spans="1:13" x14ac:dyDescent="0.5">
      <c r="B13" s="8" t="s">
        <v>104</v>
      </c>
      <c r="C13" s="29" t="s">
        <v>102</v>
      </c>
      <c r="D13" s="29" t="s">
        <v>103</v>
      </c>
      <c r="E13" s="105">
        <f>Summary!F223*(1-$G4)</f>
        <v>445.10999999999996</v>
      </c>
      <c r="F13" s="105">
        <f>Summary!G223*(1-$G4)</f>
        <v>448.82109535394756</v>
      </c>
      <c r="G13" s="105">
        <f>Summary!H223*(1-$G4)</f>
        <v>449.72340641548345</v>
      </c>
      <c r="H13" s="105">
        <f>Summary!I223*(1-$G4)</f>
        <v>446.79102982912701</v>
      </c>
      <c r="I13" s="105">
        <f>Summary!J223*(1-$G4)</f>
        <v>443.92828430937692</v>
      </c>
      <c r="J13" s="105">
        <f>Summary!K223*(1-$G4)</f>
        <v>441.65999975984232</v>
      </c>
      <c r="K13" s="105">
        <f>Summary!L223*(1-$G4)</f>
        <v>440.00730240441703</v>
      </c>
      <c r="L13" s="105">
        <f>Summary!M223*(1-$G4)</f>
        <v>438.14866789620498</v>
      </c>
      <c r="M13" s="119">
        <f>SUM(H13:L13)</f>
        <v>2210.5352841989684</v>
      </c>
    </row>
    <row r="14" spans="1:13" x14ac:dyDescent="0.5">
      <c r="B14" s="8" t="s">
        <v>112</v>
      </c>
      <c r="C14" s="29" t="s">
        <v>102</v>
      </c>
      <c r="D14" s="29" t="s">
        <v>103</v>
      </c>
      <c r="E14" s="105">
        <f>Summary!F224*(1-$G5)</f>
        <v>235.42</v>
      </c>
      <c r="F14" s="105">
        <f>Summary!G224*(1-$G5)</f>
        <v>233.54827999549275</v>
      </c>
      <c r="G14" s="105">
        <f>Summary!H224*(1-$G5)</f>
        <v>231.45164797620043</v>
      </c>
      <c r="H14" s="105">
        <f>Summary!I224*(1-$G5)</f>
        <v>229.20339070566877</v>
      </c>
      <c r="I14" s="105">
        <f>Summary!J224*(1-$G5)</f>
        <v>226.92839016741894</v>
      </c>
      <c r="J14" s="105">
        <f>Summary!K224*(1-$G5)</f>
        <v>224.70513897741444</v>
      </c>
      <c r="K14" s="105">
        <f>Summary!L224*(1-$G5)</f>
        <v>222.54524730585865</v>
      </c>
      <c r="L14" s="105">
        <f>Summary!M224*(1-$G5)</f>
        <v>220.40612623293981</v>
      </c>
      <c r="M14" s="119">
        <f t="shared" ref="M14:M19" si="2">SUM(H14:L14)</f>
        <v>1123.7882933893006</v>
      </c>
    </row>
    <row r="15" spans="1:13" x14ac:dyDescent="0.5">
      <c r="B15" s="8" t="s">
        <v>117</v>
      </c>
      <c r="C15" s="29" t="s">
        <v>102</v>
      </c>
      <c r="D15" s="29" t="s">
        <v>103</v>
      </c>
      <c r="E15" s="105">
        <f>Summary!F225*(1-$G6)</f>
        <v>116.37</v>
      </c>
      <c r="F15" s="116"/>
      <c r="G15" s="116"/>
      <c r="H15" s="105">
        <f>Summary!I225*(1-$G6)</f>
        <v>159.45879958189488</v>
      </c>
      <c r="I15" s="105">
        <f>Summary!J225*(1-$G6)</f>
        <v>201.86030814739911</v>
      </c>
      <c r="J15" s="105">
        <f>Summary!K225*(1-$G6)</f>
        <v>201.8604848469499</v>
      </c>
      <c r="K15" s="105">
        <f>Summary!L225*(1-$G6)</f>
        <v>201.8606615466409</v>
      </c>
      <c r="L15" s="105">
        <f>Summary!M225*(1-$G6)</f>
        <v>201.86083824647216</v>
      </c>
      <c r="M15" s="119">
        <f t="shared" si="2"/>
        <v>966.901092369357</v>
      </c>
    </row>
    <row r="16" spans="1:13" x14ac:dyDescent="0.5">
      <c r="B16" s="8" t="s">
        <v>119</v>
      </c>
      <c r="C16" s="29" t="s">
        <v>102</v>
      </c>
      <c r="D16" s="29" t="s">
        <v>103</v>
      </c>
      <c r="E16" s="105">
        <f>Summary!F226*(1-$G7)</f>
        <v>109.40999999999998</v>
      </c>
      <c r="F16" s="105">
        <f>Summary!G226*(1-$G7)</f>
        <v>109.61907089846582</v>
      </c>
      <c r="G16" s="105">
        <f>Summary!H226*(1-$G7)</f>
        <v>110.03903329776962</v>
      </c>
      <c r="H16" s="105">
        <f>Summary!I226*(1-$G7)</f>
        <v>110.17085947792727</v>
      </c>
      <c r="I16" s="105">
        <f>Summary!J226*(1-$G7)</f>
        <v>110.50428922208283</v>
      </c>
      <c r="J16" s="105">
        <f>Summary!K226*(1-$G7)</f>
        <v>110.86839403032482</v>
      </c>
      <c r="K16" s="105">
        <f>Summary!L226*(1-$G7)</f>
        <v>111.22056308466937</v>
      </c>
      <c r="L16" s="105">
        <f>Summary!M226*(1-$G7)</f>
        <v>111.51986051381799</v>
      </c>
      <c r="M16" s="119">
        <f t="shared" si="2"/>
        <v>554.28396632882232</v>
      </c>
    </row>
    <row r="17" spans="1:13" x14ac:dyDescent="0.5">
      <c r="B17" s="8" t="s">
        <v>124</v>
      </c>
      <c r="C17" s="29" t="s">
        <v>102</v>
      </c>
      <c r="D17" s="29" t="s">
        <v>103</v>
      </c>
      <c r="E17" s="105">
        <f>Summary!F227*(1-$G8)</f>
        <v>33.119999999999997</v>
      </c>
      <c r="F17" s="105">
        <f>Summary!G227*(1-$G8)</f>
        <v>33.399790064839365</v>
      </c>
      <c r="G17" s="105">
        <f>Summary!H227*(1-$G8)</f>
        <v>33.801085904569277</v>
      </c>
      <c r="H17" s="105">
        <f>Summary!I227*(1-$G8)</f>
        <v>34.169868364924135</v>
      </c>
      <c r="I17" s="105">
        <f>Summary!J227*(1-$G8)</f>
        <v>34.449484646929392</v>
      </c>
      <c r="J17" s="105">
        <f>Summary!K227*(1-$G8)</f>
        <v>34.742141863007546</v>
      </c>
      <c r="K17" s="105">
        <f>Summary!L227*(1-$G8)</f>
        <v>34.846978671986669</v>
      </c>
      <c r="L17" s="105">
        <f>Summary!M227*(1-$G8)</f>
        <v>34.952131833266705</v>
      </c>
      <c r="M17" s="119">
        <f t="shared" si="2"/>
        <v>173.16060538011442</v>
      </c>
    </row>
    <row r="18" spans="1:13" x14ac:dyDescent="0.5">
      <c r="B18" s="8" t="s">
        <v>125</v>
      </c>
      <c r="C18" s="29" t="s">
        <v>102</v>
      </c>
      <c r="D18" s="29" t="s">
        <v>103</v>
      </c>
      <c r="E18" s="105">
        <f>Summary!F228*(1-$G9)</f>
        <v>25.64</v>
      </c>
      <c r="F18" s="105">
        <f>Summary!G228*(1-$G9)</f>
        <v>25.383600000000001</v>
      </c>
      <c r="G18" s="105">
        <f>Summary!H228*(1-$G9)</f>
        <v>25.129764000000002</v>
      </c>
      <c r="H18" s="105">
        <f>Summary!I228*(1-$G9)</f>
        <v>24.878466360000001</v>
      </c>
      <c r="I18" s="105">
        <f>Summary!J228*(1-$G9)</f>
        <v>24.629681696400002</v>
      </c>
      <c r="J18" s="105">
        <f>Summary!K228*(1-$G9)</f>
        <v>24.383384879436001</v>
      </c>
      <c r="K18" s="105">
        <f>Summary!L228*(1-$G9)</f>
        <v>24.139551030641641</v>
      </c>
      <c r="L18" s="105">
        <f>Summary!M228*(1-$G9)</f>
        <v>23.898155520335223</v>
      </c>
      <c r="M18" s="119">
        <f t="shared" si="2"/>
        <v>121.92923948681288</v>
      </c>
    </row>
    <row r="19" spans="1:13" x14ac:dyDescent="0.5">
      <c r="B19" s="8" t="s">
        <v>127</v>
      </c>
      <c r="C19" s="29" t="s">
        <v>102</v>
      </c>
      <c r="D19" s="29" t="s">
        <v>103</v>
      </c>
      <c r="E19" s="105">
        <f>Summary!F229*(1-$G10)</f>
        <v>544.02835543340586</v>
      </c>
      <c r="F19" s="105">
        <f>Summary!G229*(1-$G10)</f>
        <v>541.0434075218393</v>
      </c>
      <c r="G19" s="105">
        <f>Summary!H229*(1-$G10)</f>
        <v>538.1386709302941</v>
      </c>
      <c r="H19" s="105">
        <f>Summary!I229*(1-$G10)</f>
        <v>540.9166002545378</v>
      </c>
      <c r="I19" s="105">
        <f>Summary!J229*(1-$G10)</f>
        <v>537.53331434390338</v>
      </c>
      <c r="J19" s="105">
        <f>Summary!K229*(1-$G10)</f>
        <v>533.8317890228949</v>
      </c>
      <c r="K19" s="105">
        <f>Summary!L229*(1-$G10)</f>
        <v>525.37740427824974</v>
      </c>
      <c r="L19" s="105">
        <f>Summary!M229*(1-$G10)</f>
        <v>521.60572567954102</v>
      </c>
      <c r="M19" s="119">
        <f t="shared" si="2"/>
        <v>2659.2648335791268</v>
      </c>
    </row>
    <row r="20" spans="1:13" x14ac:dyDescent="0.5">
      <c r="B20" s="8" t="s">
        <v>441</v>
      </c>
      <c r="C20" s="29" t="s">
        <v>102</v>
      </c>
      <c r="D20" s="29" t="s">
        <v>103</v>
      </c>
      <c r="E20" s="105">
        <f>$G4*Summary!F223+$G10*Summary!F229</f>
        <v>10.6</v>
      </c>
      <c r="F20" s="105">
        <f>$G4*Summary!G223+$G10*Summary!G229</f>
        <v>10.547370135436497</v>
      </c>
      <c r="G20" s="105">
        <f>$G4*Summary!H223+$G10*Summary!H229</f>
        <v>10.493720028750507</v>
      </c>
      <c r="H20" s="105">
        <f>$G4*Summary!I223+$G10*Summary!I229</f>
        <v>10.543168296057354</v>
      </c>
      <c r="I20" s="105">
        <f>$G4*Summary!J223+$G10*Summary!J229</f>
        <v>10.477162373156272</v>
      </c>
      <c r="J20" s="105">
        <f>$G4*Summary!K223+$G10*Summary!K229</f>
        <v>10.405723987203947</v>
      </c>
      <c r="K20" s="105">
        <f>$G4*Summary!L223+$G10*Summary!L229</f>
        <v>10.245727331958578</v>
      </c>
      <c r="L20" s="105">
        <f>$G4*Summary!M223+$G10*Summary!M229</f>
        <v>10.173341774365189</v>
      </c>
      <c r="M20" s="119">
        <f>SUM(H20:L20)</f>
        <v>51.845123762741345</v>
      </c>
    </row>
    <row r="22" spans="1:13" ht="19" thickBot="1" x14ac:dyDescent="0.6">
      <c r="A22" s="205" t="s">
        <v>442</v>
      </c>
    </row>
    <row r="23" spans="1:13" ht="17" thickTop="1" x14ac:dyDescent="0.5">
      <c r="F23" s="119"/>
    </row>
    <row r="24" spans="1:13" ht="17" thickBot="1" x14ac:dyDescent="0.55000000000000004">
      <c r="B24" s="27" t="s">
        <v>98</v>
      </c>
      <c r="C24" s="27" t="s">
        <v>96</v>
      </c>
      <c r="D24" s="27" t="s">
        <v>97</v>
      </c>
      <c r="E24" s="11">
        <v>2024</v>
      </c>
      <c r="F24" s="11">
        <v>2025</v>
      </c>
      <c r="G24" s="11">
        <f>F24+1</f>
        <v>2026</v>
      </c>
      <c r="H24" s="11">
        <f t="shared" ref="H24" si="3">G24+1</f>
        <v>2027</v>
      </c>
      <c r="I24" s="11">
        <f t="shared" ref="I24" si="4">H24+1</f>
        <v>2028</v>
      </c>
      <c r="J24" s="11">
        <f t="shared" ref="J24" si="5">I24+1</f>
        <v>2029</v>
      </c>
      <c r="K24" s="11">
        <f t="shared" ref="K24" si="6">J24+1</f>
        <v>2030</v>
      </c>
      <c r="L24" s="11">
        <f>K24+1</f>
        <v>2031</v>
      </c>
      <c r="M24" s="218" t="s">
        <v>190</v>
      </c>
    </row>
    <row r="25" spans="1:13" x14ac:dyDescent="0.5">
      <c r="B25" s="8" t="s">
        <v>104</v>
      </c>
      <c r="C25" s="29" t="s">
        <v>102</v>
      </c>
      <c r="D25" s="29" t="s">
        <v>103</v>
      </c>
      <c r="E25" s="105">
        <f>Summary!F223*(1-$G4)</f>
        <v>445.10999999999996</v>
      </c>
      <c r="F25" s="105">
        <f>Summary!G223*(1-$G4)</f>
        <v>448.82109535394756</v>
      </c>
      <c r="G25" s="105">
        <f>Summary!H223*(1-$G4)</f>
        <v>449.72340641548345</v>
      </c>
      <c r="H25" s="105">
        <f>Summary!I223*(1-$G4)</f>
        <v>446.79102982912701</v>
      </c>
      <c r="I25" s="105">
        <f>Summary!J223*(1-$G4)</f>
        <v>443.92828430937692</v>
      </c>
      <c r="J25" s="105">
        <f>Summary!K223*(1-$G4)</f>
        <v>441.65999975984232</v>
      </c>
      <c r="K25" s="105">
        <f>Summary!L223*(1-$G4)</f>
        <v>440.00730240441703</v>
      </c>
      <c r="L25" s="105">
        <f>Summary!M223*(1-$G4)</f>
        <v>438.14866789620498</v>
      </c>
      <c r="M25" s="119">
        <f t="shared" ref="M25:M33" si="7">SUM(H25:L25)</f>
        <v>2210.5352841989684</v>
      </c>
    </row>
    <row r="26" spans="1:13" x14ac:dyDescent="0.5">
      <c r="B26" s="8" t="s">
        <v>112</v>
      </c>
      <c r="C26" s="29" t="s">
        <v>102</v>
      </c>
      <c r="D26" s="29" t="s">
        <v>103</v>
      </c>
      <c r="E26" s="105">
        <f>Summary!F224*(1-$G5)</f>
        <v>235.42</v>
      </c>
      <c r="F26" s="105">
        <f>Summary!G224*(1-$G5)</f>
        <v>233.54827999549275</v>
      </c>
      <c r="G26" s="105">
        <f>Summary!H224*(1-$G5)</f>
        <v>231.45164797620043</v>
      </c>
      <c r="H26" s="105">
        <f>Summary!I224*(1-$G5)</f>
        <v>229.20339070566877</v>
      </c>
      <c r="I26" s="105">
        <f>Summary!J224*(1-$G5)</f>
        <v>226.92839016741894</v>
      </c>
      <c r="J26" s="105">
        <f>Summary!K224*(1-$G5)</f>
        <v>224.70513897741444</v>
      </c>
      <c r="K26" s="105">
        <f>Summary!L224*(1-$G5)</f>
        <v>222.54524730585865</v>
      </c>
      <c r="L26" s="105">
        <f>Summary!M224*(1-$G5)</f>
        <v>220.40612623293981</v>
      </c>
      <c r="M26" s="119">
        <f t="shared" si="7"/>
        <v>1123.7882933893006</v>
      </c>
    </row>
    <row r="27" spans="1:13" x14ac:dyDescent="0.5">
      <c r="B27" s="8" t="s">
        <v>117</v>
      </c>
      <c r="C27" s="29" t="s">
        <v>102</v>
      </c>
      <c r="D27" s="29" t="s">
        <v>103</v>
      </c>
      <c r="E27" s="105">
        <f>Summary!F225*(1-$G6)</f>
        <v>116.37</v>
      </c>
      <c r="F27" s="116"/>
      <c r="G27" s="116"/>
      <c r="H27" s="105">
        <f>Summary!I225*(1-$G6)</f>
        <v>159.45879958189488</v>
      </c>
      <c r="I27" s="105">
        <f>Summary!J225*(1-$G6)</f>
        <v>201.86030814739911</v>
      </c>
      <c r="J27" s="105">
        <f>Summary!K225*(1-$G6)</f>
        <v>201.8604848469499</v>
      </c>
      <c r="K27" s="105">
        <f>Summary!L225*(1-$G6)</f>
        <v>201.8606615466409</v>
      </c>
      <c r="L27" s="105">
        <f>Summary!M225*(1-$G6)</f>
        <v>201.86083824647216</v>
      </c>
      <c r="M27" s="119">
        <f t="shared" si="7"/>
        <v>966.901092369357</v>
      </c>
    </row>
    <row r="28" spans="1:13" x14ac:dyDescent="0.5">
      <c r="B28" s="8" t="s">
        <v>119</v>
      </c>
      <c r="C28" s="29" t="s">
        <v>102</v>
      </c>
      <c r="D28" s="29" t="s">
        <v>103</v>
      </c>
      <c r="E28" s="105">
        <f>Summary!F226*(1-$G7)</f>
        <v>109.40999999999998</v>
      </c>
      <c r="F28" s="105">
        <f>Summary!G226*(1-$G7)</f>
        <v>109.61907089846582</v>
      </c>
      <c r="G28" s="105">
        <f>Summary!H226*(1-$G7)</f>
        <v>110.03903329776962</v>
      </c>
      <c r="H28" s="105">
        <f>Summary!I226*(1-$G7)</f>
        <v>110.17085947792727</v>
      </c>
      <c r="I28" s="105">
        <f>Summary!J226*(1-$G7)</f>
        <v>110.50428922208283</v>
      </c>
      <c r="J28" s="105">
        <f>Summary!K226*(1-$G7)</f>
        <v>110.86839403032482</v>
      </c>
      <c r="K28" s="105">
        <f>Summary!L226*(1-$G7)</f>
        <v>111.22056308466937</v>
      </c>
      <c r="L28" s="105">
        <f>Summary!M226*(1-$G7)</f>
        <v>111.51986051381799</v>
      </c>
      <c r="M28" s="119">
        <f t="shared" si="7"/>
        <v>554.28396632882232</v>
      </c>
    </row>
    <row r="29" spans="1:13" x14ac:dyDescent="0.5">
      <c r="B29" s="8" t="s">
        <v>124</v>
      </c>
      <c r="C29" s="29" t="s">
        <v>102</v>
      </c>
      <c r="D29" s="29" t="s">
        <v>103</v>
      </c>
      <c r="E29" s="105">
        <f>Summary!F227*(1-$G8)</f>
        <v>33.119999999999997</v>
      </c>
      <c r="F29" s="105">
        <f>Summary!G227*(1-$G8)</f>
        <v>33.399790064839365</v>
      </c>
      <c r="G29" s="105">
        <f>Summary!H227*(1-$G8)</f>
        <v>33.801085904569277</v>
      </c>
      <c r="H29" s="105">
        <f>Summary!I227*(1-$G8)</f>
        <v>34.169868364924135</v>
      </c>
      <c r="I29" s="105">
        <f>Summary!J227*(1-$G8)</f>
        <v>34.449484646929392</v>
      </c>
      <c r="J29" s="105">
        <f>Summary!K227*(1-$G8)</f>
        <v>34.742141863007546</v>
      </c>
      <c r="K29" s="105">
        <f>Summary!L227*(1-$G8)</f>
        <v>34.846978671986669</v>
      </c>
      <c r="L29" s="105">
        <f>Summary!M227*(1-$G8)</f>
        <v>34.952131833266705</v>
      </c>
      <c r="M29" s="119">
        <f t="shared" si="7"/>
        <v>173.16060538011442</v>
      </c>
    </row>
    <row r="30" spans="1:13" x14ac:dyDescent="0.5">
      <c r="B30" s="8" t="s">
        <v>125</v>
      </c>
      <c r="C30" s="29" t="s">
        <v>102</v>
      </c>
      <c r="D30" s="29" t="s">
        <v>103</v>
      </c>
      <c r="E30" s="105">
        <f>Summary!F228*(1-$G9)</f>
        <v>25.64</v>
      </c>
      <c r="F30" s="105">
        <f>Summary!G228*(1-$G9)</f>
        <v>25.383600000000001</v>
      </c>
      <c r="G30" s="105">
        <f>Summary!H228*(1-$G9)</f>
        <v>25.129764000000002</v>
      </c>
      <c r="H30" s="105">
        <f>Summary!I228*(1-$G9)</f>
        <v>24.878466360000001</v>
      </c>
      <c r="I30" s="105">
        <f>Summary!J228*(1-$G9)</f>
        <v>24.629681696400002</v>
      </c>
      <c r="J30" s="105">
        <f>Summary!K228*(1-$G9)</f>
        <v>24.383384879436001</v>
      </c>
      <c r="K30" s="105">
        <f>Summary!L228*(1-$G9)</f>
        <v>24.139551030641641</v>
      </c>
      <c r="L30" s="105">
        <f>Summary!M228*(1-$G9)</f>
        <v>23.898155520335223</v>
      </c>
      <c r="M30" s="119">
        <f t="shared" si="7"/>
        <v>121.92923948681288</v>
      </c>
    </row>
    <row r="31" spans="1:13" x14ac:dyDescent="0.5">
      <c r="B31" s="8" t="s">
        <v>127</v>
      </c>
      <c r="C31" s="29" t="s">
        <v>102</v>
      </c>
      <c r="D31" s="29" t="s">
        <v>103</v>
      </c>
      <c r="E31" s="105">
        <f>(Summary!F229-Summary!F143)*(1-$G10)</f>
        <v>544.02835543340586</v>
      </c>
      <c r="F31" s="105">
        <f>(Summary!G229-Summary!G143)*(1-$G10)</f>
        <v>541.0434075218393</v>
      </c>
      <c r="G31" s="105">
        <f>(Summary!H229-Summary!H143)*(1-$G10)</f>
        <v>538.1386709302941</v>
      </c>
      <c r="H31" s="105">
        <f>(Summary!I229-Summary!I143)*(1-$G10)</f>
        <v>533.51039365557233</v>
      </c>
      <c r="I31" s="105">
        <f>(Summary!J229-Summary!J143)*(1-$G10)</f>
        <v>529.56442301444838</v>
      </c>
      <c r="J31" s="105">
        <f>(Summary!K229-Summary!K143)*(1-$G10)</f>
        <v>525.86289769343989</v>
      </c>
      <c r="K31" s="105">
        <f>(Summary!L229-Summary!L143)*(1-$G10)</f>
        <v>522.27589716091563</v>
      </c>
      <c r="L31" s="105">
        <f>(Summary!M229-Summary!M143)*(1-$G10)</f>
        <v>518.50421856220703</v>
      </c>
      <c r="M31" s="119">
        <f t="shared" si="7"/>
        <v>2629.717830086583</v>
      </c>
    </row>
    <row r="32" spans="1:13" x14ac:dyDescent="0.5">
      <c r="B32" s="8" t="s">
        <v>44</v>
      </c>
      <c r="C32" s="29" t="s">
        <v>102</v>
      </c>
      <c r="D32" s="29" t="s">
        <v>103</v>
      </c>
      <c r="E32" s="105">
        <f>Summary!F143</f>
        <v>0</v>
      </c>
      <c r="F32" s="105">
        <f>Summary!G143</f>
        <v>0</v>
      </c>
      <c r="G32" s="105">
        <f>Summary!H143</f>
        <v>0</v>
      </c>
      <c r="H32" s="105">
        <f>Summary!I143</f>
        <v>7.5450657348082402</v>
      </c>
      <c r="I32" s="105">
        <f>Summary!J143</f>
        <v>8.118300254097667</v>
      </c>
      <c r="J32" s="105">
        <f>Summary!K143</f>
        <v>8.118300254097667</v>
      </c>
      <c r="K32" s="105">
        <f>Summary!L143</f>
        <v>3.1596573447640015</v>
      </c>
      <c r="L32" s="105">
        <f>Summary!M143</f>
        <v>3.1596573447640015</v>
      </c>
      <c r="M32" s="119">
        <f t="shared" si="7"/>
        <v>30.100980932531577</v>
      </c>
    </row>
    <row r="33" spans="2:13" x14ac:dyDescent="0.5">
      <c r="B33" s="8" t="s">
        <v>441</v>
      </c>
      <c r="C33" s="29" t="s">
        <v>102</v>
      </c>
      <c r="D33" s="29" t="s">
        <v>103</v>
      </c>
      <c r="E33" s="105">
        <f>$G4*Summary!F223+$G10*(Summary!F229-Summary!F143)</f>
        <v>10.6</v>
      </c>
      <c r="F33" s="105">
        <f>$G4*Summary!G223+$G10*(Summary!G229-Summary!G143)</f>
        <v>10.547370135436497</v>
      </c>
      <c r="G33" s="105">
        <f>$G4*Summary!H223+$G10*(Summary!H229-Summary!H143)</f>
        <v>10.493720028750507</v>
      </c>
      <c r="H33" s="105">
        <f>$G4*Summary!I223+$G10*(Summary!I229-Summary!I143)</f>
        <v>10.404309160214583</v>
      </c>
      <c r="I33" s="105">
        <f>$G4*Summary!J223+$G10*(Summary!J229-Summary!J143)</f>
        <v>10.327753448513572</v>
      </c>
      <c r="J33" s="105">
        <f>$G4*Summary!K223+$G10*(Summary!K229-Summary!K143)</f>
        <v>10.256315062561249</v>
      </c>
      <c r="K33" s="105">
        <f>$G4*Summary!L223+$G10*(Summary!L229-Summary!L143)</f>
        <v>10.187577104528604</v>
      </c>
      <c r="L33" s="105">
        <f>$G4*Summary!M223+$G10*(Summary!M229-Summary!M143)</f>
        <v>10.115191546935215</v>
      </c>
      <c r="M33" s="119">
        <f t="shared" si="7"/>
        <v>51.291146322753228</v>
      </c>
    </row>
    <row r="34" spans="2:13" x14ac:dyDescent="0.5">
      <c r="E34" s="152"/>
      <c r="F34" s="152"/>
      <c r="G34" s="152"/>
      <c r="H34" s="152"/>
      <c r="I34" s="152"/>
      <c r="J34" s="152"/>
      <c r="K34" s="152"/>
      <c r="L34" s="152"/>
      <c r="M34" s="152"/>
    </row>
    <row r="35" spans="2:13" ht="17" thickBot="1" x14ac:dyDescent="0.55000000000000004">
      <c r="B35" s="27" t="s">
        <v>144</v>
      </c>
      <c r="C35" s="27" t="s">
        <v>96</v>
      </c>
      <c r="D35" s="27" t="s">
        <v>97</v>
      </c>
      <c r="E35" s="11">
        <v>2024</v>
      </c>
      <c r="F35" s="11">
        <v>2025</v>
      </c>
      <c r="G35" s="11">
        <f>F35+1</f>
        <v>2026</v>
      </c>
      <c r="H35" s="11">
        <f t="shared" ref="H35:K35" si="8">G35+1</f>
        <v>2027</v>
      </c>
      <c r="I35" s="11">
        <f t="shared" si="8"/>
        <v>2028</v>
      </c>
      <c r="J35" s="11">
        <f t="shared" si="8"/>
        <v>2029</v>
      </c>
      <c r="K35" s="11">
        <f t="shared" si="8"/>
        <v>2030</v>
      </c>
      <c r="L35" s="11">
        <f>K35+1</f>
        <v>2031</v>
      </c>
      <c r="M35" s="218" t="s">
        <v>190</v>
      </c>
    </row>
    <row r="36" spans="2:13" x14ac:dyDescent="0.5">
      <c r="B36" s="8" t="s">
        <v>147</v>
      </c>
      <c r="C36" s="29" t="s">
        <v>102</v>
      </c>
      <c r="D36" s="29" t="s">
        <v>103</v>
      </c>
      <c r="E36" s="105">
        <f>Summary!F232</f>
        <v>462.97458515603336</v>
      </c>
      <c r="F36" s="105">
        <f>Summary!G232</f>
        <v>463.61127701706505</v>
      </c>
      <c r="G36" s="105">
        <f>Summary!H232</f>
        <v>467.42411937518796</v>
      </c>
      <c r="H36" s="105">
        <f>Summary!I232</f>
        <v>467.38624140972018</v>
      </c>
      <c r="I36" s="105">
        <f>Summary!J232</f>
        <v>470.37005983367862</v>
      </c>
      <c r="J36" s="105">
        <f>Summary!K232</f>
        <v>473.96091387832445</v>
      </c>
      <c r="K36" s="105">
        <f>Summary!L232</f>
        <v>477.54654363470428</v>
      </c>
      <c r="L36" s="105">
        <f>Summary!M232</f>
        <v>480.52912340881932</v>
      </c>
      <c r="M36" s="119">
        <f>SUM(H36:L36)</f>
        <v>2369.7928821652467</v>
      </c>
    </row>
    <row r="37" spans="2:13" x14ac:dyDescent="0.5">
      <c r="B37" s="8" t="s">
        <v>162</v>
      </c>
      <c r="C37" s="29" t="s">
        <v>102</v>
      </c>
      <c r="D37" s="29" t="s">
        <v>103</v>
      </c>
      <c r="E37" s="105">
        <f>Summary!F233</f>
        <v>202.89531700000001</v>
      </c>
      <c r="F37" s="105">
        <f>Summary!G233</f>
        <v>210.03695780459338</v>
      </c>
      <c r="G37" s="105">
        <f>Summary!H233</f>
        <v>211.43174242822758</v>
      </c>
      <c r="H37" s="105">
        <f>Summary!I233</f>
        <v>213.48711094685424</v>
      </c>
      <c r="I37" s="105">
        <f>Summary!J233</f>
        <v>218.16037447592112</v>
      </c>
      <c r="J37" s="105">
        <f>Summary!K233</f>
        <v>223.11391773528945</v>
      </c>
      <c r="K37" s="105">
        <f>Summary!L233</f>
        <v>228.0120452895132</v>
      </c>
      <c r="L37" s="105">
        <f>Summary!M233</f>
        <v>232.72835917592215</v>
      </c>
      <c r="M37" s="119">
        <f>SUM(H37:L37)</f>
        <v>1115.5018076235001</v>
      </c>
    </row>
    <row r="38" spans="2:13" x14ac:dyDescent="0.5">
      <c r="B38" s="8" t="s">
        <v>166</v>
      </c>
      <c r="C38" s="29" t="s">
        <v>102</v>
      </c>
      <c r="D38" s="29" t="s">
        <v>103</v>
      </c>
      <c r="E38" s="105">
        <f>Summary!F234</f>
        <v>53.079143000000002</v>
      </c>
      <c r="F38" s="105">
        <f>Summary!G234</f>
        <v>51.408927819593863</v>
      </c>
      <c r="G38" s="105">
        <f>Summary!H234</f>
        <v>50.618000002801999</v>
      </c>
      <c r="H38" s="105">
        <f>Summary!I234</f>
        <v>49.648243568349024</v>
      </c>
      <c r="I38" s="105">
        <f>Summary!J234</f>
        <v>49.230854103827511</v>
      </c>
      <c r="J38" s="105">
        <f>Summary!K234</f>
        <v>48.854463211507273</v>
      </c>
      <c r="K38" s="105">
        <f>Summary!L234</f>
        <v>48.461923253344693</v>
      </c>
      <c r="L38" s="105">
        <f>Summary!M234</f>
        <v>48.012844288690246</v>
      </c>
      <c r="M38" s="119">
        <f t="shared" ref="M38:M45" si="9">SUM(H38:L38)</f>
        <v>244.20832842571872</v>
      </c>
    </row>
    <row r="39" spans="2:13" x14ac:dyDescent="0.5">
      <c r="B39" s="8" t="s">
        <v>168</v>
      </c>
      <c r="C39" s="29" t="s">
        <v>102</v>
      </c>
      <c r="D39" s="29" t="s">
        <v>103</v>
      </c>
      <c r="E39" s="105">
        <f>Summary!F235</f>
        <v>69.742531808565673</v>
      </c>
      <c r="F39" s="105">
        <f>Summary!G235</f>
        <v>70.709163691396128</v>
      </c>
      <c r="G39" s="105">
        <f>Summary!H235</f>
        <v>71.963461972029023</v>
      </c>
      <c r="H39" s="105">
        <f>Summary!I235</f>
        <v>72.8572445226893</v>
      </c>
      <c r="I39" s="105">
        <f>Summary!J235</f>
        <v>74.031228762674971</v>
      </c>
      <c r="J39" s="105">
        <f>Summary!K235</f>
        <v>75.264276270042643</v>
      </c>
      <c r="K39" s="105">
        <f>Summary!L235</f>
        <v>76.499848486607533</v>
      </c>
      <c r="L39" s="105">
        <f>Summary!M235</f>
        <v>77.680690398637665</v>
      </c>
      <c r="M39" s="119">
        <f t="shared" si="9"/>
        <v>376.33328844065215</v>
      </c>
    </row>
    <row r="40" spans="2:13" x14ac:dyDescent="0.5">
      <c r="B40" s="8" t="s">
        <v>172</v>
      </c>
      <c r="C40" s="29" t="s">
        <v>102</v>
      </c>
      <c r="D40" s="29" t="s">
        <v>103</v>
      </c>
      <c r="E40" s="105">
        <f>Summary!F236</f>
        <v>121.23944605418258</v>
      </c>
      <c r="F40" s="105">
        <f>Summary!G236</f>
        <v>120.86524563547293</v>
      </c>
      <c r="G40" s="105">
        <f>Summary!H236</f>
        <v>120.77949095761763</v>
      </c>
      <c r="H40" s="105">
        <f>Summary!I236</f>
        <v>119.50003846406764</v>
      </c>
      <c r="I40" s="105">
        <f>Summary!J236</f>
        <v>120.81862924147694</v>
      </c>
      <c r="J40" s="105">
        <f>Summary!K236</f>
        <v>122.25533028675463</v>
      </c>
      <c r="K40" s="105">
        <f>Summary!L236</f>
        <v>123.48190029590513</v>
      </c>
      <c r="L40" s="105">
        <f>Summary!M236</f>
        <v>124.59866732993839</v>
      </c>
      <c r="M40" s="119">
        <f t="shared" si="9"/>
        <v>610.65456561814267</v>
      </c>
    </row>
    <row r="41" spans="2:13" x14ac:dyDescent="0.5">
      <c r="B41" s="8" t="s">
        <v>176</v>
      </c>
      <c r="C41" s="29" t="s">
        <v>102</v>
      </c>
      <c r="D41" s="29" t="s">
        <v>103</v>
      </c>
      <c r="E41" s="105">
        <f>Summary!F237</f>
        <v>146.42671436201903</v>
      </c>
      <c r="F41" s="105">
        <f>Summary!G237</f>
        <v>146.8930575471494</v>
      </c>
      <c r="G41" s="105">
        <f>Summary!H237</f>
        <v>147.83099593662467</v>
      </c>
      <c r="H41" s="105">
        <f>Summary!I237</f>
        <v>148.12616385597101</v>
      </c>
      <c r="I41" s="105">
        <f>Summary!J237</f>
        <v>148.87333162113273</v>
      </c>
      <c r="J41" s="105">
        <f>Summary!K237</f>
        <v>149.69087900992417</v>
      </c>
      <c r="K41" s="105">
        <f>Summary!L237</f>
        <v>150.4833575722472</v>
      </c>
      <c r="L41" s="105">
        <f>Summary!M237</f>
        <v>151.15828195675962</v>
      </c>
      <c r="M41" s="119">
        <f t="shared" si="9"/>
        <v>748.3320140160348</v>
      </c>
    </row>
    <row r="42" spans="2:13" x14ac:dyDescent="0.5">
      <c r="B42" s="8" t="s">
        <v>182</v>
      </c>
      <c r="C42" s="29" t="s">
        <v>102</v>
      </c>
      <c r="D42" s="29" t="s">
        <v>103</v>
      </c>
      <c r="E42" s="105">
        <f>Summary!F238</f>
        <v>0</v>
      </c>
      <c r="F42" s="105">
        <f>Summary!G238</f>
        <v>0</v>
      </c>
      <c r="G42" s="105">
        <f>Summary!H238</f>
        <v>0</v>
      </c>
      <c r="H42" s="105">
        <f>Summary!I238</f>
        <v>0</v>
      </c>
      <c r="I42" s="105">
        <f>Summary!J238</f>
        <v>0</v>
      </c>
      <c r="J42" s="105">
        <f>Summary!K238</f>
        <v>0</v>
      </c>
      <c r="K42" s="105">
        <f>Summary!L238</f>
        <v>0</v>
      </c>
      <c r="L42" s="105">
        <f>Summary!M238</f>
        <v>0</v>
      </c>
      <c r="M42" s="119">
        <f t="shared" si="9"/>
        <v>0</v>
      </c>
    </row>
    <row r="43" spans="2:13" x14ac:dyDescent="0.5">
      <c r="B43" s="8" t="s">
        <v>184</v>
      </c>
      <c r="C43" s="29" t="s">
        <v>102</v>
      </c>
      <c r="D43" s="29" t="s">
        <v>103</v>
      </c>
      <c r="E43" s="105">
        <f>Summary!F239-Summary!F198</f>
        <v>7.3246539999999998</v>
      </c>
      <c r="F43" s="105">
        <f>Summary!G239-Summary!G198</f>
        <v>7.3865309751686574</v>
      </c>
      <c r="G43" s="105">
        <f>Summary!H239-Summary!H198</f>
        <v>7.4752795614506944</v>
      </c>
      <c r="H43" s="105">
        <f>Summary!I239-Summary!I198</f>
        <v>7.5568376509243684</v>
      </c>
      <c r="I43" s="105">
        <f>Summary!J239-Summary!J198</f>
        <v>7.6186761931482501</v>
      </c>
      <c r="J43" s="105">
        <f>Summary!K239-Summary!K198</f>
        <v>7.6833988033045202</v>
      </c>
      <c r="K43" s="105">
        <f>Summary!L239-Summary!L198</f>
        <v>7.7065839890604444</v>
      </c>
      <c r="L43" s="105">
        <f>Summary!M239-Summary!M198</f>
        <v>7.7298391377132951</v>
      </c>
      <c r="M43" s="119">
        <f t="shared" si="9"/>
        <v>38.295335774150878</v>
      </c>
    </row>
    <row r="44" spans="2:13" x14ac:dyDescent="0.5">
      <c r="B44" s="8" t="s">
        <v>187</v>
      </c>
      <c r="C44" s="29" t="s">
        <v>102</v>
      </c>
      <c r="D44" s="29" t="s">
        <v>103</v>
      </c>
      <c r="E44" s="105">
        <f>Summary!F240</f>
        <v>21.38965614999999</v>
      </c>
      <c r="F44" s="105">
        <f>Summary!G240</f>
        <v>20.890438293999992</v>
      </c>
      <c r="G44" s="105">
        <f>Summary!H240</f>
        <v>20.497648063999993</v>
      </c>
      <c r="H44" s="105">
        <f>Summary!I240</f>
        <v>19.570685602094855</v>
      </c>
      <c r="I44" s="105">
        <f>Summary!J240</f>
        <v>18.747580173962298</v>
      </c>
      <c r="J44" s="105">
        <f>Summary!K240</f>
        <v>18.008284772893138</v>
      </c>
      <c r="K44" s="105">
        <f>Summary!L240</f>
        <v>17.337820648838495</v>
      </c>
      <c r="L44" s="105">
        <f>Summary!M240</f>
        <v>16.724835871061838</v>
      </c>
      <c r="M44" s="119">
        <f t="shared" si="9"/>
        <v>90.389207068850638</v>
      </c>
    </row>
    <row r="45" spans="2:13" x14ac:dyDescent="0.5">
      <c r="B45" s="8" t="s">
        <v>44</v>
      </c>
      <c r="C45" s="29" t="s">
        <v>102</v>
      </c>
      <c r="D45" s="29" t="s">
        <v>103</v>
      </c>
      <c r="E45" s="105">
        <f>Summary!F198</f>
        <v>0</v>
      </c>
      <c r="F45" s="105">
        <f>Summary!G198</f>
        <v>0</v>
      </c>
      <c r="G45" s="105">
        <f>Summary!H198</f>
        <v>-14.640211030814655</v>
      </c>
      <c r="H45" s="105">
        <f>Summary!I198</f>
        <v>-17.890395508616653</v>
      </c>
      <c r="I45" s="105">
        <f>Summary!J198</f>
        <v>-18.703043733018866</v>
      </c>
      <c r="J45" s="105">
        <f>Summary!K198</f>
        <v>-19.376929610475642</v>
      </c>
      <c r="K45" s="105">
        <f>Summary!L198</f>
        <v>3.0691444210434313</v>
      </c>
      <c r="L45" s="105">
        <f>Summary!M198</f>
        <v>3.0841892466367802</v>
      </c>
      <c r="M45" s="119">
        <f t="shared" si="9"/>
        <v>-49.817035184430949</v>
      </c>
    </row>
    <row r="46" spans="2:13" ht="16.5" customHeight="1" x14ac:dyDescent="0.5">
      <c r="L46" s="119"/>
      <c r="M46" s="119"/>
    </row>
    <row r="47" spans="2:13" ht="16.5" customHeight="1" x14ac:dyDescent="0.5"/>
    <row r="48" spans="2:13" ht="16.5" customHeight="1" x14ac:dyDescent="0.5"/>
    <row r="49" ht="48" customHeight="1" x14ac:dyDescent="0.5"/>
    <row r="50" ht="16.5" customHeight="1" x14ac:dyDescent="0.5"/>
    <row r="51" ht="16.5" customHeight="1" x14ac:dyDescent="0.5"/>
    <row r="52" ht="16.5" customHeight="1" x14ac:dyDescent="0.5"/>
  </sheetData>
  <phoneticPr fontId="27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0128C-CC30-4F8C-B151-9F01A5CE570C}">
  <sheetPr>
    <tabColor theme="8" tint="0.39997558519241921"/>
  </sheetPr>
  <dimension ref="A1:F93"/>
  <sheetViews>
    <sheetView topLeftCell="A14" workbookViewId="0">
      <selection activeCell="C101" sqref="C101"/>
    </sheetView>
  </sheetViews>
  <sheetFormatPr defaultColWidth="8.90625" defaultRowHeight="16.5" x14ac:dyDescent="0.5"/>
  <cols>
    <col min="1" max="1" width="15.6328125" customWidth="1"/>
    <col min="2" max="5" width="20.90625" customWidth="1"/>
    <col min="6" max="6" width="12.453125" customWidth="1"/>
  </cols>
  <sheetData>
    <row r="1" spans="1:6" ht="23" thickBot="1" x14ac:dyDescent="0.7">
      <c r="A1" s="13" t="s">
        <v>57</v>
      </c>
      <c r="B1" s="21"/>
    </row>
    <row r="2" spans="1:6" ht="17" thickTop="1" x14ac:dyDescent="0.5"/>
    <row r="3" spans="1:6" ht="19" thickBot="1" x14ac:dyDescent="0.55000000000000004">
      <c r="A3" s="14" t="s">
        <v>46</v>
      </c>
      <c r="B3" s="23"/>
    </row>
    <row r="4" spans="1:6" ht="17" thickTop="1" x14ac:dyDescent="0.5"/>
    <row r="5" spans="1:6" ht="17" thickBot="1" x14ac:dyDescent="0.55000000000000004">
      <c r="B5" s="27" t="s">
        <v>302</v>
      </c>
      <c r="C5" s="74" t="s">
        <v>57</v>
      </c>
      <c r="D5" s="74" t="s">
        <v>443</v>
      </c>
      <c r="E5" s="74" t="s">
        <v>444</v>
      </c>
      <c r="F5" s="74" t="s">
        <v>445</v>
      </c>
    </row>
    <row r="6" spans="1:6" x14ac:dyDescent="0.5">
      <c r="B6" s="8" t="s">
        <v>101</v>
      </c>
      <c r="C6" s="8" t="s">
        <v>446</v>
      </c>
      <c r="D6" s="103">
        <f>OPEX!N172+OPEX!N212+OPEX!N252</f>
        <v>-2.71534335301582</v>
      </c>
      <c r="E6" s="103">
        <f>OPEX!M129-OPEX!F129</f>
        <v>-2.7153433530159248</v>
      </c>
      <c r="F6" s="119">
        <f t="shared" ref="F6:F40" si="0">D6-E6</f>
        <v>1.0480505352461478E-13</v>
      </c>
    </row>
    <row r="7" spans="1:6" x14ac:dyDescent="0.5">
      <c r="B7" s="8" t="s">
        <v>105</v>
      </c>
      <c r="C7" s="8" t="s">
        <v>446</v>
      </c>
      <c r="D7" s="103">
        <f>OPEX!N173+OPEX!N213+OPEX!N253</f>
        <v>-0.40413979232337538</v>
      </c>
      <c r="E7" s="103">
        <f>OPEX!M130-OPEX!F130</f>
        <v>-0.40413979232337738</v>
      </c>
      <c r="F7" s="119">
        <f t="shared" si="0"/>
        <v>1.9984014443252818E-15</v>
      </c>
    </row>
    <row r="8" spans="1:6" x14ac:dyDescent="0.5">
      <c r="B8" s="8" t="s">
        <v>106</v>
      </c>
      <c r="C8" s="8" t="s">
        <v>446</v>
      </c>
      <c r="D8" s="103">
        <f>OPEX!N174+OPEX!N214+OPEX!N254</f>
        <v>-0.31835144736598697</v>
      </c>
      <c r="E8" s="103">
        <f>OPEX!M131-OPEX!F131</f>
        <v>-0.31835144736598409</v>
      </c>
      <c r="F8" s="119">
        <f t="shared" si="0"/>
        <v>-2.886579864025407E-15</v>
      </c>
    </row>
    <row r="9" spans="1:6" x14ac:dyDescent="0.5">
      <c r="B9" s="8" t="s">
        <v>107</v>
      </c>
      <c r="C9" s="8" t="s">
        <v>446</v>
      </c>
      <c r="D9" s="103">
        <f>OPEX!N175+OPEX!N215+OPEX!N255</f>
        <v>-0.86697277408010898</v>
      </c>
      <c r="E9" s="103">
        <f>OPEX!M132-OPEX!F132</f>
        <v>-0.86697277408011786</v>
      </c>
      <c r="F9" s="119">
        <f t="shared" si="0"/>
        <v>8.8817841970012523E-15</v>
      </c>
    </row>
    <row r="10" spans="1:6" x14ac:dyDescent="0.5">
      <c r="B10" s="8" t="s">
        <v>108</v>
      </c>
      <c r="C10" s="8" t="s">
        <v>446</v>
      </c>
      <c r="D10" s="103">
        <f>OPEX!N176+OPEX!N216+OPEX!N256</f>
        <v>-0.33217080816955868</v>
      </c>
      <c r="E10" s="103">
        <f>OPEX!M133-OPEX!F133</f>
        <v>-0.33217080816955402</v>
      </c>
      <c r="F10" s="119">
        <f t="shared" si="0"/>
        <v>-4.6629367034256575E-15</v>
      </c>
    </row>
    <row r="11" spans="1:6" x14ac:dyDescent="0.5">
      <c r="B11" s="8" t="s">
        <v>109</v>
      </c>
      <c r="C11" s="8" t="s">
        <v>446</v>
      </c>
      <c r="D11" s="103">
        <f>OPEX!N177+OPEX!N217+OPEX!N257</f>
        <v>-2.330609759626876</v>
      </c>
      <c r="E11" s="103">
        <f>OPEX!M134-OPEX!F134</f>
        <v>-2.3306097596268671</v>
      </c>
      <c r="F11" s="119">
        <f t="shared" si="0"/>
        <v>-8.8817841970012523E-15</v>
      </c>
    </row>
    <row r="12" spans="1:6" x14ac:dyDescent="0.5">
      <c r="B12" s="8" t="s">
        <v>110</v>
      </c>
      <c r="C12" s="8" t="s">
        <v>446</v>
      </c>
      <c r="D12" s="103">
        <f>OPEX!N178+OPEX!N218+OPEX!N258</f>
        <v>0</v>
      </c>
      <c r="E12" s="103">
        <f>OPEX!M135-OPEX!F135</f>
        <v>0</v>
      </c>
      <c r="F12" s="119">
        <f t="shared" si="0"/>
        <v>0</v>
      </c>
    </row>
    <row r="13" spans="1:6" x14ac:dyDescent="0.5">
      <c r="B13" s="8" t="s">
        <v>111</v>
      </c>
      <c r="C13" s="8" t="s">
        <v>446</v>
      </c>
      <c r="D13" s="103">
        <f>OPEX!N179+OPEX!N219+OPEX!N259</f>
        <v>-5.2399769262724547</v>
      </c>
      <c r="E13" s="103">
        <f>OPEX!M136-OPEX!F136</f>
        <v>-5.2399769262724902</v>
      </c>
      <c r="F13" s="119">
        <f t="shared" si="0"/>
        <v>3.5527136788005009E-14</v>
      </c>
    </row>
    <row r="14" spans="1:6" x14ac:dyDescent="0.5">
      <c r="B14" s="8" t="s">
        <v>113</v>
      </c>
      <c r="C14" s="8" t="s">
        <v>446</v>
      </c>
      <c r="D14" s="103">
        <f>OPEX!N180+OPEX!N220+OPEX!N260</f>
        <v>-4.9116303603587896</v>
      </c>
      <c r="E14" s="103">
        <f>OPEX!M137-OPEX!F137</f>
        <v>-4.9116303603587994</v>
      </c>
      <c r="F14" s="119">
        <f t="shared" si="0"/>
        <v>9.7699626167013776E-15</v>
      </c>
    </row>
    <row r="15" spans="1:6" x14ac:dyDescent="0.5">
      <c r="B15" s="8" t="s">
        <v>114</v>
      </c>
      <c r="C15" s="8" t="s">
        <v>446</v>
      </c>
      <c r="D15" s="103">
        <f>OPEX!N181+OPEX!N221+OPEX!N261</f>
        <v>-1.3494638673613082</v>
      </c>
      <c r="E15" s="103">
        <f>OPEX!M138-OPEX!F138</f>
        <v>-1.3494638673613117</v>
      </c>
      <c r="F15" s="119">
        <f t="shared" si="0"/>
        <v>3.5527136788005009E-15</v>
      </c>
    </row>
    <row r="16" spans="1:6" x14ac:dyDescent="0.5">
      <c r="B16" s="8" t="s">
        <v>115</v>
      </c>
      <c r="C16" s="8" t="s">
        <v>446</v>
      </c>
      <c r="D16" s="103">
        <f>OPEX!N182+OPEX!N222+OPEX!N262</f>
        <v>-3.51280261306758</v>
      </c>
      <c r="E16" s="103">
        <f>OPEX!M139-OPEX!F139</f>
        <v>-3.5128026130675849</v>
      </c>
      <c r="F16" s="119">
        <f t="shared" si="0"/>
        <v>4.8849813083506888E-15</v>
      </c>
    </row>
    <row r="17" spans="2:6" x14ac:dyDescent="0.5">
      <c r="B17" s="8" t="s">
        <v>116</v>
      </c>
      <c r="C17" s="8" t="s">
        <v>446</v>
      </c>
      <c r="D17" s="103">
        <f>OPEX!N183+OPEX!N223+OPEX!N263</f>
        <v>0</v>
      </c>
      <c r="E17" s="103">
        <f>OPEX!M140-OPEX!F140</f>
        <v>0</v>
      </c>
      <c r="F17" s="119">
        <f t="shared" si="0"/>
        <v>0</v>
      </c>
    </row>
    <row r="18" spans="2:6" x14ac:dyDescent="0.5">
      <c r="B18" s="8" t="s">
        <v>118</v>
      </c>
      <c r="C18" s="8" t="s">
        <v>446</v>
      </c>
      <c r="D18" s="103">
        <f>OPEX!N184+OPEX!N224+OPEX!N264</f>
        <v>1.7321759374567223</v>
      </c>
      <c r="E18" s="103">
        <f>OPEX!M141-OPEX!F141</f>
        <v>1.7321759374567023</v>
      </c>
      <c r="F18" s="119">
        <f t="shared" si="0"/>
        <v>1.9984014443252818E-14</v>
      </c>
    </row>
    <row r="19" spans="2:6" x14ac:dyDescent="0.5">
      <c r="B19" s="8" t="s">
        <v>120</v>
      </c>
      <c r="C19" s="8" t="s">
        <v>446</v>
      </c>
      <c r="D19" s="103">
        <f>OPEX!N185+OPEX!N225+OPEX!N265</f>
        <v>9.8533438498065451E-2</v>
      </c>
      <c r="E19" s="103">
        <f>OPEX!M142-OPEX!F142</f>
        <v>9.8533438498066062E-2</v>
      </c>
      <c r="F19" s="119">
        <f t="shared" si="0"/>
        <v>-6.106226635438361E-16</v>
      </c>
    </row>
    <row r="20" spans="2:6" x14ac:dyDescent="0.5">
      <c r="B20" s="8" t="s">
        <v>121</v>
      </c>
      <c r="C20" s="8" t="s">
        <v>446</v>
      </c>
      <c r="D20" s="103">
        <f>OPEX!N186+OPEX!N226+OPEX!N266</f>
        <v>0.1048394289299717</v>
      </c>
      <c r="E20" s="103">
        <f>OPEX!M143-OPEX!F143</f>
        <v>0.10483942892997078</v>
      </c>
      <c r="F20" s="119">
        <f t="shared" si="0"/>
        <v>9.1593399531575415E-16</v>
      </c>
    </row>
    <row r="21" spans="2:6" x14ac:dyDescent="0.5">
      <c r="B21" s="8" t="s">
        <v>122</v>
      </c>
      <c r="C21" s="8" t="s">
        <v>446</v>
      </c>
      <c r="D21" s="103">
        <f>OPEX!N187+OPEX!N227+OPEX!N267</f>
        <v>0.10539276942697461</v>
      </c>
      <c r="E21" s="103">
        <f>OPEX!M144-OPEX!F144</f>
        <v>0.10539276942697562</v>
      </c>
      <c r="F21" s="119">
        <f t="shared" si="0"/>
        <v>-1.0130785099704553E-15</v>
      </c>
    </row>
    <row r="22" spans="2:6" x14ac:dyDescent="0.5">
      <c r="B22" s="8" t="s">
        <v>123</v>
      </c>
      <c r="C22" s="8" t="s">
        <v>446</v>
      </c>
      <c r="D22" s="103">
        <f>OPEX!N188+OPEX!N228+OPEX!N268</f>
        <v>6.8918939506284735E-2</v>
      </c>
      <c r="E22" s="103">
        <f>OPEX!M145-OPEX!F145</f>
        <v>6.8918939506285248E-2</v>
      </c>
      <c r="F22" s="119">
        <f t="shared" si="0"/>
        <v>-5.134781488891349E-16</v>
      </c>
    </row>
    <row r="23" spans="2:6" x14ac:dyDescent="0.5">
      <c r="B23" s="8" t="s">
        <v>124</v>
      </c>
      <c r="C23" s="8" t="s">
        <v>446</v>
      </c>
      <c r="D23" s="103">
        <f>OPEX!N189+OPEX!N229+OPEX!N269</f>
        <v>1.832131833266712</v>
      </c>
      <c r="E23" s="103">
        <f>OPEX!M146-OPEX!F146</f>
        <v>1.8321318332667076</v>
      </c>
      <c r="F23" s="119">
        <f t="shared" si="0"/>
        <v>4.4408920985006262E-15</v>
      </c>
    </row>
    <row r="24" spans="2:6" x14ac:dyDescent="0.5">
      <c r="B24" s="8" t="s">
        <v>125</v>
      </c>
      <c r="C24" s="8" t="s">
        <v>446</v>
      </c>
      <c r="D24" s="103">
        <f>OPEX!N190+OPEX!N230+OPEX!N270</f>
        <v>-1.7418444796647767</v>
      </c>
      <c r="E24" s="103">
        <f>OPEX!M147-OPEX!F147</f>
        <v>-1.7418444796647776</v>
      </c>
      <c r="F24" s="119">
        <f t="shared" si="0"/>
        <v>0</v>
      </c>
    </row>
    <row r="25" spans="2:6" x14ac:dyDescent="0.5">
      <c r="B25" s="8" t="s">
        <v>126</v>
      </c>
      <c r="C25" s="8" t="s">
        <v>446</v>
      </c>
      <c r="D25" s="103">
        <f>OPEX!N191+OPEX!N231+OPEX!N271</f>
        <v>-2.480943182983478</v>
      </c>
      <c r="E25" s="103">
        <f>OPEX!M148-OPEX!F148</f>
        <v>-2.4809431829834807</v>
      </c>
      <c r="F25" s="119">
        <f t="shared" si="0"/>
        <v>0</v>
      </c>
    </row>
    <row r="26" spans="2:6" x14ac:dyDescent="0.5">
      <c r="B26" s="8" t="s">
        <v>128</v>
      </c>
      <c r="C26" s="8" t="s">
        <v>446</v>
      </c>
      <c r="D26" s="103">
        <f>OPEX!N192+OPEX!N232+OPEX!N272</f>
        <v>-2.2190221391822424</v>
      </c>
      <c r="E26" s="103">
        <f>OPEX!M149-OPEX!F149</f>
        <v>-2.2190221391822362</v>
      </c>
      <c r="F26" s="119">
        <f t="shared" si="0"/>
        <v>-6.2172489379008766E-15</v>
      </c>
    </row>
    <row r="27" spans="2:6" x14ac:dyDescent="0.5">
      <c r="B27" s="8" t="s">
        <v>129</v>
      </c>
      <c r="C27" s="8" t="s">
        <v>446</v>
      </c>
      <c r="D27" s="103">
        <f>OPEX!N193+OPEX!N233+OPEX!N273</f>
        <v>-2.0232674680349025</v>
      </c>
      <c r="E27" s="103">
        <f>OPEX!M150-OPEX!F150</f>
        <v>-2.0232674680349163</v>
      </c>
      <c r="F27" s="119">
        <f t="shared" si="0"/>
        <v>1.3766765505351941E-14</v>
      </c>
    </row>
    <row r="28" spans="2:6" x14ac:dyDescent="0.5">
      <c r="B28" s="8" t="s">
        <v>130</v>
      </c>
      <c r="C28" s="8" t="s">
        <v>446</v>
      </c>
      <c r="D28" s="103">
        <f>OPEX!N194+OPEX!N234+OPEX!N274</f>
        <v>-0.66814900662588339</v>
      </c>
      <c r="E28" s="103">
        <f>OPEX!M151-OPEX!F151</f>
        <v>-0.66814900662587995</v>
      </c>
      <c r="F28" s="119">
        <f t="shared" si="0"/>
        <v>-3.4416913763379853E-15</v>
      </c>
    </row>
    <row r="29" spans="2:6" x14ac:dyDescent="0.5">
      <c r="B29" s="8" t="s">
        <v>131</v>
      </c>
      <c r="C29" s="8" t="s">
        <v>446</v>
      </c>
      <c r="D29" s="103">
        <f>OPEX!N195+OPEX!N235+OPEX!N275</f>
        <v>-0.86703831373442153</v>
      </c>
      <c r="E29" s="103">
        <f>OPEX!M152-OPEX!F152</f>
        <v>-0.86703831373442242</v>
      </c>
      <c r="F29" s="119">
        <f t="shared" si="0"/>
        <v>8.8817841970012523E-16</v>
      </c>
    </row>
    <row r="30" spans="2:6" x14ac:dyDescent="0.5">
      <c r="B30" s="8" t="s">
        <v>132</v>
      </c>
      <c r="C30" s="8" t="s">
        <v>446</v>
      </c>
      <c r="D30" s="103">
        <f>OPEX!N196+OPEX!N236+OPEX!N276</f>
        <v>-2.7627258040384284</v>
      </c>
      <c r="E30" s="103">
        <f>OPEX!M153-OPEX!F153</f>
        <v>-2.7627258040384248</v>
      </c>
      <c r="F30" s="119">
        <f t="shared" si="0"/>
        <v>-3.5527136788005009E-15</v>
      </c>
    </row>
    <row r="31" spans="2:6" x14ac:dyDescent="0.5">
      <c r="B31" s="8" t="s">
        <v>133</v>
      </c>
      <c r="C31" s="8" t="s">
        <v>446</v>
      </c>
      <c r="D31" s="103">
        <f>OPEX!N197+OPEX!N237+OPEX!N277</f>
        <v>-1.7696761893193627</v>
      </c>
      <c r="E31" s="103">
        <f>OPEX!M154-OPEX!F154</f>
        <v>-1.7696761893193695</v>
      </c>
      <c r="F31" s="119">
        <f t="shared" si="0"/>
        <v>6.8833827526759706E-15</v>
      </c>
    </row>
    <row r="32" spans="2:6" x14ac:dyDescent="0.5">
      <c r="B32" s="8" t="s">
        <v>134</v>
      </c>
      <c r="C32" s="8" t="s">
        <v>446</v>
      </c>
      <c r="D32" s="103">
        <f>OPEX!N198+OPEX!N238+OPEX!N278</f>
        <v>-3.1643159022215066</v>
      </c>
      <c r="E32" s="103">
        <f>OPEX!M155-OPEX!F155</f>
        <v>-3.1643159022215315</v>
      </c>
      <c r="F32" s="119">
        <f t="shared" si="0"/>
        <v>2.4868995751603507E-14</v>
      </c>
    </row>
    <row r="33" spans="1:6" x14ac:dyDescent="0.5">
      <c r="B33" s="8" t="s">
        <v>135</v>
      </c>
      <c r="C33" s="8" t="s">
        <v>446</v>
      </c>
      <c r="D33" s="103">
        <f>OPEX!N199+OPEX!N239+OPEX!N279</f>
        <v>-0.40004589995000961</v>
      </c>
      <c r="E33" s="103">
        <f>OPEX!M156-OPEX!F156</f>
        <v>-0.40004589995001005</v>
      </c>
      <c r="F33" s="119">
        <f t="shared" si="0"/>
        <v>4.4408920985006262E-16</v>
      </c>
    </row>
    <row r="34" spans="1:6" x14ac:dyDescent="0.5">
      <c r="B34" s="8" t="s">
        <v>136</v>
      </c>
      <c r="C34" s="8" t="s">
        <v>446</v>
      </c>
      <c r="D34" s="103">
        <f>OPEX!N200+OPEX!N240+OPEX!N280</f>
        <v>-1.5827269876390573</v>
      </c>
      <c r="E34" s="103">
        <f>OPEX!M157-OPEX!F157</f>
        <v>-1.5827269876390702</v>
      </c>
      <c r="F34" s="119">
        <f t="shared" si="0"/>
        <v>1.2878587085651816E-14</v>
      </c>
    </row>
    <row r="35" spans="1:6" x14ac:dyDescent="0.5">
      <c r="B35" s="8" t="s">
        <v>137</v>
      </c>
      <c r="C35" s="8" t="s">
        <v>446</v>
      </c>
      <c r="D35" s="103">
        <f>OPEX!N201+OPEX!N241+OPEX!N281</f>
        <v>-0.28305559957413384</v>
      </c>
      <c r="E35" s="103">
        <f>OPEX!M158-OPEX!F158</f>
        <v>-0.28305559957413262</v>
      </c>
      <c r="F35" s="119">
        <f t="shared" si="0"/>
        <v>-1.2212453270876722E-15</v>
      </c>
    </row>
    <row r="36" spans="1:6" x14ac:dyDescent="0.5">
      <c r="B36" s="8" t="s">
        <v>138</v>
      </c>
      <c r="C36" s="8" t="s">
        <v>446</v>
      </c>
      <c r="D36" s="103">
        <f>OPEX!N202+OPEX!N242+OPEX!N282</f>
        <v>-0.83981191871318905</v>
      </c>
      <c r="E36" s="103">
        <f>OPEX!M159-OPEX!F159</f>
        <v>-0.83981191871318828</v>
      </c>
      <c r="F36" s="119">
        <f t="shared" si="0"/>
        <v>0</v>
      </c>
    </row>
    <row r="37" spans="1:6" x14ac:dyDescent="0.5">
      <c r="B37" s="8" t="s">
        <v>139</v>
      </c>
      <c r="C37" s="8" t="s">
        <v>446</v>
      </c>
      <c r="D37" s="103">
        <f>OPEX!N203+OPEX!N243+OPEX!N283</f>
        <v>-0.88293540820951955</v>
      </c>
      <c r="E37" s="103">
        <f>OPEX!M160-OPEX!F160</f>
        <v>-0.88293540820951932</v>
      </c>
      <c r="F37" s="119">
        <f t="shared" si="0"/>
        <v>0</v>
      </c>
    </row>
    <row r="38" spans="1:6" x14ac:dyDescent="0.5">
      <c r="B38" s="8" t="s">
        <v>140</v>
      </c>
      <c r="C38" s="8" t="s">
        <v>446</v>
      </c>
      <c r="D38" s="103">
        <f>OPEX!N204+OPEX!N244+OPEX!N284</f>
        <v>-1.3841394522862167</v>
      </c>
      <c r="E38" s="103">
        <f>OPEX!M161-OPEX!F161</f>
        <v>-1.3841394522862167</v>
      </c>
      <c r="F38" s="119">
        <f t="shared" si="0"/>
        <v>0</v>
      </c>
    </row>
    <row r="39" spans="1:6" x14ac:dyDescent="0.5">
      <c r="B39" s="8" t="s">
        <v>141</v>
      </c>
      <c r="C39" s="8" t="s">
        <v>446</v>
      </c>
      <c r="D39" s="103">
        <f>OPEX!N205+OPEX!N245+OPEX!N285</f>
        <v>-0.60608416480787453</v>
      </c>
      <c r="E39" s="103">
        <f>OPEX!M162-OPEX!F162</f>
        <v>-0.60608416480787675</v>
      </c>
      <c r="F39" s="119">
        <f t="shared" si="0"/>
        <v>2.2204460492503131E-15</v>
      </c>
    </row>
    <row r="40" spans="1:6" ht="17" thickBot="1" x14ac:dyDescent="0.55000000000000004">
      <c r="B40" s="48" t="s">
        <v>142</v>
      </c>
      <c r="C40" s="8" t="s">
        <v>446</v>
      </c>
      <c r="D40" s="103">
        <f>OPEX!N206+OPEX!N246+OPEX!N286</f>
        <v>-4.068752056156578</v>
      </c>
      <c r="E40" s="103">
        <f>OPEX!M163-OPEX!F163</f>
        <v>-4.0687520561565691</v>
      </c>
      <c r="F40" s="119">
        <f t="shared" si="0"/>
        <v>-8.8817841970012523E-15</v>
      </c>
    </row>
    <row r="42" spans="1:6" ht="19" thickBot="1" x14ac:dyDescent="0.55000000000000004">
      <c r="A42" s="14" t="s">
        <v>193</v>
      </c>
      <c r="B42" s="23"/>
    </row>
    <row r="43" spans="1:6" ht="17" thickTop="1" x14ac:dyDescent="0.5"/>
    <row r="44" spans="1:6" ht="17" thickBot="1" x14ac:dyDescent="0.55000000000000004">
      <c r="B44" s="27" t="s">
        <v>302</v>
      </c>
      <c r="C44" s="74" t="s">
        <v>57</v>
      </c>
      <c r="D44" s="74" t="s">
        <v>443</v>
      </c>
      <c r="E44" s="74" t="s">
        <v>444</v>
      </c>
      <c r="F44" s="74" t="s">
        <v>445</v>
      </c>
    </row>
    <row r="45" spans="1:6" x14ac:dyDescent="0.5">
      <c r="B45" s="8" t="s">
        <v>146</v>
      </c>
      <c r="C45" s="8" t="s">
        <v>446</v>
      </c>
      <c r="D45" s="103">
        <f>Comrev!N232+Comrev!N287+Comrev!N342</f>
        <v>6.3569122910537317</v>
      </c>
      <c r="E45" s="103">
        <f>Comrev!M175-Comrev!F175</f>
        <v>6.3569122910537033</v>
      </c>
      <c r="F45" s="119">
        <f t="shared" ref="F45:F75" si="1">D45-E45</f>
        <v>2.8421709430404007E-14</v>
      </c>
    </row>
    <row r="46" spans="1:6" x14ac:dyDescent="0.5">
      <c r="B46" s="8" t="s">
        <v>148</v>
      </c>
      <c r="C46" s="8" t="s">
        <v>446</v>
      </c>
      <c r="D46" s="103">
        <f>Comrev!N233+Comrev!N288+Comrev!N343</f>
        <v>0.2650104525722351</v>
      </c>
      <c r="E46" s="103">
        <f>Comrev!M176-Comrev!F176</f>
        <v>0.26501045257223321</v>
      </c>
      <c r="F46" s="119">
        <f t="shared" si="1"/>
        <v>1.8873791418627661E-15</v>
      </c>
    </row>
    <row r="47" spans="1:6" x14ac:dyDescent="0.5">
      <c r="B47" s="8" t="s">
        <v>149</v>
      </c>
      <c r="C47" s="8" t="s">
        <v>446</v>
      </c>
      <c r="D47" s="103">
        <f>Comrev!N234+Comrev!N289+Comrev!N344</f>
        <v>2.0812822601623688</v>
      </c>
      <c r="E47" s="103">
        <f>Comrev!M177-Comrev!F177</f>
        <v>2.0812822601623573</v>
      </c>
      <c r="F47" s="119">
        <f t="shared" si="1"/>
        <v>1.1546319456101628E-14</v>
      </c>
    </row>
    <row r="48" spans="1:6" x14ac:dyDescent="0.5">
      <c r="B48" s="8" t="s">
        <v>150</v>
      </c>
      <c r="C48" s="8" t="s">
        <v>446</v>
      </c>
      <c r="D48" s="103">
        <f>Comrev!N235+Comrev!N290+Comrev!N345</f>
        <v>1.4078770441405464</v>
      </c>
      <c r="E48" s="103">
        <f>Comrev!M178-Comrev!F178</f>
        <v>1.4078770441405446</v>
      </c>
      <c r="F48" s="119">
        <f t="shared" si="1"/>
        <v>1.7763568394002505E-15</v>
      </c>
    </row>
    <row r="49" spans="2:6" x14ac:dyDescent="0.5">
      <c r="B49" s="8" t="s">
        <v>151</v>
      </c>
      <c r="C49" s="8" t="s">
        <v>446</v>
      </c>
      <c r="D49" s="103">
        <f>Comrev!N236+Comrev!N291+Comrev!N346</f>
        <v>0.90429036358172388</v>
      </c>
      <c r="E49" s="103">
        <f>Comrev!M179-Comrev!F179</f>
        <v>0.90429036358172077</v>
      </c>
      <c r="F49" s="119">
        <f t="shared" si="1"/>
        <v>3.1086244689504383E-15</v>
      </c>
    </row>
    <row r="50" spans="2:6" x14ac:dyDescent="0.5">
      <c r="B50" s="8" t="s">
        <v>152</v>
      </c>
      <c r="C50" s="8" t="s">
        <v>446</v>
      </c>
      <c r="D50" s="103">
        <f>Comrev!N237+Comrev!N292+Comrev!N347</f>
        <v>1.8535972110610421</v>
      </c>
      <c r="E50" s="103">
        <f>Comrev!M180-Comrev!F180</f>
        <v>1.8535972110610395</v>
      </c>
      <c r="F50" s="119">
        <f t="shared" si="1"/>
        <v>2.6645352591003757E-15</v>
      </c>
    </row>
    <row r="51" spans="2:6" x14ac:dyDescent="0.5">
      <c r="B51" s="8" t="s">
        <v>153</v>
      </c>
      <c r="C51" s="8" t="s">
        <v>446</v>
      </c>
      <c r="D51" s="103">
        <f>Comrev!N238+Comrev!N293+Comrev!N348</f>
        <v>0.40639561235193883</v>
      </c>
      <c r="E51" s="103">
        <f>Comrev!M181-Comrev!F181</f>
        <v>0.40639561235193877</v>
      </c>
      <c r="F51" s="119">
        <f t="shared" si="1"/>
        <v>0</v>
      </c>
    </row>
    <row r="52" spans="2:6" x14ac:dyDescent="0.5">
      <c r="B52" s="8" t="s">
        <v>154</v>
      </c>
      <c r="C52" s="8" t="s">
        <v>446</v>
      </c>
      <c r="D52" s="103">
        <f>Comrev!N239+Comrev!N294+Comrev!N349</f>
        <v>2.0884100582208469</v>
      </c>
      <c r="E52" s="103">
        <f>Comrev!M182-Comrev!F182</f>
        <v>2.0884100582208305</v>
      </c>
      <c r="F52" s="119">
        <f t="shared" si="1"/>
        <v>1.6431300764452317E-14</v>
      </c>
    </row>
    <row r="53" spans="2:6" x14ac:dyDescent="0.5">
      <c r="B53" s="8" t="s">
        <v>155</v>
      </c>
      <c r="C53" s="8" t="s">
        <v>446</v>
      </c>
      <c r="D53" s="103">
        <f>Comrev!N240+Comrev!N295+Comrev!N350</f>
        <v>1.1339314834423202</v>
      </c>
      <c r="E53" s="103">
        <f>Comrev!M183-Comrev!F183</f>
        <v>1.1339314834423178</v>
      </c>
      <c r="F53" s="119">
        <f t="shared" si="1"/>
        <v>2.4424906541753444E-15</v>
      </c>
    </row>
    <row r="54" spans="2:6" x14ac:dyDescent="0.5">
      <c r="B54" s="8" t="s">
        <v>156</v>
      </c>
      <c r="C54" s="8" t="s">
        <v>446</v>
      </c>
      <c r="D54" s="103">
        <f>Comrev!N241+Comrev!N296+Comrev!N351</f>
        <v>4.0710527353911692</v>
      </c>
      <c r="E54" s="103">
        <f>Comrev!M184-Comrev!F184</f>
        <v>4.0710527353911701</v>
      </c>
      <c r="F54" s="119">
        <f t="shared" si="1"/>
        <v>0</v>
      </c>
    </row>
    <row r="55" spans="2:6" x14ac:dyDescent="0.5">
      <c r="B55" s="8" t="s">
        <v>157</v>
      </c>
      <c r="C55" s="8" t="s">
        <v>446</v>
      </c>
      <c r="D55" s="103">
        <f>Comrev!N242+Comrev!N297+Comrev!N352</f>
        <v>4.6311996265077733</v>
      </c>
      <c r="E55" s="103">
        <f>Comrev!M185-Comrev!F185</f>
        <v>4.6311996265077511</v>
      </c>
      <c r="F55" s="119">
        <f t="shared" si="1"/>
        <v>2.2204460492503131E-14</v>
      </c>
    </row>
    <row r="56" spans="2:6" x14ac:dyDescent="0.5">
      <c r="B56" s="8" t="s">
        <v>158</v>
      </c>
      <c r="C56" s="8" t="s">
        <v>446</v>
      </c>
      <c r="D56" s="103">
        <f>Comrev!N243+Comrev!N298+Comrev!N353</f>
        <v>-11.267084735755352</v>
      </c>
      <c r="E56" s="103">
        <f>Comrev!M186-Comrev!F186</f>
        <v>-11.267084735755352</v>
      </c>
      <c r="F56" s="119">
        <f t="shared" si="1"/>
        <v>0</v>
      </c>
    </row>
    <row r="57" spans="2:6" x14ac:dyDescent="0.5">
      <c r="B57" s="8" t="s">
        <v>159</v>
      </c>
      <c r="C57" s="8" t="s">
        <v>446</v>
      </c>
      <c r="D57" s="103">
        <f>Comrev!N244+Comrev!N299+Comrev!N354</f>
        <v>0.24524593502309203</v>
      </c>
      <c r="E57" s="103">
        <f>Comrev!M187-Comrev!F187</f>
        <v>0.24524593502309155</v>
      </c>
      <c r="F57" s="119">
        <f t="shared" si="1"/>
        <v>4.7184478546569153E-16</v>
      </c>
    </row>
    <row r="58" spans="2:6" x14ac:dyDescent="0.5">
      <c r="B58" s="53" t="s">
        <v>160</v>
      </c>
      <c r="C58" s="8" t="s">
        <v>446</v>
      </c>
      <c r="D58" s="103">
        <f>Comrev!N245+Comrev!N300+Comrev!N355</f>
        <v>3.3764179150325919</v>
      </c>
      <c r="E58" s="103">
        <f>Comrev!M188-Comrev!F188</f>
        <v>3.3764179150325759</v>
      </c>
      <c r="F58" s="119">
        <f t="shared" si="1"/>
        <v>1.5987211554602254E-14</v>
      </c>
    </row>
    <row r="59" spans="2:6" x14ac:dyDescent="0.5">
      <c r="B59" s="53" t="s">
        <v>161</v>
      </c>
      <c r="C59" s="8" t="s">
        <v>446</v>
      </c>
      <c r="D59" s="103">
        <f>Comrev!N246+Comrev!N301+Comrev!N356</f>
        <v>0</v>
      </c>
      <c r="E59" s="103">
        <f>Comrev!M189-Comrev!F189</f>
        <v>0</v>
      </c>
      <c r="F59" s="119">
        <f t="shared" si="1"/>
        <v>0</v>
      </c>
    </row>
    <row r="60" spans="2:6" x14ac:dyDescent="0.5">
      <c r="B60" s="53" t="s">
        <v>161</v>
      </c>
      <c r="C60" s="8" t="s">
        <v>446</v>
      </c>
      <c r="D60" s="103">
        <f>Comrev!N247+Comrev!N302+Comrev!N357</f>
        <v>0</v>
      </c>
      <c r="E60" s="103">
        <f>Comrev!M190-Comrev!F190</f>
        <v>0</v>
      </c>
      <c r="F60" s="119">
        <f t="shared" si="1"/>
        <v>0</v>
      </c>
    </row>
    <row r="61" spans="2:6" x14ac:dyDescent="0.5">
      <c r="B61" s="8" t="s">
        <v>163</v>
      </c>
      <c r="C61" s="8" t="s">
        <v>446</v>
      </c>
      <c r="D61" s="103">
        <f>Comrev!N248+Comrev!N303+Comrev!N358</f>
        <v>25.822571680821163</v>
      </c>
      <c r="E61" s="103">
        <f>Comrev!M191-Comrev!F191</f>
        <v>25.822571680821255</v>
      </c>
      <c r="F61" s="119">
        <f t="shared" si="1"/>
        <v>-9.2370555648813024E-14</v>
      </c>
    </row>
    <row r="62" spans="2:6" x14ac:dyDescent="0.5">
      <c r="B62" s="8" t="s">
        <v>164</v>
      </c>
      <c r="C62" s="8" t="s">
        <v>446</v>
      </c>
      <c r="D62" s="103">
        <f>Comrev!N249+Comrev!N304+Comrev!N359</f>
        <v>4.0104704951008996</v>
      </c>
      <c r="E62" s="103">
        <f>Comrev!M192-Comrev!F192</f>
        <v>4.010470495100904</v>
      </c>
      <c r="F62" s="119">
        <f t="shared" si="1"/>
        <v>0</v>
      </c>
    </row>
    <row r="63" spans="2:6" x14ac:dyDescent="0.5">
      <c r="B63" s="53" t="s">
        <v>165</v>
      </c>
      <c r="C63" s="8" t="s">
        <v>446</v>
      </c>
      <c r="D63" s="103">
        <f>Comrev!N250+Comrev!N305+Comrev!N360</f>
        <v>0</v>
      </c>
      <c r="E63" s="103">
        <f>Comrev!M193-Comrev!F193</f>
        <v>0</v>
      </c>
      <c r="F63" s="119">
        <f t="shared" si="1"/>
        <v>0</v>
      </c>
    </row>
    <row r="64" spans="2:6" x14ac:dyDescent="0.5">
      <c r="B64" s="53" t="s">
        <v>161</v>
      </c>
      <c r="C64" s="8" t="s">
        <v>446</v>
      </c>
      <c r="D64" s="103">
        <f>Comrev!N251+Comrev!N306+Comrev!N361</f>
        <v>0</v>
      </c>
      <c r="E64" s="103">
        <f>Comrev!M194-Comrev!F194</f>
        <v>0</v>
      </c>
      <c r="F64" s="119">
        <f t="shared" si="1"/>
        <v>0</v>
      </c>
    </row>
    <row r="65" spans="2:6" x14ac:dyDescent="0.5">
      <c r="B65" s="8" t="s">
        <v>166</v>
      </c>
      <c r="C65" s="8" t="s">
        <v>446</v>
      </c>
      <c r="D65" s="103">
        <f>Comrev!N252+Comrev!N307+Comrev!N362</f>
        <v>0</v>
      </c>
      <c r="E65" s="103">
        <f>Comrev!M195-Comrev!F195</f>
        <v>0</v>
      </c>
      <c r="F65" s="119">
        <f t="shared" si="1"/>
        <v>0</v>
      </c>
    </row>
    <row r="66" spans="2:6" x14ac:dyDescent="0.5">
      <c r="B66" s="8" t="s">
        <v>167</v>
      </c>
      <c r="C66" s="8" t="s">
        <v>446</v>
      </c>
      <c r="D66" s="103">
        <f>Comrev!N253+Comrev!N308+Comrev!N363</f>
        <v>1.7968852763965564</v>
      </c>
      <c r="E66" s="103">
        <f>Comrev!M196-Comrev!F196</f>
        <v>1.7968852763965586</v>
      </c>
      <c r="F66" s="119">
        <f t="shared" si="1"/>
        <v>-2.2204460492503131E-15</v>
      </c>
    </row>
    <row r="67" spans="2:6" x14ac:dyDescent="0.5">
      <c r="B67" s="8" t="s">
        <v>169</v>
      </c>
      <c r="C67" s="8" t="s">
        <v>446</v>
      </c>
      <c r="D67" s="103">
        <f>Comrev!N254+Comrev!N309+Comrev!N364</f>
        <v>3.6738998066856228</v>
      </c>
      <c r="E67" s="103">
        <f>Comrev!M197-Comrev!F197</f>
        <v>3.6738998066856112</v>
      </c>
      <c r="F67" s="119">
        <f t="shared" si="1"/>
        <v>1.1546319456101628E-14</v>
      </c>
    </row>
    <row r="68" spans="2:6" x14ac:dyDescent="0.5">
      <c r="B68" s="8" t="s">
        <v>170</v>
      </c>
      <c r="C68" s="8" t="s">
        <v>446</v>
      </c>
      <c r="D68" s="103">
        <f>Comrev!N255+Comrev!N310+Comrev!N365</f>
        <v>2.4673735069898233</v>
      </c>
      <c r="E68" s="103">
        <f>Comrev!M198-Comrev!F198</f>
        <v>2.4673735069898157</v>
      </c>
      <c r="F68" s="119">
        <f t="shared" si="1"/>
        <v>7.5495165674510645E-15</v>
      </c>
    </row>
    <row r="69" spans="2:6" x14ac:dyDescent="0.5">
      <c r="B69" s="8" t="s">
        <v>171</v>
      </c>
      <c r="C69" s="8" t="s">
        <v>446</v>
      </c>
      <c r="D69" s="103">
        <f>Comrev!N256+Comrev!N311+Comrev!N366</f>
        <v>1.056821393702533</v>
      </c>
      <c r="E69" s="103">
        <f>Comrev!M199-Comrev!F199</f>
        <v>1.0568213937025348</v>
      </c>
      <c r="F69" s="119">
        <f t="shared" si="1"/>
        <v>-1.7763568394002505E-15</v>
      </c>
    </row>
    <row r="70" spans="2:6" x14ac:dyDescent="0.5">
      <c r="B70" s="8" t="s">
        <v>173</v>
      </c>
      <c r="C70" s="8" t="s">
        <v>446</v>
      </c>
      <c r="D70" s="103">
        <f>Comrev!N257+Comrev!N312+Comrev!N367</f>
        <v>2.0414477218350524</v>
      </c>
      <c r="E70" s="103">
        <f>Comrev!M200-Comrev!F200</f>
        <v>2.0414477218350982</v>
      </c>
      <c r="F70" s="119">
        <f t="shared" si="1"/>
        <v>-4.5741188614556449E-14</v>
      </c>
    </row>
    <row r="71" spans="2:6" x14ac:dyDescent="0.5">
      <c r="B71" s="8" t="s">
        <v>174</v>
      </c>
      <c r="C71" s="8" t="s">
        <v>446</v>
      </c>
      <c r="D71" s="103">
        <f>Comrev!N258+Comrev!N313+Comrev!N368</f>
        <v>0.26095216021818035</v>
      </c>
      <c r="E71" s="103">
        <f>Comrev!M201-Comrev!F201</f>
        <v>0.26095216021818057</v>
      </c>
      <c r="F71" s="119">
        <f t="shared" si="1"/>
        <v>0</v>
      </c>
    </row>
    <row r="72" spans="2:6" x14ac:dyDescent="0.5">
      <c r="B72" s="53" t="s">
        <v>161</v>
      </c>
      <c r="C72" s="8" t="s">
        <v>446</v>
      </c>
      <c r="D72" s="103">
        <f>Comrev!N259+Comrev!N314+Comrev!N369</f>
        <v>0</v>
      </c>
      <c r="E72" s="103">
        <f>Comrev!M202-Comrev!F202</f>
        <v>0</v>
      </c>
      <c r="F72" s="119">
        <f t="shared" si="1"/>
        <v>0</v>
      </c>
    </row>
    <row r="73" spans="2:6" x14ac:dyDescent="0.5">
      <c r="B73" s="53" t="s">
        <v>161</v>
      </c>
      <c r="C73" s="8" t="s">
        <v>446</v>
      </c>
      <c r="D73" s="103">
        <f>Comrev!N260+Comrev!N315+Comrev!N370</f>
        <v>0</v>
      </c>
      <c r="E73" s="103">
        <f>Comrev!M203-Comrev!F203</f>
        <v>0</v>
      </c>
      <c r="F73" s="119">
        <f t="shared" si="1"/>
        <v>0</v>
      </c>
    </row>
    <row r="74" spans="2:6" x14ac:dyDescent="0.5">
      <c r="B74" s="53" t="s">
        <v>161</v>
      </c>
      <c r="C74" s="8" t="s">
        <v>446</v>
      </c>
      <c r="D74" s="103">
        <f>Comrev!N261+Comrev!N316+Comrev!N371</f>
        <v>0</v>
      </c>
      <c r="E74" s="103">
        <f>Comrev!M204-Comrev!F204</f>
        <v>0</v>
      </c>
      <c r="F74" s="119">
        <f t="shared" si="1"/>
        <v>0</v>
      </c>
    </row>
    <row r="75" spans="2:6" x14ac:dyDescent="0.5">
      <c r="B75" s="8" t="s">
        <v>175</v>
      </c>
      <c r="C75" s="8" t="s">
        <v>446</v>
      </c>
      <c r="D75" s="103">
        <f>Comrev!N262+Comrev!N317+Comrev!N372</f>
        <v>0</v>
      </c>
      <c r="E75" s="103">
        <f>Comrev!M205-Comrev!F205</f>
        <v>0</v>
      </c>
      <c r="F75" s="119">
        <f t="shared" si="1"/>
        <v>0</v>
      </c>
    </row>
    <row r="76" spans="2:6" x14ac:dyDescent="0.5">
      <c r="B76" s="8" t="s">
        <v>177</v>
      </c>
      <c r="C76" s="8" t="s">
        <v>446</v>
      </c>
      <c r="D76" s="103">
        <f>Comrev!N263+Comrev!N318+Comrev!N373</f>
        <v>0</v>
      </c>
      <c r="E76" s="103">
        <f>Comrev!M206-Comrev!F206</f>
        <v>0</v>
      </c>
      <c r="F76" s="119">
        <f t="shared" ref="F76:F93" si="2">D76-E76</f>
        <v>0</v>
      </c>
    </row>
    <row r="77" spans="2:6" x14ac:dyDescent="0.5">
      <c r="B77" s="8" t="s">
        <v>178</v>
      </c>
      <c r="C77" s="8" t="s">
        <v>446</v>
      </c>
      <c r="D77" s="103">
        <f>Comrev!N264+Comrev!N319+Comrev!N374</f>
        <v>0</v>
      </c>
      <c r="E77" s="103">
        <f>Comrev!M207-Comrev!F207</f>
        <v>0</v>
      </c>
      <c r="F77" s="119">
        <f t="shared" si="2"/>
        <v>0</v>
      </c>
    </row>
    <row r="78" spans="2:6" x14ac:dyDescent="0.5">
      <c r="B78" s="8" t="s">
        <v>179</v>
      </c>
      <c r="C78" s="8" t="s">
        <v>446</v>
      </c>
      <c r="D78" s="103">
        <f>Comrev!N265+Comrev!N320+Comrev!N375</f>
        <v>2.9100612975352798</v>
      </c>
      <c r="E78" s="103">
        <f>Comrev!M208-Comrev!F208</f>
        <v>2.9100612975353073</v>
      </c>
      <c r="F78" s="119">
        <f t="shared" si="2"/>
        <v>-2.7533531010703882E-14</v>
      </c>
    </row>
    <row r="79" spans="2:6" x14ac:dyDescent="0.5">
      <c r="B79" s="53" t="s">
        <v>180</v>
      </c>
      <c r="C79" s="8" t="s">
        <v>446</v>
      </c>
      <c r="D79" s="103">
        <f>Comrev!N266+Comrev!N321+Comrev!N376</f>
        <v>1.4136848215601783</v>
      </c>
      <c r="E79" s="103">
        <f>Comrev!M209-Comrev!F209</f>
        <v>1.4136848215601887</v>
      </c>
      <c r="F79" s="119">
        <f t="shared" si="2"/>
        <v>-1.0436096431476471E-14</v>
      </c>
    </row>
    <row r="80" spans="2:6" x14ac:dyDescent="0.5">
      <c r="B80" s="53" t="s">
        <v>181</v>
      </c>
      <c r="C80" s="8" t="s">
        <v>446</v>
      </c>
      <c r="D80" s="103">
        <f>Comrev!N267+Comrev!N322+Comrev!N377</f>
        <v>0.40782147564506449</v>
      </c>
      <c r="E80" s="103">
        <f>Comrev!M210-Comrev!F210</f>
        <v>0.40782147564507021</v>
      </c>
      <c r="F80" s="119">
        <f t="shared" si="2"/>
        <v>-5.7176485768195562E-15</v>
      </c>
    </row>
    <row r="81" spans="2:6" x14ac:dyDescent="0.5">
      <c r="B81" s="53" t="s">
        <v>161</v>
      </c>
      <c r="C81" s="8" t="s">
        <v>446</v>
      </c>
      <c r="D81" s="103">
        <f>Comrev!N268+Comrev!N323+Comrev!N378</f>
        <v>0</v>
      </c>
      <c r="E81" s="103">
        <f>Comrev!M211-Comrev!F211</f>
        <v>0</v>
      </c>
      <c r="F81" s="119">
        <f t="shared" si="2"/>
        <v>0</v>
      </c>
    </row>
    <row r="82" spans="2:6" x14ac:dyDescent="0.5">
      <c r="B82" s="53" t="s">
        <v>161</v>
      </c>
      <c r="C82" s="8" t="s">
        <v>446</v>
      </c>
      <c r="D82" s="103">
        <f>Comrev!N269+Comrev!N324+Comrev!N379</f>
        <v>0</v>
      </c>
      <c r="E82" s="103">
        <f>Comrev!M212-Comrev!F212</f>
        <v>0</v>
      </c>
      <c r="F82" s="119">
        <f t="shared" si="2"/>
        <v>0</v>
      </c>
    </row>
    <row r="83" spans="2:6" x14ac:dyDescent="0.5">
      <c r="B83" s="53" t="s">
        <v>161</v>
      </c>
      <c r="C83" s="8" t="s">
        <v>446</v>
      </c>
      <c r="D83" s="103">
        <f>Comrev!N270+Comrev!N325+Comrev!N380</f>
        <v>0</v>
      </c>
      <c r="E83" s="103">
        <f>Comrev!M213-Comrev!F213</f>
        <v>0</v>
      </c>
      <c r="F83" s="119">
        <f t="shared" si="2"/>
        <v>0</v>
      </c>
    </row>
    <row r="84" spans="2:6" x14ac:dyDescent="0.5">
      <c r="B84" s="8" t="s">
        <v>182</v>
      </c>
      <c r="C84" s="8" t="s">
        <v>446</v>
      </c>
      <c r="D84" s="103">
        <f>Comrev!N271+Comrev!N326+Comrev!N381</f>
        <v>0</v>
      </c>
      <c r="E84" s="103">
        <f>Comrev!M214-Comrev!F214</f>
        <v>0</v>
      </c>
      <c r="F84" s="119">
        <f t="shared" si="2"/>
        <v>0</v>
      </c>
    </row>
    <row r="85" spans="2:6" x14ac:dyDescent="0.5">
      <c r="B85" s="8" t="s">
        <v>183</v>
      </c>
      <c r="C85" s="8" t="s">
        <v>446</v>
      </c>
      <c r="D85" s="103">
        <f>Comrev!N272+Comrev!N327+Comrev!N382</f>
        <v>0</v>
      </c>
      <c r="E85" s="103">
        <f>Comrev!M215-Comrev!F215</f>
        <v>0</v>
      </c>
      <c r="F85" s="119">
        <f t="shared" si="2"/>
        <v>0</v>
      </c>
    </row>
    <row r="86" spans="2:6" x14ac:dyDescent="0.5">
      <c r="B86" s="8" t="s">
        <v>185</v>
      </c>
      <c r="C86" s="8" t="s">
        <v>446</v>
      </c>
      <c r="D86" s="103">
        <f>Comrev!N273+Comrev!N328+Comrev!N383</f>
        <v>0</v>
      </c>
      <c r="E86" s="103">
        <f>Comrev!M216-Comrev!F216</f>
        <v>0</v>
      </c>
      <c r="F86" s="119">
        <f t="shared" si="2"/>
        <v>0</v>
      </c>
    </row>
    <row r="87" spans="2:6" x14ac:dyDescent="0.5">
      <c r="B87" s="8" t="s">
        <v>186</v>
      </c>
      <c r="C87" s="8" t="s">
        <v>446</v>
      </c>
      <c r="D87" s="103">
        <f>Comrev!N274+Comrev!N329+Comrev!N384</f>
        <v>0.40518513771329578</v>
      </c>
      <c r="E87" s="103">
        <f>Comrev!M217-Comrev!F217</f>
        <v>0.40518513771329623</v>
      </c>
      <c r="F87" s="119">
        <f t="shared" si="2"/>
        <v>-4.4408920985006262E-16</v>
      </c>
    </row>
    <row r="88" spans="2:6" x14ac:dyDescent="0.5">
      <c r="B88" s="8" t="s">
        <v>161</v>
      </c>
      <c r="C88" s="8" t="s">
        <v>446</v>
      </c>
      <c r="D88" s="103">
        <f>Comrev!N275+Comrev!N330+Comrev!N385</f>
        <v>0</v>
      </c>
      <c r="E88" s="103">
        <f>Comrev!M218-Comrev!F218</f>
        <v>0</v>
      </c>
      <c r="F88" s="119">
        <f t="shared" si="2"/>
        <v>0</v>
      </c>
    </row>
    <row r="89" spans="2:6" x14ac:dyDescent="0.5">
      <c r="B89" s="53" t="s">
        <v>161</v>
      </c>
      <c r="C89" s="8" t="s">
        <v>446</v>
      </c>
      <c r="D89" s="103">
        <f>Comrev!N276+Comrev!N331+Comrev!N386</f>
        <v>0</v>
      </c>
      <c r="E89" s="103">
        <f>Comrev!M219-Comrev!F219</f>
        <v>0</v>
      </c>
      <c r="F89" s="119">
        <f t="shared" si="2"/>
        <v>0</v>
      </c>
    </row>
    <row r="90" spans="2:6" x14ac:dyDescent="0.5">
      <c r="B90" s="53" t="s">
        <v>161</v>
      </c>
      <c r="C90" s="8" t="s">
        <v>446</v>
      </c>
      <c r="D90" s="103">
        <f>Comrev!N277+Comrev!N332+Comrev!N387</f>
        <v>0</v>
      </c>
      <c r="E90" s="103">
        <f>Comrev!M220-Comrev!F220</f>
        <v>0</v>
      </c>
      <c r="F90" s="119">
        <f t="shared" si="2"/>
        <v>0</v>
      </c>
    </row>
    <row r="91" spans="2:6" x14ac:dyDescent="0.5">
      <c r="B91" s="53" t="s">
        <v>187</v>
      </c>
      <c r="C91" s="8" t="s">
        <v>446</v>
      </c>
      <c r="D91" s="103">
        <f>Comrev!N278+Comrev!N333+Comrev!N388</f>
        <v>0</v>
      </c>
      <c r="E91" s="103">
        <f>Comrev!M221-Comrev!F221</f>
        <v>0</v>
      </c>
      <c r="F91" s="119">
        <f t="shared" si="2"/>
        <v>0</v>
      </c>
    </row>
    <row r="92" spans="2:6" x14ac:dyDescent="0.5">
      <c r="B92" s="8" t="s">
        <v>161</v>
      </c>
      <c r="C92" s="8" t="s">
        <v>446</v>
      </c>
      <c r="D92" s="103">
        <f>Comrev!N279+Comrev!N334+Comrev!N389</f>
        <v>0</v>
      </c>
      <c r="E92" s="103">
        <f>Comrev!M222-Comrev!F222</f>
        <v>0</v>
      </c>
      <c r="F92" s="119">
        <f t="shared" si="2"/>
        <v>0</v>
      </c>
    </row>
    <row r="93" spans="2:6" x14ac:dyDescent="0.5">
      <c r="B93" s="53" t="s">
        <v>161</v>
      </c>
      <c r="C93" s="8" t="s">
        <v>446</v>
      </c>
      <c r="D93" s="103">
        <f>Comrev!N280+Comrev!N335+Comrev!N390</f>
        <v>0</v>
      </c>
      <c r="E93" s="103">
        <f>Comrev!M223-Comrev!F223</f>
        <v>0</v>
      </c>
      <c r="F93" s="119">
        <f t="shared" si="2"/>
        <v>0</v>
      </c>
    </row>
  </sheetData>
  <conditionalFormatting sqref="F6:F40 F45:F93">
    <cfRule type="cellIs" dxfId="1" priority="7" operator="equal">
      <formula>TRUE</formula>
    </cfRule>
    <cfRule type="cellIs" dxfId="0" priority="8" operator="equal">
      <formula>FALSE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244C1-2636-4B6D-BC44-7E348FAEEE55}">
  <dimension ref="A1:E11"/>
  <sheetViews>
    <sheetView workbookViewId="0">
      <selection activeCell="B12" sqref="B12"/>
    </sheetView>
  </sheetViews>
  <sheetFormatPr defaultColWidth="8.90625" defaultRowHeight="16.5" x14ac:dyDescent="0.5"/>
  <cols>
    <col min="2" max="3" width="12.6328125" customWidth="1"/>
    <col min="4" max="4" width="20.6328125" customWidth="1"/>
    <col min="5" max="5" width="52.90625" customWidth="1"/>
  </cols>
  <sheetData>
    <row r="1" spans="1:5" ht="21.5" thickBot="1" x14ac:dyDescent="0.65">
      <c r="A1" s="165" t="s">
        <v>0</v>
      </c>
    </row>
    <row r="2" spans="1:5" ht="17" thickTop="1" x14ac:dyDescent="0.5"/>
    <row r="3" spans="1:5" ht="17" thickBot="1" x14ac:dyDescent="0.55000000000000004">
      <c r="B3" s="48" t="s">
        <v>1</v>
      </c>
      <c r="C3" s="48" t="s">
        <v>2</v>
      </c>
      <c r="D3" s="48" t="s">
        <v>3</v>
      </c>
      <c r="E3" s="48" t="s">
        <v>4</v>
      </c>
    </row>
    <row r="4" spans="1:5" x14ac:dyDescent="0.5">
      <c r="B4" t="s">
        <v>5</v>
      </c>
      <c r="C4" s="166">
        <v>45832</v>
      </c>
      <c r="D4" t="s">
        <v>6</v>
      </c>
      <c r="E4" t="s">
        <v>7</v>
      </c>
    </row>
    <row r="5" spans="1:5" x14ac:dyDescent="0.5">
      <c r="B5" t="s">
        <v>8</v>
      </c>
      <c r="C5" s="166">
        <v>45862</v>
      </c>
      <c r="D5" t="s">
        <v>6</v>
      </c>
      <c r="E5" t="s">
        <v>9</v>
      </c>
    </row>
    <row r="6" spans="1:5" x14ac:dyDescent="0.5">
      <c r="B6" t="s">
        <v>10</v>
      </c>
      <c r="C6" s="166">
        <v>45918</v>
      </c>
      <c r="E6" t="s">
        <v>11</v>
      </c>
    </row>
    <row r="7" spans="1:5" x14ac:dyDescent="0.5">
      <c r="B7" t="s">
        <v>12</v>
      </c>
      <c r="C7" s="166">
        <v>45960</v>
      </c>
      <c r="E7" t="s">
        <v>13</v>
      </c>
    </row>
    <row r="8" spans="1:5" x14ac:dyDescent="0.5">
      <c r="B8" t="s">
        <v>14</v>
      </c>
      <c r="C8" s="166">
        <v>45982</v>
      </c>
      <c r="E8" t="s">
        <v>15</v>
      </c>
    </row>
    <row r="9" spans="1:5" x14ac:dyDescent="0.5">
      <c r="B9" t="s">
        <v>16</v>
      </c>
      <c r="C9" s="166">
        <v>45989</v>
      </c>
      <c r="D9" t="s">
        <v>17</v>
      </c>
      <c r="E9" t="s">
        <v>18</v>
      </c>
    </row>
    <row r="10" spans="1:5" x14ac:dyDescent="0.5">
      <c r="B10" t="s">
        <v>19</v>
      </c>
      <c r="C10" s="166">
        <v>46037</v>
      </c>
      <c r="D10" t="s">
        <v>17</v>
      </c>
      <c r="E10" t="s">
        <v>20</v>
      </c>
    </row>
    <row r="11" spans="1:5" x14ac:dyDescent="0.5">
      <c r="B11" t="s">
        <v>21</v>
      </c>
      <c r="C11" s="166">
        <v>46066</v>
      </c>
      <c r="D11" t="s">
        <v>17</v>
      </c>
      <c r="E11" t="s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9"/>
  <sheetViews>
    <sheetView zoomScale="92" workbookViewId="0">
      <selection activeCell="B9" sqref="B9"/>
    </sheetView>
  </sheetViews>
  <sheetFormatPr defaultColWidth="9" defaultRowHeight="16.5" x14ac:dyDescent="0.5"/>
  <cols>
    <col min="1" max="1" width="16.6328125" customWidth="1"/>
    <col min="2" max="2" width="23.36328125" customWidth="1"/>
    <col min="3" max="3" width="11.453125" customWidth="1"/>
    <col min="8" max="8" width="17" customWidth="1"/>
    <col min="9" max="9" width="18.453125" customWidth="1"/>
    <col min="12" max="12" width="10.90625" customWidth="1"/>
  </cols>
  <sheetData>
    <row r="1" spans="1:14" ht="23" thickBot="1" x14ac:dyDescent="0.7">
      <c r="A1" s="13" t="s">
        <v>23</v>
      </c>
    </row>
    <row r="2" spans="1:14" ht="16.5" customHeight="1" thickTop="1" x14ac:dyDescent="0.65">
      <c r="A2" s="21"/>
    </row>
    <row r="3" spans="1:14" ht="16.5" customHeight="1" thickBot="1" x14ac:dyDescent="0.55000000000000004">
      <c r="A3" s="14" t="s">
        <v>24</v>
      </c>
    </row>
    <row r="4" spans="1:14" ht="16.5" customHeight="1" thickTop="1" x14ac:dyDescent="0.5">
      <c r="A4" s="23"/>
    </row>
    <row r="5" spans="1:14" ht="16.5" customHeight="1" x14ac:dyDescent="0.65">
      <c r="A5" s="21"/>
      <c r="B5" s="39" t="s">
        <v>25</v>
      </c>
      <c r="C5" s="40" t="s">
        <v>26</v>
      </c>
      <c r="D5" s="40" t="s">
        <v>27</v>
      </c>
      <c r="E5" s="8"/>
      <c r="F5" s="8"/>
      <c r="G5" s="8"/>
      <c r="H5" s="8"/>
      <c r="I5" s="8"/>
      <c r="J5" s="8"/>
      <c r="K5" s="8"/>
      <c r="L5" s="8"/>
      <c r="M5" s="8"/>
      <c r="N5" s="8"/>
    </row>
    <row r="6" spans="1:14" ht="16.5" customHeight="1" x14ac:dyDescent="0.65">
      <c r="A6" s="21"/>
      <c r="B6" s="32" t="s">
        <v>28</v>
      </c>
      <c r="C6" s="9" t="s">
        <v>29</v>
      </c>
      <c r="D6" s="9" t="s">
        <v>30</v>
      </c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16.5" customHeight="1" x14ac:dyDescent="0.65">
      <c r="A7" s="21"/>
      <c r="B7" s="81" t="s">
        <v>31</v>
      </c>
      <c r="C7" s="38" t="s">
        <v>32</v>
      </c>
      <c r="D7" s="82" t="s">
        <v>33</v>
      </c>
      <c r="E7" s="82"/>
      <c r="F7" s="82"/>
      <c r="G7" s="82"/>
      <c r="H7" s="82"/>
      <c r="I7" s="82"/>
      <c r="J7" s="82"/>
      <c r="K7" s="82"/>
      <c r="L7" s="82"/>
      <c r="M7" s="82"/>
      <c r="N7" s="82"/>
    </row>
    <row r="8" spans="1:14" ht="16.5" customHeight="1" x14ac:dyDescent="0.65">
      <c r="A8" s="21"/>
      <c r="B8" s="81" t="s">
        <v>34</v>
      </c>
      <c r="C8" s="38" t="s">
        <v>32</v>
      </c>
      <c r="D8" s="82" t="s">
        <v>35</v>
      </c>
      <c r="E8" s="82"/>
      <c r="F8" s="82"/>
      <c r="G8" s="82"/>
      <c r="H8" s="82"/>
      <c r="I8" s="82"/>
      <c r="J8" s="82"/>
      <c r="K8" s="82"/>
      <c r="L8" s="82"/>
      <c r="M8" s="82"/>
      <c r="N8" s="82"/>
    </row>
    <row r="9" spans="1:14" ht="16.5" customHeight="1" x14ac:dyDescent="0.65">
      <c r="A9" s="21"/>
      <c r="B9" s="33" t="s">
        <v>36</v>
      </c>
      <c r="C9" s="38" t="s">
        <v>32</v>
      </c>
      <c r="D9" s="38" t="s">
        <v>37</v>
      </c>
      <c r="E9" s="38"/>
      <c r="F9" s="38"/>
      <c r="G9" s="38"/>
      <c r="H9" s="38"/>
      <c r="I9" s="38"/>
      <c r="J9" s="38"/>
      <c r="K9" s="38"/>
      <c r="L9" s="38"/>
      <c r="M9" s="38"/>
      <c r="N9" s="38"/>
    </row>
    <row r="10" spans="1:14" ht="16.5" customHeight="1" x14ac:dyDescent="0.65">
      <c r="A10" s="21"/>
      <c r="B10" s="33" t="s">
        <v>38</v>
      </c>
      <c r="C10" s="38" t="s">
        <v>32</v>
      </c>
      <c r="D10" s="38" t="s">
        <v>39</v>
      </c>
      <c r="E10" s="38"/>
      <c r="F10" s="38"/>
      <c r="G10" s="38"/>
      <c r="H10" s="38"/>
      <c r="I10" s="38"/>
      <c r="J10" s="38"/>
      <c r="K10" s="38"/>
      <c r="L10" s="38"/>
      <c r="M10" s="38"/>
      <c r="N10" s="38"/>
    </row>
    <row r="11" spans="1:14" ht="16.5" customHeight="1" x14ac:dyDescent="0.65">
      <c r="A11" s="21"/>
      <c r="B11" s="33" t="s">
        <v>40</v>
      </c>
      <c r="C11" s="38" t="s">
        <v>32</v>
      </c>
      <c r="D11" s="38" t="s">
        <v>41</v>
      </c>
      <c r="E11" s="38"/>
      <c r="F11" s="38"/>
      <c r="G11" s="38"/>
      <c r="H11" s="38"/>
      <c r="I11" s="38"/>
      <c r="J11" s="38"/>
      <c r="K11" s="38"/>
      <c r="L11" s="38"/>
      <c r="M11" s="38"/>
      <c r="N11" s="38"/>
    </row>
    <row r="12" spans="1:14" ht="16.5" customHeight="1" x14ac:dyDescent="0.65">
      <c r="A12" s="21"/>
      <c r="B12" s="33" t="s">
        <v>42</v>
      </c>
      <c r="C12" s="38" t="s">
        <v>32</v>
      </c>
      <c r="D12" s="38" t="s">
        <v>43</v>
      </c>
      <c r="E12" s="38"/>
      <c r="F12" s="38"/>
      <c r="G12" s="38"/>
      <c r="H12" s="38"/>
      <c r="I12" s="38"/>
      <c r="J12" s="38"/>
      <c r="K12" s="38"/>
      <c r="L12" s="38"/>
      <c r="M12" s="38"/>
      <c r="N12" s="38"/>
    </row>
    <row r="13" spans="1:14" ht="16.5" customHeight="1" x14ac:dyDescent="0.65">
      <c r="A13" s="21"/>
      <c r="B13" s="33" t="s">
        <v>44</v>
      </c>
      <c r="C13" s="38" t="s">
        <v>32</v>
      </c>
      <c r="D13" s="38" t="s">
        <v>45</v>
      </c>
      <c r="E13" s="38"/>
      <c r="F13" s="38"/>
      <c r="G13" s="38"/>
      <c r="H13" s="38"/>
      <c r="I13" s="38"/>
      <c r="J13" s="38"/>
      <c r="K13" s="38"/>
      <c r="L13" s="38"/>
      <c r="M13" s="38"/>
      <c r="N13" s="38"/>
    </row>
    <row r="14" spans="1:14" ht="16.5" customHeight="1" x14ac:dyDescent="0.65">
      <c r="A14" s="21"/>
      <c r="B14" s="34" t="s">
        <v>46</v>
      </c>
      <c r="C14" s="31" t="s">
        <v>47</v>
      </c>
      <c r="D14" s="31" t="s">
        <v>48</v>
      </c>
      <c r="E14" s="31"/>
      <c r="F14" s="31"/>
      <c r="G14" s="31"/>
      <c r="H14" s="31"/>
      <c r="I14" s="31"/>
      <c r="J14" s="31"/>
      <c r="K14" s="31"/>
      <c r="L14" s="31"/>
      <c r="M14" s="31"/>
      <c r="N14" s="31"/>
    </row>
    <row r="15" spans="1:14" ht="16.5" customHeight="1" x14ac:dyDescent="0.65">
      <c r="A15" s="21"/>
      <c r="B15" s="34" t="s">
        <v>49</v>
      </c>
      <c r="C15" s="31" t="s">
        <v>47</v>
      </c>
      <c r="D15" s="31" t="s">
        <v>50</v>
      </c>
      <c r="E15" s="31"/>
      <c r="F15" s="31"/>
      <c r="G15" s="31"/>
      <c r="H15" s="31"/>
      <c r="I15" s="31"/>
      <c r="J15" s="31"/>
      <c r="K15" s="31"/>
      <c r="L15" s="31"/>
      <c r="M15" s="31"/>
      <c r="N15" s="31"/>
    </row>
    <row r="16" spans="1:14" ht="16.5" customHeight="1" x14ac:dyDescent="0.65">
      <c r="A16" s="21"/>
      <c r="B16" s="34" t="s">
        <v>51</v>
      </c>
      <c r="C16" s="31" t="s">
        <v>47</v>
      </c>
      <c r="D16" s="31" t="s">
        <v>52</v>
      </c>
      <c r="E16" s="31"/>
      <c r="F16" s="31"/>
      <c r="G16" s="31"/>
      <c r="H16" s="31"/>
      <c r="I16" s="31"/>
      <c r="J16" s="31"/>
      <c r="K16" s="31"/>
      <c r="L16" s="31"/>
      <c r="M16" s="31"/>
      <c r="N16" s="31"/>
    </row>
    <row r="17" spans="1:14" ht="16.5" customHeight="1" x14ac:dyDescent="0.65">
      <c r="A17" s="21"/>
      <c r="B17" s="34" t="s">
        <v>53</v>
      </c>
      <c r="C17" s="31" t="s">
        <v>47</v>
      </c>
      <c r="D17" s="31" t="s">
        <v>54</v>
      </c>
      <c r="E17" s="31"/>
      <c r="F17" s="31"/>
      <c r="G17" s="31"/>
      <c r="H17" s="31"/>
      <c r="I17" s="31"/>
      <c r="J17" s="31"/>
      <c r="K17" s="31"/>
      <c r="L17" s="31"/>
      <c r="M17" s="31"/>
      <c r="N17" s="31"/>
    </row>
    <row r="18" spans="1:14" ht="16.5" customHeight="1" x14ac:dyDescent="0.65">
      <c r="A18" s="21"/>
      <c r="B18" s="32" t="s">
        <v>55</v>
      </c>
      <c r="C18" s="9" t="s">
        <v>29</v>
      </c>
      <c r="D18" s="9" t="s">
        <v>56</v>
      </c>
      <c r="E18" s="9"/>
      <c r="F18" s="9"/>
      <c r="G18" s="9"/>
      <c r="H18" s="9"/>
      <c r="I18" s="9"/>
      <c r="J18" s="9"/>
      <c r="K18" s="9"/>
      <c r="L18" s="9"/>
      <c r="M18" s="9"/>
      <c r="N18" s="9"/>
    </row>
    <row r="19" spans="1:14" ht="16.5" customHeight="1" x14ac:dyDescent="0.65">
      <c r="A19" s="21"/>
      <c r="B19" s="70" t="s">
        <v>57</v>
      </c>
      <c r="C19" s="69" t="s">
        <v>57</v>
      </c>
      <c r="D19" s="169" t="s">
        <v>58</v>
      </c>
      <c r="E19" s="69"/>
      <c r="F19" s="69"/>
      <c r="G19" s="69"/>
      <c r="H19" s="69"/>
      <c r="I19" s="69"/>
      <c r="J19" s="69"/>
      <c r="K19" s="69"/>
      <c r="L19" s="69"/>
      <c r="M19" s="69"/>
      <c r="N19" s="69"/>
    </row>
    <row r="20" spans="1:14" ht="16.5" customHeight="1" x14ac:dyDescent="0.5"/>
    <row r="21" spans="1:14" ht="16.5" customHeight="1" x14ac:dyDescent="0.5">
      <c r="B21" t="s">
        <v>59</v>
      </c>
    </row>
    <row r="22" spans="1:14" ht="16.5" customHeight="1" x14ac:dyDescent="0.5"/>
    <row r="23" spans="1:14" ht="19" thickBot="1" x14ac:dyDescent="0.55000000000000004">
      <c r="A23" s="14" t="s">
        <v>60</v>
      </c>
      <c r="H23" s="14" t="s">
        <v>61</v>
      </c>
    </row>
    <row r="24" spans="1:14" ht="17" thickTop="1" x14ac:dyDescent="0.5"/>
    <row r="25" spans="1:14" x14ac:dyDescent="0.5">
      <c r="B25" s="1" t="s">
        <v>62</v>
      </c>
      <c r="C25" s="2"/>
      <c r="I25" s="19" t="s">
        <v>63</v>
      </c>
      <c r="J25" s="7" t="s">
        <v>64</v>
      </c>
    </row>
    <row r="26" spans="1:14" x14ac:dyDescent="0.5">
      <c r="B26" s="3"/>
      <c r="C26" s="2" t="s">
        <v>65</v>
      </c>
      <c r="I26" s="19" t="s">
        <v>66</v>
      </c>
      <c r="J26" s="7" t="s">
        <v>67</v>
      </c>
    </row>
    <row r="27" spans="1:14" x14ac:dyDescent="0.5">
      <c r="B27" s="31"/>
      <c r="C27" s="2" t="s">
        <v>68</v>
      </c>
      <c r="I27" s="19" t="s">
        <v>69</v>
      </c>
      <c r="J27" s="7" t="s">
        <v>70</v>
      </c>
    </row>
    <row r="28" spans="1:14" x14ac:dyDescent="0.5">
      <c r="B28" s="4"/>
      <c r="C28" s="2" t="s">
        <v>71</v>
      </c>
      <c r="I28" s="20" t="s">
        <v>72</v>
      </c>
      <c r="J28" s="7" t="s">
        <v>73</v>
      </c>
    </row>
    <row r="29" spans="1:14" x14ac:dyDescent="0.5">
      <c r="B29" s="69"/>
      <c r="C29" s="2" t="s">
        <v>74</v>
      </c>
    </row>
    <row r="30" spans="1:14" x14ac:dyDescent="0.5">
      <c r="B30" s="2"/>
      <c r="C30" s="2"/>
    </row>
    <row r="31" spans="1:14" x14ac:dyDescent="0.5">
      <c r="B31" s="1" t="s">
        <v>75</v>
      </c>
      <c r="C31" s="2"/>
    </row>
    <row r="32" spans="1:14" x14ac:dyDescent="0.5">
      <c r="B32" s="18"/>
      <c r="C32" s="2" t="s">
        <v>76</v>
      </c>
    </row>
    <row r="33" spans="1:10" x14ac:dyDescent="0.5">
      <c r="B33" s="5"/>
      <c r="C33" s="2" t="s">
        <v>77</v>
      </c>
    </row>
    <row r="34" spans="1:10" x14ac:dyDescent="0.5">
      <c r="B34" s="6"/>
      <c r="C34" s="2" t="s">
        <v>78</v>
      </c>
    </row>
    <row r="36" spans="1:10" ht="19" thickBot="1" x14ac:dyDescent="0.55000000000000004">
      <c r="A36" s="14" t="s">
        <v>79</v>
      </c>
    </row>
    <row r="37" spans="1:10" ht="19" thickTop="1" x14ac:dyDescent="0.5">
      <c r="A37" s="23"/>
    </row>
    <row r="38" spans="1:10" ht="18.5" x14ac:dyDescent="0.55000000000000004">
      <c r="B38" s="24" t="s">
        <v>80</v>
      </c>
      <c r="C38" s="18"/>
      <c r="D38" s="18"/>
      <c r="E38" s="18"/>
      <c r="F38" s="18"/>
      <c r="G38" s="18"/>
      <c r="H38" s="18"/>
      <c r="I38" s="18"/>
      <c r="J38" s="18"/>
    </row>
    <row r="39" spans="1:10" ht="18.5" x14ac:dyDescent="0.55000000000000004">
      <c r="B39" s="25" t="s">
        <v>81</v>
      </c>
      <c r="C39" s="18"/>
      <c r="D39" s="18"/>
      <c r="E39" s="18"/>
      <c r="F39" s="18"/>
      <c r="G39" s="18"/>
      <c r="H39" s="18"/>
      <c r="I39" s="18"/>
      <c r="J39" s="18"/>
    </row>
    <row r="40" spans="1:10" x14ac:dyDescent="0.5">
      <c r="B40" s="26" t="s">
        <v>82</v>
      </c>
      <c r="C40" s="18"/>
      <c r="D40" s="18"/>
      <c r="E40" s="18"/>
      <c r="F40" s="18"/>
      <c r="G40" s="18"/>
      <c r="H40" s="18"/>
      <c r="I40" s="18"/>
      <c r="J40" s="18"/>
    </row>
    <row r="41" spans="1:10" ht="17" thickBot="1" x14ac:dyDescent="0.55000000000000004">
      <c r="B41" s="47" t="s">
        <v>46</v>
      </c>
      <c r="C41" s="18"/>
      <c r="D41" s="18"/>
      <c r="E41" s="18"/>
      <c r="F41" s="18"/>
      <c r="G41" s="18"/>
      <c r="H41" s="18"/>
      <c r="I41" s="18"/>
      <c r="J41" s="18"/>
    </row>
    <row r="42" spans="1:10" x14ac:dyDescent="0.5">
      <c r="B42" s="18"/>
      <c r="C42" s="18"/>
      <c r="D42" s="18"/>
      <c r="E42" s="18"/>
      <c r="F42" s="18"/>
      <c r="G42" s="18"/>
      <c r="H42" s="18"/>
      <c r="I42" s="18"/>
      <c r="J42" s="18"/>
    </row>
    <row r="43" spans="1:10" x14ac:dyDescent="0.5">
      <c r="B43" s="18"/>
      <c r="C43" s="18"/>
      <c r="D43" s="18"/>
      <c r="E43" s="18"/>
      <c r="F43" s="18"/>
      <c r="G43" s="18"/>
      <c r="H43" s="18"/>
      <c r="I43" s="18"/>
      <c r="J43" s="18"/>
    </row>
    <row r="44" spans="1:10" ht="17" thickBot="1" x14ac:dyDescent="0.55000000000000004">
      <c r="B44" s="47" t="s">
        <v>83</v>
      </c>
      <c r="C44" s="18"/>
      <c r="D44" s="18"/>
      <c r="E44" s="18"/>
      <c r="F44" s="18"/>
      <c r="G44" s="18"/>
      <c r="H44" s="18"/>
      <c r="I44" s="18"/>
      <c r="J44" s="18"/>
    </row>
    <row r="45" spans="1:10" x14ac:dyDescent="0.5">
      <c r="B45" s="18"/>
      <c r="C45" s="18"/>
      <c r="D45" s="18"/>
      <c r="E45" s="18"/>
      <c r="F45" s="18"/>
      <c r="G45" s="18"/>
      <c r="H45" s="18"/>
      <c r="I45" s="18"/>
      <c r="J45" s="18"/>
    </row>
    <row r="46" spans="1:10" ht="29.25" customHeight="1" x14ac:dyDescent="0.5">
      <c r="B46" s="18" t="s">
        <v>84</v>
      </c>
      <c r="C46" s="18"/>
      <c r="D46" s="18"/>
      <c r="E46" s="18"/>
      <c r="F46" s="18"/>
      <c r="G46" s="18"/>
      <c r="H46" s="18"/>
      <c r="I46" s="18"/>
      <c r="J46" s="18"/>
    </row>
    <row r="47" spans="1:10" ht="29.25" customHeight="1" x14ac:dyDescent="0.5">
      <c r="B47" s="18" t="s">
        <v>85</v>
      </c>
      <c r="C47" s="18"/>
      <c r="D47" s="18"/>
      <c r="E47" s="18"/>
      <c r="F47" s="18"/>
      <c r="G47" s="18"/>
      <c r="H47" s="18"/>
      <c r="I47" s="18"/>
      <c r="J47" s="18"/>
    </row>
    <row r="48" spans="1:10" ht="29.25" customHeight="1" x14ac:dyDescent="0.5">
      <c r="B48" s="18" t="s">
        <v>86</v>
      </c>
      <c r="C48" s="18"/>
      <c r="D48" s="18"/>
      <c r="E48" s="18"/>
      <c r="F48" s="18"/>
      <c r="G48" s="18"/>
      <c r="H48" s="18"/>
      <c r="I48" s="18"/>
      <c r="J48" s="18"/>
    </row>
    <row r="49" spans="2:10" ht="29.25" customHeight="1" x14ac:dyDescent="0.5">
      <c r="B49" s="18" t="s">
        <v>87</v>
      </c>
      <c r="C49" s="18"/>
      <c r="D49" s="18"/>
      <c r="E49" s="18"/>
      <c r="F49" s="18"/>
      <c r="G49" s="18"/>
      <c r="H49" s="18"/>
      <c r="I49" s="18"/>
      <c r="J49" s="18"/>
    </row>
  </sheetData>
  <hyperlinks>
    <hyperlink ref="B6" location="Summary!A1" display="Summary" xr:uid="{BDAA8E16-DE5B-4173-8BBD-72A3999EB37B}"/>
    <hyperlink ref="B9" location="Baseline!A1" display="Baseline" xr:uid="{55245C5A-F7CF-4C7F-AAB0-8DA0403DE400}"/>
    <hyperlink ref="B13" location="Overlays!A1" display="Overlays" xr:uid="{C23ADF1B-462D-42FA-9AED-FF2EC3234BA3}"/>
    <hyperlink ref="B11" location="'Volume Drivers'!A1" display="Volume Drivers" xr:uid="{ED8FC3E6-63E8-47F3-ADA2-474AC1020031}"/>
    <hyperlink ref="B12" location="Scaling!A1" display="Scaling" xr:uid="{2BBF5627-1346-4B29-B5A1-76D00071CC8D}"/>
    <hyperlink ref="B14" location="OPEX!A1" display="OPEX" xr:uid="{0CECE460-70C7-4422-BA3B-C9DB9B92FC58}"/>
    <hyperlink ref="B15" location="'Commercial Revenues'!A1" display="Commercial Revenues" xr:uid="{1346286B-280A-4FB5-8F41-4FDFB263D20E}"/>
    <hyperlink ref="B19" location="Check!A1" display="Check" xr:uid="{D6554187-2930-4DA3-AAD5-BB6C5B758342}"/>
    <hyperlink ref="B10" location="ORCs!A1" display="ORCs" xr:uid="{4123D55A-6230-40DE-9F2F-C54075B71090}"/>
    <hyperlink ref="B7" location="Assumptions!A1" display="Assumptions" xr:uid="{761E364F-B9E6-469F-B1E9-6F209B25F5A0}"/>
    <hyperlink ref="B17" location="ORC_calcs!A1" display="ORC_calcs" xr:uid="{0E5DAF1C-60CD-4063-8C1C-E07F0A6C1320}"/>
    <hyperlink ref="B18" location="'Alternative summary'!A1" display="Alternative summary" xr:uid="{4CBF95BF-A8E1-4035-A656-71E1B11FB565}"/>
    <hyperlink ref="B16" location="'Bottom-up'!A1" display="Bottom-up" xr:uid="{487807F8-01A3-4941-8857-9B39D2200150}"/>
  </hyperlinks>
  <pageMargins left="0.7" right="0.7" top="0.75" bottom="0.75" header="0.3" footer="0.3"/>
  <pageSetup paperSize="9" orientation="portrait" r:id="rId1"/>
  <headerFooter>
    <oddHeader>&amp;C&amp;"Calibri"&amp;8&amp;K000000 OFFICIAL - CAA Use Only: This information is for CAA use only &amp;1#_x000D_</oddHeader>
    <oddFooter>&amp;C_x000D_&amp;1#&amp;"Calibri"&amp;8&amp;K000000 OFFICIAL - CAA Use Only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0AA86-A1FE-4B93-8555-387BE79F8C64}">
  <sheetPr>
    <tabColor theme="8" tint="0.79998168889431442"/>
  </sheetPr>
  <dimension ref="A1:O530"/>
  <sheetViews>
    <sheetView zoomScale="65" zoomScaleNormal="40" workbookViewId="0">
      <selection activeCell="N489" sqref="N489"/>
    </sheetView>
  </sheetViews>
  <sheetFormatPr defaultColWidth="8.90625" defaultRowHeight="16.5" x14ac:dyDescent="0.5"/>
  <cols>
    <col min="1" max="2" width="30.90625" customWidth="1"/>
    <col min="3" max="3" width="22.08984375" customWidth="1"/>
    <col min="4" max="4" width="26.6328125" customWidth="1"/>
    <col min="5" max="5" width="11.90625" style="49" customWidth="1"/>
    <col min="6" max="14" width="17.08984375" customWidth="1"/>
  </cols>
  <sheetData>
    <row r="1" spans="1:9" ht="30" thickBot="1" x14ac:dyDescent="0.85">
      <c r="A1" s="16" t="s">
        <v>28</v>
      </c>
    </row>
    <row r="2" spans="1:9" ht="17" thickTop="1" x14ac:dyDescent="0.5"/>
    <row r="3" spans="1:9" ht="19" thickBot="1" x14ac:dyDescent="0.55000000000000004">
      <c r="A3" s="14" t="s">
        <v>88</v>
      </c>
    </row>
    <row r="4" spans="1:9" ht="17" thickTop="1" x14ac:dyDescent="0.5"/>
    <row r="5" spans="1:9" x14ac:dyDescent="0.5">
      <c r="B5" s="158" t="s">
        <v>89</v>
      </c>
    </row>
    <row r="7" spans="1:9" ht="19" thickBot="1" x14ac:dyDescent="0.55000000000000004">
      <c r="A7" s="14" t="s">
        <v>90</v>
      </c>
    </row>
    <row r="8" spans="1:9" ht="19" thickTop="1" x14ac:dyDescent="0.5">
      <c r="A8" s="23"/>
    </row>
    <row r="9" spans="1:9" ht="17" thickBot="1" x14ac:dyDescent="0.55000000000000004">
      <c r="C9" s="46" t="s">
        <v>91</v>
      </c>
      <c r="D9" s="46" t="s">
        <v>92</v>
      </c>
    </row>
    <row r="10" spans="1:9" ht="17" thickBot="1" x14ac:dyDescent="0.55000000000000004">
      <c r="B10" s="73" t="s">
        <v>93</v>
      </c>
      <c r="C10" s="77" t="str">
        <f>Assumptions!C58</f>
        <v>CAA</v>
      </c>
      <c r="D10" s="78" t="str">
        <f>Assumptions!C60</f>
        <v>Base</v>
      </c>
    </row>
    <row r="12" spans="1:9" ht="19" thickBot="1" x14ac:dyDescent="0.55000000000000004">
      <c r="A12" s="14" t="s">
        <v>94</v>
      </c>
    </row>
    <row r="13" spans="1:9" ht="17" thickTop="1" x14ac:dyDescent="0.5"/>
    <row r="14" spans="1:9" ht="17" thickBot="1" x14ac:dyDescent="0.55000000000000004">
      <c r="B14" s="27" t="s">
        <v>95</v>
      </c>
      <c r="C14" s="27" t="s">
        <v>96</v>
      </c>
      <c r="D14" s="27" t="s">
        <v>97</v>
      </c>
      <c r="E14" s="50" t="s">
        <v>98</v>
      </c>
      <c r="F14" s="66" t="s">
        <v>99</v>
      </c>
      <c r="G14" s="66" t="s">
        <v>100</v>
      </c>
      <c r="H14" s="66" t="s">
        <v>70</v>
      </c>
      <c r="I14" s="66" t="s">
        <v>63</v>
      </c>
    </row>
    <row r="15" spans="1:9" x14ac:dyDescent="0.5">
      <c r="B15" s="8" t="s">
        <v>101</v>
      </c>
      <c r="C15" s="29" t="s">
        <v>102</v>
      </c>
      <c r="D15" s="29" t="s">
        <v>103</v>
      </c>
      <c r="E15" s="51" t="s">
        <v>104</v>
      </c>
      <c r="F15" s="43" t="str">
        <f>Assumptions!F70</f>
        <v>Total Pax</v>
      </c>
      <c r="G15" s="43">
        <f>Assumptions!G70</f>
        <v>0.3</v>
      </c>
      <c r="H15" s="43" t="str">
        <f>Assumptions!H70</f>
        <v>OBR Average Earnings</v>
      </c>
      <c r="I15" s="104">
        <f>Assumptions!C$64*Assumptions!I70</f>
        <v>0.01</v>
      </c>
    </row>
    <row r="16" spans="1:9" x14ac:dyDescent="0.5">
      <c r="B16" s="8" t="s">
        <v>105</v>
      </c>
      <c r="C16" s="29" t="s">
        <v>102</v>
      </c>
      <c r="D16" s="29" t="s">
        <v>103</v>
      </c>
      <c r="E16" s="51" t="s">
        <v>104</v>
      </c>
      <c r="F16" s="43" t="str">
        <f>Assumptions!F71</f>
        <v>Total Pax</v>
      </c>
      <c r="G16" s="43">
        <f>Assumptions!G71</f>
        <v>0.3</v>
      </c>
      <c r="H16" s="43" t="str">
        <f>Assumptions!H71</f>
        <v>OBR Average Earnings</v>
      </c>
      <c r="I16" s="104">
        <f>Assumptions!C$64*Assumptions!I71</f>
        <v>0.01</v>
      </c>
    </row>
    <row r="17" spans="2:9" x14ac:dyDescent="0.5">
      <c r="B17" s="8" t="s">
        <v>106</v>
      </c>
      <c r="C17" s="29" t="s">
        <v>102</v>
      </c>
      <c r="D17" s="29" t="s">
        <v>103</v>
      </c>
      <c r="E17" s="51" t="s">
        <v>104</v>
      </c>
      <c r="F17" s="43" t="str">
        <f>Assumptions!F72</f>
        <v>Total Pax</v>
      </c>
      <c r="G17" s="43">
        <f>Assumptions!G72</f>
        <v>0.3</v>
      </c>
      <c r="H17" s="43" t="str">
        <f>Assumptions!H72</f>
        <v>OBR Average Earnings</v>
      </c>
      <c r="I17" s="104">
        <f>Assumptions!C$64*Assumptions!I72</f>
        <v>0.01</v>
      </c>
    </row>
    <row r="18" spans="2:9" x14ac:dyDescent="0.5">
      <c r="B18" s="8" t="s">
        <v>107</v>
      </c>
      <c r="C18" s="29" t="s">
        <v>102</v>
      </c>
      <c r="D18" s="29" t="s">
        <v>103</v>
      </c>
      <c r="E18" s="51" t="s">
        <v>104</v>
      </c>
      <c r="F18" s="43" t="str">
        <f>Assumptions!F73</f>
        <v>Total Pax</v>
      </c>
      <c r="G18" s="43">
        <f>Assumptions!G73</f>
        <v>0.3</v>
      </c>
      <c r="H18" s="43" t="str">
        <f>Assumptions!H73</f>
        <v>OBR Average Earnings</v>
      </c>
      <c r="I18" s="104">
        <f>Assumptions!C$64*Assumptions!I73</f>
        <v>0.01</v>
      </c>
    </row>
    <row r="19" spans="2:9" x14ac:dyDescent="0.5">
      <c r="B19" s="8" t="s">
        <v>108</v>
      </c>
      <c r="C19" s="29" t="s">
        <v>102</v>
      </c>
      <c r="D19" s="29" t="s">
        <v>103</v>
      </c>
      <c r="E19" s="51" t="s">
        <v>104</v>
      </c>
      <c r="F19" s="43" t="str">
        <f>Assumptions!F74</f>
        <v>Total Pax</v>
      </c>
      <c r="G19" s="43">
        <f>Assumptions!G74</f>
        <v>0.3</v>
      </c>
      <c r="H19" s="43" t="str">
        <f>Assumptions!H74</f>
        <v>OBR Average Earnings</v>
      </c>
      <c r="I19" s="104">
        <f>Assumptions!C$64*Assumptions!I74</f>
        <v>0.01</v>
      </c>
    </row>
    <row r="20" spans="2:9" x14ac:dyDescent="0.5">
      <c r="B20" s="8" t="s">
        <v>109</v>
      </c>
      <c r="C20" s="29" t="s">
        <v>102</v>
      </c>
      <c r="D20" s="29" t="s">
        <v>103</v>
      </c>
      <c r="E20" s="51" t="s">
        <v>104</v>
      </c>
      <c r="F20" s="43" t="str">
        <f>Assumptions!F75</f>
        <v>Total Pax</v>
      </c>
      <c r="G20" s="43">
        <f>Assumptions!G75</f>
        <v>0.3</v>
      </c>
      <c r="H20" s="43" t="str">
        <f>Assumptions!H75</f>
        <v>OBR Average Earnings</v>
      </c>
      <c r="I20" s="104">
        <f>Assumptions!C$64*Assumptions!I75</f>
        <v>0.01</v>
      </c>
    </row>
    <row r="21" spans="2:9" x14ac:dyDescent="0.5">
      <c r="B21" s="8" t="s">
        <v>110</v>
      </c>
      <c r="C21" s="29" t="s">
        <v>102</v>
      </c>
      <c r="D21" s="29" t="s">
        <v>103</v>
      </c>
      <c r="E21" s="51" t="s">
        <v>104</v>
      </c>
      <c r="F21" s="43" t="str">
        <f>Assumptions!F76</f>
        <v>No Driver</v>
      </c>
      <c r="G21" s="43">
        <f>Assumptions!G76</f>
        <v>0</v>
      </c>
      <c r="H21" s="43" t="str">
        <f>Assumptions!H76</f>
        <v>OBR Average Earnings</v>
      </c>
      <c r="I21" s="104">
        <f>Assumptions!C$64*Assumptions!I76</f>
        <v>0</v>
      </c>
    </row>
    <row r="22" spans="2:9" x14ac:dyDescent="0.5">
      <c r="B22" s="8" t="s">
        <v>111</v>
      </c>
      <c r="C22" s="29" t="s">
        <v>102</v>
      </c>
      <c r="D22" s="29" t="s">
        <v>103</v>
      </c>
      <c r="E22" s="51" t="s">
        <v>112</v>
      </c>
      <c r="F22" s="43" t="str">
        <f>Assumptions!F77</f>
        <v>Total terminal size</v>
      </c>
      <c r="G22" s="43">
        <f>Assumptions!G77</f>
        <v>0.35</v>
      </c>
      <c r="H22" s="43" t="str">
        <f>Assumptions!H77</f>
        <v>16% Labour 84% CPI</v>
      </c>
      <c r="I22" s="104">
        <f>Assumptions!C$64*Assumptions!I77</f>
        <v>0.01</v>
      </c>
    </row>
    <row r="23" spans="2:9" x14ac:dyDescent="0.5">
      <c r="B23" s="8" t="s">
        <v>113</v>
      </c>
      <c r="C23" s="29" t="s">
        <v>102</v>
      </c>
      <c r="D23" s="29" t="s">
        <v>103</v>
      </c>
      <c r="E23" s="51" t="s">
        <v>112</v>
      </c>
      <c r="F23" s="43" t="str">
        <f>Assumptions!F78</f>
        <v>Total terminal size</v>
      </c>
      <c r="G23" s="43">
        <f>Assumptions!G78</f>
        <v>0.35</v>
      </c>
      <c r="H23" s="43" t="str">
        <f>Assumptions!H78</f>
        <v>16% Labour 84% CPI</v>
      </c>
      <c r="I23" s="104">
        <f>Assumptions!C$64*Assumptions!I78</f>
        <v>0.01</v>
      </c>
    </row>
    <row r="24" spans="2:9" x14ac:dyDescent="0.5">
      <c r="B24" s="8" t="s">
        <v>114</v>
      </c>
      <c r="C24" s="29" t="s">
        <v>102</v>
      </c>
      <c r="D24" s="29" t="s">
        <v>103</v>
      </c>
      <c r="E24" s="51" t="s">
        <v>112</v>
      </c>
      <c r="F24" s="43" t="str">
        <f>Assumptions!F79</f>
        <v>Total terminal size</v>
      </c>
      <c r="G24" s="43">
        <f>Assumptions!G79</f>
        <v>0.35</v>
      </c>
      <c r="H24" s="43" t="str">
        <f>Assumptions!H79</f>
        <v>16% Labour 84% CPI</v>
      </c>
      <c r="I24" s="104">
        <f>Assumptions!C$64*Assumptions!I79</f>
        <v>0.01</v>
      </c>
    </row>
    <row r="25" spans="2:9" x14ac:dyDescent="0.5">
      <c r="B25" s="8" t="s">
        <v>115</v>
      </c>
      <c r="C25" s="29" t="s">
        <v>102</v>
      </c>
      <c r="D25" s="29" t="s">
        <v>103</v>
      </c>
      <c r="E25" s="51" t="s">
        <v>112</v>
      </c>
      <c r="F25" s="43" t="str">
        <f>Assumptions!F80</f>
        <v>Total terminal size</v>
      </c>
      <c r="G25" s="43">
        <f>Assumptions!G80</f>
        <v>0.35</v>
      </c>
      <c r="H25" s="43" t="str">
        <f>Assumptions!H80</f>
        <v>CPI</v>
      </c>
      <c r="I25" s="104">
        <f>Assumptions!C$64*Assumptions!I80</f>
        <v>0.01</v>
      </c>
    </row>
    <row r="26" spans="2:9" x14ac:dyDescent="0.5">
      <c r="B26" s="8" t="s">
        <v>116</v>
      </c>
      <c r="C26" s="29" t="s">
        <v>102</v>
      </c>
      <c r="D26" s="29" t="s">
        <v>103</v>
      </c>
      <c r="E26" s="51" t="s">
        <v>117</v>
      </c>
      <c r="F26" s="43">
        <f>Assumptions!F81</f>
        <v>0</v>
      </c>
      <c r="G26" s="43">
        <f>Assumptions!G81</f>
        <v>0</v>
      </c>
      <c r="H26" s="43">
        <f>Assumptions!H81</f>
        <v>0</v>
      </c>
      <c r="I26" s="104">
        <f>Assumptions!C$64*Assumptions!I81</f>
        <v>0</v>
      </c>
    </row>
    <row r="27" spans="2:9" x14ac:dyDescent="0.5">
      <c r="B27" s="8" t="s">
        <v>118</v>
      </c>
      <c r="C27" s="29" t="s">
        <v>102</v>
      </c>
      <c r="D27" s="29" t="s">
        <v>103</v>
      </c>
      <c r="E27" s="51" t="s">
        <v>119</v>
      </c>
      <c r="F27" s="43" t="str">
        <f>Assumptions!F82</f>
        <v>Total Pax</v>
      </c>
      <c r="G27" s="43">
        <f>Assumptions!G82</f>
        <v>0.3</v>
      </c>
      <c r="H27" s="43" t="str">
        <f>Assumptions!H82</f>
        <v>CPI</v>
      </c>
      <c r="I27" s="104">
        <f>Assumptions!C$64*Assumptions!I82</f>
        <v>0</v>
      </c>
    </row>
    <row r="28" spans="2:9" x14ac:dyDescent="0.5">
      <c r="B28" s="8" t="s">
        <v>120</v>
      </c>
      <c r="C28" s="29" t="s">
        <v>102</v>
      </c>
      <c r="D28" s="29" t="s">
        <v>103</v>
      </c>
      <c r="E28" s="51" t="s">
        <v>119</v>
      </c>
      <c r="F28" s="43" t="str">
        <f>Assumptions!F83</f>
        <v>Total Pax</v>
      </c>
      <c r="G28" s="43">
        <f>Assumptions!G83</f>
        <v>0.3</v>
      </c>
      <c r="H28" s="43" t="str">
        <f>Assumptions!H83</f>
        <v>CPI</v>
      </c>
      <c r="I28" s="104">
        <f>Assumptions!C$64*Assumptions!I83</f>
        <v>0</v>
      </c>
    </row>
    <row r="29" spans="2:9" x14ac:dyDescent="0.5">
      <c r="B29" s="8" t="s">
        <v>121</v>
      </c>
      <c r="C29" s="29" t="s">
        <v>102</v>
      </c>
      <c r="D29" s="29" t="s">
        <v>103</v>
      </c>
      <c r="E29" s="51" t="s">
        <v>119</v>
      </c>
      <c r="F29" s="43" t="str">
        <f>Assumptions!F84</f>
        <v>Total Pax</v>
      </c>
      <c r="G29" s="43">
        <f>Assumptions!G84</f>
        <v>0.3</v>
      </c>
      <c r="H29" s="43" t="str">
        <f>Assumptions!H84</f>
        <v>CPI</v>
      </c>
      <c r="I29" s="104">
        <f>Assumptions!C$64*Assumptions!I84</f>
        <v>0</v>
      </c>
    </row>
    <row r="30" spans="2:9" x14ac:dyDescent="0.5">
      <c r="B30" s="8" t="s">
        <v>122</v>
      </c>
      <c r="C30" s="29" t="s">
        <v>102</v>
      </c>
      <c r="D30" s="29" t="s">
        <v>103</v>
      </c>
      <c r="E30" s="51" t="s">
        <v>119</v>
      </c>
      <c r="F30" s="43" t="str">
        <f>Assumptions!F85</f>
        <v>Total Pax</v>
      </c>
      <c r="G30" s="43">
        <f>Assumptions!G85</f>
        <v>0.3</v>
      </c>
      <c r="H30" s="43" t="str">
        <f>Assumptions!H85</f>
        <v>CPI</v>
      </c>
      <c r="I30" s="104">
        <f>Assumptions!C$64*Assumptions!I85</f>
        <v>0</v>
      </c>
    </row>
    <row r="31" spans="2:9" x14ac:dyDescent="0.5">
      <c r="B31" s="8" t="s">
        <v>123</v>
      </c>
      <c r="C31" s="29" t="s">
        <v>102</v>
      </c>
      <c r="D31" s="29" t="s">
        <v>103</v>
      </c>
      <c r="E31" s="51" t="s">
        <v>119</v>
      </c>
      <c r="F31" s="43" t="str">
        <f>Assumptions!F86</f>
        <v>Total Pax</v>
      </c>
      <c r="G31" s="43">
        <f>Assumptions!G86</f>
        <v>0.3</v>
      </c>
      <c r="H31" s="43" t="str">
        <f>Assumptions!H86</f>
        <v>CPI</v>
      </c>
      <c r="I31" s="104">
        <f>Assumptions!C$64*Assumptions!I86</f>
        <v>0</v>
      </c>
    </row>
    <row r="32" spans="2:9" x14ac:dyDescent="0.5">
      <c r="B32" s="8" t="s">
        <v>124</v>
      </c>
      <c r="C32" s="29" t="s">
        <v>102</v>
      </c>
      <c r="D32" s="29" t="s">
        <v>103</v>
      </c>
      <c r="E32" s="51" t="s">
        <v>124</v>
      </c>
      <c r="F32" s="43" t="str">
        <f>Assumptions!F87</f>
        <v>No Driver</v>
      </c>
      <c r="G32" s="43">
        <f>Assumptions!G87</f>
        <v>0</v>
      </c>
      <c r="H32" s="43" t="str">
        <f>Assumptions!H87</f>
        <v>RPI</v>
      </c>
      <c r="I32" s="104">
        <f>Assumptions!C$64*Assumptions!I87</f>
        <v>0</v>
      </c>
    </row>
    <row r="33" spans="2:9" x14ac:dyDescent="0.5">
      <c r="B33" s="8" t="s">
        <v>125</v>
      </c>
      <c r="C33" s="29" t="s">
        <v>102</v>
      </c>
      <c r="D33" s="29" t="s">
        <v>103</v>
      </c>
      <c r="E33" s="51" t="s">
        <v>125</v>
      </c>
      <c r="F33" s="43" t="str">
        <f>Assumptions!F88</f>
        <v>No Driver</v>
      </c>
      <c r="G33" s="43">
        <f>Assumptions!G88</f>
        <v>0</v>
      </c>
      <c r="H33" s="43" t="str">
        <f>Assumptions!H88</f>
        <v>CPI</v>
      </c>
      <c r="I33" s="104">
        <f>Assumptions!C$64*Assumptions!I88</f>
        <v>0.01</v>
      </c>
    </row>
    <row r="34" spans="2:9" x14ac:dyDescent="0.5">
      <c r="B34" s="8" t="s">
        <v>126</v>
      </c>
      <c r="C34" s="29" t="s">
        <v>102</v>
      </c>
      <c r="D34" s="29" t="s">
        <v>103</v>
      </c>
      <c r="E34" s="51" t="s">
        <v>127</v>
      </c>
      <c r="F34" s="43" t="str">
        <f>Assumptions!F89</f>
        <v>Total Pax</v>
      </c>
      <c r="G34" s="43">
        <f>Assumptions!G89</f>
        <v>0.25</v>
      </c>
      <c r="H34" s="43" t="str">
        <f>Assumptions!H89</f>
        <v>CPI</v>
      </c>
      <c r="I34" s="104">
        <f>Assumptions!C$64*Assumptions!I89</f>
        <v>0.01</v>
      </c>
    </row>
    <row r="35" spans="2:9" x14ac:dyDescent="0.5">
      <c r="B35" s="8" t="s">
        <v>128</v>
      </c>
      <c r="C35" s="29" t="s">
        <v>102</v>
      </c>
      <c r="D35" s="29" t="s">
        <v>103</v>
      </c>
      <c r="E35" s="51" t="s">
        <v>127</v>
      </c>
      <c r="F35" s="43" t="str">
        <f>Assumptions!F90</f>
        <v>Total Pax</v>
      </c>
      <c r="G35" s="43">
        <f>Assumptions!G90</f>
        <v>0.25</v>
      </c>
      <c r="H35" s="43" t="str">
        <f>Assumptions!H90</f>
        <v>CPI</v>
      </c>
      <c r="I35" s="104">
        <f>Assumptions!C$64*Assumptions!I90</f>
        <v>0.01</v>
      </c>
    </row>
    <row r="36" spans="2:9" x14ac:dyDescent="0.5">
      <c r="B36" s="8" t="s">
        <v>129</v>
      </c>
      <c r="C36" s="29" t="s">
        <v>102</v>
      </c>
      <c r="D36" s="29" t="s">
        <v>103</v>
      </c>
      <c r="E36" s="51" t="s">
        <v>127</v>
      </c>
      <c r="F36" s="43" t="str">
        <f>Assumptions!F91</f>
        <v>Total Pax</v>
      </c>
      <c r="G36" s="43">
        <f>Assumptions!G91</f>
        <v>0.25</v>
      </c>
      <c r="H36" s="43" t="str">
        <f>Assumptions!H91</f>
        <v>28% Labour 72% CPI</v>
      </c>
      <c r="I36" s="104">
        <f>Assumptions!C$64*Assumptions!I91</f>
        <v>0.01</v>
      </c>
    </row>
    <row r="37" spans="2:9" x14ac:dyDescent="0.5">
      <c r="B37" s="8" t="s">
        <v>130</v>
      </c>
      <c r="C37" s="29" t="s">
        <v>102</v>
      </c>
      <c r="D37" s="29" t="s">
        <v>103</v>
      </c>
      <c r="E37" s="51" t="s">
        <v>127</v>
      </c>
      <c r="F37" s="43" t="str">
        <f>Assumptions!F92</f>
        <v>Total Pax</v>
      </c>
      <c r="G37" s="43">
        <f>Assumptions!G92</f>
        <v>0.25</v>
      </c>
      <c r="H37" s="43" t="str">
        <f>Assumptions!H92</f>
        <v>28% Labour 72% CPI</v>
      </c>
      <c r="I37" s="104">
        <f>Assumptions!C$64*Assumptions!I92</f>
        <v>0.01</v>
      </c>
    </row>
    <row r="38" spans="2:9" x14ac:dyDescent="0.5">
      <c r="B38" s="8" t="s">
        <v>131</v>
      </c>
      <c r="C38" s="29" t="s">
        <v>102</v>
      </c>
      <c r="D38" s="29" t="s">
        <v>103</v>
      </c>
      <c r="E38" s="51" t="s">
        <v>127</v>
      </c>
      <c r="F38" s="43" t="str">
        <f>Assumptions!F93</f>
        <v>Total Pax</v>
      </c>
      <c r="G38" s="43">
        <f>Assumptions!G93</f>
        <v>0.25</v>
      </c>
      <c r="H38" s="43" t="str">
        <f>Assumptions!H93</f>
        <v>28% Labour 72% CPI</v>
      </c>
      <c r="I38" s="104">
        <f>Assumptions!C$64*Assumptions!I93</f>
        <v>0.01</v>
      </c>
    </row>
    <row r="39" spans="2:9" x14ac:dyDescent="0.5">
      <c r="B39" s="8" t="s">
        <v>132</v>
      </c>
      <c r="C39" s="29" t="s">
        <v>102</v>
      </c>
      <c r="D39" s="29" t="s">
        <v>103</v>
      </c>
      <c r="E39" s="51" t="s">
        <v>127</v>
      </c>
      <c r="F39" s="43" t="str">
        <f>Assumptions!F94</f>
        <v>Total Pax</v>
      </c>
      <c r="G39" s="43">
        <f>Assumptions!G94</f>
        <v>0.25</v>
      </c>
      <c r="H39" s="43" t="str">
        <f>Assumptions!H94</f>
        <v>CPI</v>
      </c>
      <c r="I39" s="104">
        <f>Assumptions!C$64*Assumptions!I94</f>
        <v>0.01</v>
      </c>
    </row>
    <row r="40" spans="2:9" x14ac:dyDescent="0.5">
      <c r="B40" s="8" t="s">
        <v>133</v>
      </c>
      <c r="C40" s="29" t="s">
        <v>102</v>
      </c>
      <c r="D40" s="29" t="s">
        <v>103</v>
      </c>
      <c r="E40" s="51" t="s">
        <v>127</v>
      </c>
      <c r="F40" s="43" t="str">
        <f>Assumptions!F95</f>
        <v>Total Pax</v>
      </c>
      <c r="G40" s="43">
        <f>Assumptions!G95</f>
        <v>0.25</v>
      </c>
      <c r="H40" s="43" t="str">
        <f>Assumptions!H95</f>
        <v>28% Labour 72% CPI</v>
      </c>
      <c r="I40" s="104">
        <f>Assumptions!C$64*Assumptions!I95</f>
        <v>0.01</v>
      </c>
    </row>
    <row r="41" spans="2:9" x14ac:dyDescent="0.5">
      <c r="B41" s="8" t="s">
        <v>134</v>
      </c>
      <c r="C41" s="29" t="s">
        <v>102</v>
      </c>
      <c r="D41" s="29" t="s">
        <v>103</v>
      </c>
      <c r="E41" s="51" t="s">
        <v>127</v>
      </c>
      <c r="F41" s="43" t="str">
        <f>Assumptions!F96</f>
        <v>Total Pax</v>
      </c>
      <c r="G41" s="43">
        <f>Assumptions!G96</f>
        <v>0.25</v>
      </c>
      <c r="H41" s="43" t="str">
        <f>Assumptions!H96</f>
        <v>28% Labour 72% CPI</v>
      </c>
      <c r="I41" s="104">
        <f>Assumptions!C$64*Assumptions!I96</f>
        <v>0.01</v>
      </c>
    </row>
    <row r="42" spans="2:9" x14ac:dyDescent="0.5">
      <c r="B42" s="8" t="s">
        <v>135</v>
      </c>
      <c r="C42" s="29" t="s">
        <v>102</v>
      </c>
      <c r="D42" s="29" t="s">
        <v>103</v>
      </c>
      <c r="E42" s="51" t="s">
        <v>127</v>
      </c>
      <c r="F42" s="43" t="str">
        <f>Assumptions!F97</f>
        <v>Total Pax</v>
      </c>
      <c r="G42" s="43">
        <f>Assumptions!G97</f>
        <v>0.25</v>
      </c>
      <c r="H42" s="43" t="str">
        <f>Assumptions!H97</f>
        <v>28% Labour 72% CPI</v>
      </c>
      <c r="I42" s="104">
        <f>Assumptions!C$64*Assumptions!I97</f>
        <v>0.01</v>
      </c>
    </row>
    <row r="43" spans="2:9" x14ac:dyDescent="0.5">
      <c r="B43" s="8" t="s">
        <v>136</v>
      </c>
      <c r="C43" s="29" t="s">
        <v>102</v>
      </c>
      <c r="D43" s="29" t="s">
        <v>103</v>
      </c>
      <c r="E43" s="51" t="s">
        <v>127</v>
      </c>
      <c r="F43" s="43" t="str">
        <f>Assumptions!F98</f>
        <v>Total Pax</v>
      </c>
      <c r="G43" s="43">
        <f>Assumptions!G98</f>
        <v>0.25</v>
      </c>
      <c r="H43" s="43" t="str">
        <f>Assumptions!H98</f>
        <v>28% Labour 72% CPI</v>
      </c>
      <c r="I43" s="104">
        <f>Assumptions!C$64*Assumptions!I98</f>
        <v>0.01</v>
      </c>
    </row>
    <row r="44" spans="2:9" x14ac:dyDescent="0.5">
      <c r="B44" s="8" t="s">
        <v>137</v>
      </c>
      <c r="C44" s="29" t="s">
        <v>102</v>
      </c>
      <c r="D44" s="29" t="s">
        <v>103</v>
      </c>
      <c r="E44" s="51" t="s">
        <v>127</v>
      </c>
      <c r="F44" s="43" t="str">
        <f>Assumptions!F99</f>
        <v>Total Pax</v>
      </c>
      <c r="G44" s="43">
        <f>Assumptions!G99</f>
        <v>0.25</v>
      </c>
      <c r="H44" s="43" t="str">
        <f>Assumptions!H99</f>
        <v>28% Labour 72% CPI</v>
      </c>
      <c r="I44" s="104">
        <f>Assumptions!C$64*Assumptions!I99</f>
        <v>0.01</v>
      </c>
    </row>
    <row r="45" spans="2:9" x14ac:dyDescent="0.5">
      <c r="B45" s="8" t="s">
        <v>138</v>
      </c>
      <c r="C45" s="29" t="s">
        <v>102</v>
      </c>
      <c r="D45" s="29" t="s">
        <v>103</v>
      </c>
      <c r="E45" s="51" t="s">
        <v>127</v>
      </c>
      <c r="F45" s="43" t="str">
        <f>Assumptions!F100</f>
        <v>Total Pax</v>
      </c>
      <c r="G45" s="43">
        <f>Assumptions!G100</f>
        <v>0.25</v>
      </c>
      <c r="H45" s="43" t="str">
        <f>Assumptions!H100</f>
        <v>28% Labour 72% CPI</v>
      </c>
      <c r="I45" s="104">
        <f>Assumptions!C$64*Assumptions!I100</f>
        <v>0.01</v>
      </c>
    </row>
    <row r="46" spans="2:9" x14ac:dyDescent="0.5">
      <c r="B46" s="8" t="s">
        <v>139</v>
      </c>
      <c r="C46" s="29" t="s">
        <v>102</v>
      </c>
      <c r="D46" s="29" t="s">
        <v>103</v>
      </c>
      <c r="E46" s="51" t="s">
        <v>127</v>
      </c>
      <c r="F46" s="43" t="str">
        <f>Assumptions!F101</f>
        <v>Total Pax</v>
      </c>
      <c r="G46" s="43">
        <f>Assumptions!G101</f>
        <v>0.25</v>
      </c>
      <c r="H46" s="43" t="str">
        <f>Assumptions!H101</f>
        <v>58% Labour 42% CPI</v>
      </c>
      <c r="I46" s="104">
        <f>Assumptions!C$64*Assumptions!I101</f>
        <v>0.01</v>
      </c>
    </row>
    <row r="47" spans="2:9" x14ac:dyDescent="0.5">
      <c r="B47" s="8" t="s">
        <v>140</v>
      </c>
      <c r="C47" s="29" t="s">
        <v>102</v>
      </c>
      <c r="D47" s="29" t="s">
        <v>103</v>
      </c>
      <c r="E47" s="51" t="s">
        <v>127</v>
      </c>
      <c r="F47" s="43" t="str">
        <f>Assumptions!F102</f>
        <v>Total Pax</v>
      </c>
      <c r="G47" s="43">
        <f>Assumptions!G102</f>
        <v>0.25</v>
      </c>
      <c r="H47" s="43" t="str">
        <f>Assumptions!H102</f>
        <v>28% Labour 72% CPI</v>
      </c>
      <c r="I47" s="104">
        <f>Assumptions!C$64*Assumptions!I102</f>
        <v>0.01</v>
      </c>
    </row>
    <row r="48" spans="2:9" x14ac:dyDescent="0.5">
      <c r="B48" s="8" t="s">
        <v>141</v>
      </c>
      <c r="C48" s="29" t="s">
        <v>102</v>
      </c>
      <c r="D48" s="29" t="s">
        <v>103</v>
      </c>
      <c r="E48" s="51" t="s">
        <v>127</v>
      </c>
      <c r="F48" s="43" t="str">
        <f>Assumptions!F103</f>
        <v>Total Pax</v>
      </c>
      <c r="G48" s="43">
        <f>Assumptions!G103</f>
        <v>0.25</v>
      </c>
      <c r="H48" s="43" t="str">
        <f>Assumptions!H103</f>
        <v>CPI</v>
      </c>
      <c r="I48" s="104">
        <f>Assumptions!C$64*Assumptions!I103</f>
        <v>0.01</v>
      </c>
    </row>
    <row r="49" spans="2:9" x14ac:dyDescent="0.5">
      <c r="B49" s="8" t="s">
        <v>142</v>
      </c>
      <c r="C49" s="29" t="s">
        <v>102</v>
      </c>
      <c r="D49" s="29" t="s">
        <v>103</v>
      </c>
      <c r="E49" s="51" t="s">
        <v>127</v>
      </c>
      <c r="F49" s="43" t="str">
        <f>Assumptions!F104</f>
        <v>Total Pax</v>
      </c>
      <c r="G49" s="43">
        <f>Assumptions!G104</f>
        <v>0.25</v>
      </c>
      <c r="H49" s="43" t="str">
        <f>Assumptions!H104</f>
        <v>CPI</v>
      </c>
      <c r="I49" s="104">
        <f>Assumptions!C$64*Assumptions!I104</f>
        <v>0.01</v>
      </c>
    </row>
    <row r="51" spans="2:9" ht="17" thickBot="1" x14ac:dyDescent="0.55000000000000004">
      <c r="B51" s="27" t="s">
        <v>143</v>
      </c>
      <c r="C51" s="27" t="s">
        <v>96</v>
      </c>
      <c r="D51" s="27" t="s">
        <v>97</v>
      </c>
      <c r="E51" s="50" t="s">
        <v>144</v>
      </c>
      <c r="F51" s="66" t="s">
        <v>99</v>
      </c>
      <c r="G51" s="66" t="s">
        <v>100</v>
      </c>
      <c r="H51" s="66" t="s">
        <v>70</v>
      </c>
      <c r="I51" s="68" t="s">
        <v>145</v>
      </c>
    </row>
    <row r="52" spans="2:9" x14ac:dyDescent="0.5">
      <c r="B52" s="8" t="s">
        <v>146</v>
      </c>
      <c r="C52" s="29" t="s">
        <v>102</v>
      </c>
      <c r="D52" s="29" t="s">
        <v>103</v>
      </c>
      <c r="E52" s="51" t="s">
        <v>147</v>
      </c>
      <c r="F52" s="43" t="str">
        <f>Assumptions!F109</f>
        <v>Total Pax</v>
      </c>
      <c r="G52" s="43">
        <f>Assumptions!G109</f>
        <v>1</v>
      </c>
      <c r="H52" s="43" t="str">
        <f>Assumptions!H109</f>
        <v>CPI</v>
      </c>
      <c r="I52" s="76">
        <f>Assumptions!I109</f>
        <v>0</v>
      </c>
    </row>
    <row r="53" spans="2:9" x14ac:dyDescent="0.5">
      <c r="B53" s="8" t="s">
        <v>148</v>
      </c>
      <c r="C53" s="29" t="s">
        <v>102</v>
      </c>
      <c r="D53" s="29" t="s">
        <v>103</v>
      </c>
      <c r="E53" s="51" t="s">
        <v>147</v>
      </c>
      <c r="F53" s="43" t="str">
        <f>Assumptions!F110</f>
        <v>Total Pax</v>
      </c>
      <c r="G53" s="43">
        <f>Assumptions!G110</f>
        <v>1</v>
      </c>
      <c r="H53" s="43" t="str">
        <f>Assumptions!H110</f>
        <v>CPI</v>
      </c>
      <c r="I53" s="76">
        <f>Assumptions!I110</f>
        <v>0</v>
      </c>
    </row>
    <row r="54" spans="2:9" x14ac:dyDescent="0.5">
      <c r="B54" s="8" t="s">
        <v>149</v>
      </c>
      <c r="C54" s="29" t="s">
        <v>102</v>
      </c>
      <c r="D54" s="29" t="s">
        <v>103</v>
      </c>
      <c r="E54" s="51" t="s">
        <v>147</v>
      </c>
      <c r="F54" s="43" t="str">
        <f>Assumptions!F111</f>
        <v>Total Pax</v>
      </c>
      <c r="G54" s="43">
        <f>Assumptions!G111</f>
        <v>1</v>
      </c>
      <c r="H54" s="43" t="str">
        <f>Assumptions!H111</f>
        <v>CPI</v>
      </c>
      <c r="I54" s="76">
        <f>Assumptions!I111</f>
        <v>0</v>
      </c>
    </row>
    <row r="55" spans="2:9" x14ac:dyDescent="0.5">
      <c r="B55" s="8" t="s">
        <v>150</v>
      </c>
      <c r="C55" s="29" t="s">
        <v>102</v>
      </c>
      <c r="D55" s="29" t="s">
        <v>103</v>
      </c>
      <c r="E55" s="51" t="s">
        <v>147</v>
      </c>
      <c r="F55" s="43" t="str">
        <f>Assumptions!F112</f>
        <v>Total Pax</v>
      </c>
      <c r="G55" s="43">
        <f>Assumptions!G112</f>
        <v>1</v>
      </c>
      <c r="H55" s="43" t="str">
        <f>Assumptions!H112</f>
        <v>CPI</v>
      </c>
      <c r="I55" s="76">
        <f>Assumptions!I112</f>
        <v>0</v>
      </c>
    </row>
    <row r="56" spans="2:9" x14ac:dyDescent="0.5">
      <c r="B56" s="8" t="s">
        <v>151</v>
      </c>
      <c r="C56" s="29" t="s">
        <v>102</v>
      </c>
      <c r="D56" s="29" t="s">
        <v>103</v>
      </c>
      <c r="E56" s="51" t="s">
        <v>147</v>
      </c>
      <c r="F56" s="43" t="str">
        <f>Assumptions!F113</f>
        <v>Total Pax</v>
      </c>
      <c r="G56" s="43">
        <f>Assumptions!G113</f>
        <v>1</v>
      </c>
      <c r="H56" s="43" t="str">
        <f>Assumptions!H113</f>
        <v>CPI</v>
      </c>
      <c r="I56" s="76">
        <f>Assumptions!I113</f>
        <v>0</v>
      </c>
    </row>
    <row r="57" spans="2:9" x14ac:dyDescent="0.5">
      <c r="B57" s="8" t="s">
        <v>152</v>
      </c>
      <c r="C57" s="29" t="s">
        <v>102</v>
      </c>
      <c r="D57" s="29" t="s">
        <v>103</v>
      </c>
      <c r="E57" s="51" t="s">
        <v>147</v>
      </c>
      <c r="F57" s="43" t="str">
        <f>Assumptions!F114</f>
        <v>Total Pax</v>
      </c>
      <c r="G57" s="43">
        <f>Assumptions!G114</f>
        <v>1</v>
      </c>
      <c r="H57" s="43" t="str">
        <f>Assumptions!H114</f>
        <v>CPI</v>
      </c>
      <c r="I57" s="76">
        <f>Assumptions!I114</f>
        <v>0</v>
      </c>
    </row>
    <row r="58" spans="2:9" x14ac:dyDescent="0.5">
      <c r="B58" s="8" t="s">
        <v>153</v>
      </c>
      <c r="C58" s="29" t="s">
        <v>102</v>
      </c>
      <c r="D58" s="29" t="s">
        <v>103</v>
      </c>
      <c r="E58" s="51" t="s">
        <v>147</v>
      </c>
      <c r="F58" s="43" t="str">
        <f>Assumptions!F115</f>
        <v>Total Pax</v>
      </c>
      <c r="G58" s="43">
        <f>Assumptions!G115</f>
        <v>1</v>
      </c>
      <c r="H58" s="43" t="str">
        <f>Assumptions!H115</f>
        <v>CPI</v>
      </c>
      <c r="I58" s="76">
        <f>Assumptions!I115</f>
        <v>0</v>
      </c>
    </row>
    <row r="59" spans="2:9" x14ac:dyDescent="0.5">
      <c r="B59" s="8" t="s">
        <v>154</v>
      </c>
      <c r="C59" s="29" t="s">
        <v>102</v>
      </c>
      <c r="D59" s="29" t="s">
        <v>103</v>
      </c>
      <c r="E59" s="51" t="s">
        <v>147</v>
      </c>
      <c r="F59" s="43" t="str">
        <f>Assumptions!F116</f>
        <v>Total Pax</v>
      </c>
      <c r="G59" s="43">
        <f>Assumptions!G116</f>
        <v>1</v>
      </c>
      <c r="H59" s="43" t="str">
        <f>Assumptions!H116</f>
        <v>CPI</v>
      </c>
      <c r="I59" s="76">
        <f>Assumptions!I116</f>
        <v>0</v>
      </c>
    </row>
    <row r="60" spans="2:9" x14ac:dyDescent="0.5">
      <c r="B60" s="8" t="s">
        <v>155</v>
      </c>
      <c r="C60" s="29" t="s">
        <v>102</v>
      </c>
      <c r="D60" s="29" t="s">
        <v>103</v>
      </c>
      <c r="E60" s="51" t="s">
        <v>147</v>
      </c>
      <c r="F60" s="43" t="str">
        <f>Assumptions!F117</f>
        <v>Total Pax</v>
      </c>
      <c r="G60" s="43">
        <f>Assumptions!G117</f>
        <v>1</v>
      </c>
      <c r="H60" s="43" t="str">
        <f>Assumptions!H117</f>
        <v>CPI</v>
      </c>
      <c r="I60" s="76">
        <f>Assumptions!I117</f>
        <v>0</v>
      </c>
    </row>
    <row r="61" spans="2:9" x14ac:dyDescent="0.5">
      <c r="B61" s="8" t="s">
        <v>156</v>
      </c>
      <c r="C61" s="29" t="s">
        <v>102</v>
      </c>
      <c r="D61" s="29" t="s">
        <v>103</v>
      </c>
      <c r="E61" s="51" t="s">
        <v>147</v>
      </c>
      <c r="F61" s="43" t="str">
        <f>Assumptions!F118</f>
        <v>Total Pax</v>
      </c>
      <c r="G61" s="43">
        <f>Assumptions!G118</f>
        <v>1</v>
      </c>
      <c r="H61" s="43" t="str">
        <f>Assumptions!H118</f>
        <v>CPI</v>
      </c>
      <c r="I61" s="76">
        <f>Assumptions!I118</f>
        <v>0</v>
      </c>
    </row>
    <row r="62" spans="2:9" x14ac:dyDescent="0.5">
      <c r="B62" s="8" t="s">
        <v>157</v>
      </c>
      <c r="C62" s="29" t="s">
        <v>102</v>
      </c>
      <c r="D62" s="29" t="s">
        <v>103</v>
      </c>
      <c r="E62" s="51" t="s">
        <v>147</v>
      </c>
      <c r="F62" s="43" t="str">
        <f>Assumptions!F119</f>
        <v>Total Pax</v>
      </c>
      <c r="G62" s="43">
        <f>Assumptions!G119</f>
        <v>1</v>
      </c>
      <c r="H62" s="43" t="str">
        <f>Assumptions!H119</f>
        <v>CPI</v>
      </c>
      <c r="I62" s="76">
        <f>Assumptions!I119</f>
        <v>0</v>
      </c>
    </row>
    <row r="63" spans="2:9" x14ac:dyDescent="0.5">
      <c r="B63" s="8" t="s">
        <v>158</v>
      </c>
      <c r="C63" s="29" t="s">
        <v>102</v>
      </c>
      <c r="D63" s="29" t="s">
        <v>103</v>
      </c>
      <c r="E63" s="51" t="s">
        <v>147</v>
      </c>
      <c r="F63" s="43" t="str">
        <f>Assumptions!F120</f>
        <v>Bureau volume adjustment</v>
      </c>
      <c r="G63" s="43">
        <f>Assumptions!G120</f>
        <v>1</v>
      </c>
      <c r="H63" s="43" t="str">
        <f>Assumptions!H120</f>
        <v>CPI</v>
      </c>
      <c r="I63" s="76">
        <f>Assumptions!I120</f>
        <v>0</v>
      </c>
    </row>
    <row r="64" spans="2:9" x14ac:dyDescent="0.5">
      <c r="B64" s="8" t="s">
        <v>159</v>
      </c>
      <c r="C64" s="29" t="s">
        <v>102</v>
      </c>
      <c r="D64" s="29" t="s">
        <v>103</v>
      </c>
      <c r="E64" s="51" t="s">
        <v>147</v>
      </c>
      <c r="F64" s="43" t="str">
        <f>Assumptions!F121</f>
        <v>Total Pax</v>
      </c>
      <c r="G64" s="43">
        <f>Assumptions!G121</f>
        <v>1</v>
      </c>
      <c r="H64" s="43" t="str">
        <f>Assumptions!H121</f>
        <v>CPI</v>
      </c>
      <c r="I64" s="76">
        <f>Assumptions!I121</f>
        <v>0</v>
      </c>
    </row>
    <row r="65" spans="2:9" x14ac:dyDescent="0.5">
      <c r="B65" s="53" t="s">
        <v>160</v>
      </c>
      <c r="C65" s="29" t="s">
        <v>102</v>
      </c>
      <c r="D65" s="29" t="s">
        <v>103</v>
      </c>
      <c r="E65" s="51" t="s">
        <v>147</v>
      </c>
      <c r="F65" s="43" t="str">
        <f>Assumptions!F122</f>
        <v>Total Pax</v>
      </c>
      <c r="G65" s="43">
        <f>Assumptions!G122</f>
        <v>1</v>
      </c>
      <c r="H65" s="43" t="str">
        <f>Assumptions!H122</f>
        <v>CPI</v>
      </c>
      <c r="I65" s="76">
        <f>Assumptions!I122</f>
        <v>0</v>
      </c>
    </row>
    <row r="66" spans="2:9" x14ac:dyDescent="0.5">
      <c r="B66" s="53" t="s">
        <v>161</v>
      </c>
      <c r="C66" s="29" t="s">
        <v>102</v>
      </c>
      <c r="D66" s="29" t="s">
        <v>103</v>
      </c>
      <c r="E66" s="51" t="s">
        <v>147</v>
      </c>
      <c r="F66" s="43" t="str">
        <f>Assumptions!F123</f>
        <v>No driver</v>
      </c>
      <c r="G66" s="43">
        <f>Assumptions!G123</f>
        <v>0</v>
      </c>
      <c r="H66" s="43" t="str">
        <f>Assumptions!H123</f>
        <v>No inflation</v>
      </c>
      <c r="I66" s="76">
        <f>Assumptions!I123</f>
        <v>0</v>
      </c>
    </row>
    <row r="67" spans="2:9" x14ac:dyDescent="0.5">
      <c r="B67" s="53" t="s">
        <v>161</v>
      </c>
      <c r="C67" s="29" t="s">
        <v>102</v>
      </c>
      <c r="D67" s="29" t="s">
        <v>103</v>
      </c>
      <c r="E67" s="51" t="s">
        <v>162</v>
      </c>
      <c r="F67" s="43" t="str">
        <f>Assumptions!F124</f>
        <v>No driver</v>
      </c>
      <c r="G67" s="43">
        <f>Assumptions!G124</f>
        <v>0</v>
      </c>
      <c r="H67" s="43" t="str">
        <f>Assumptions!H124</f>
        <v>No inflation</v>
      </c>
      <c r="I67" s="76">
        <f>Assumptions!I124</f>
        <v>0</v>
      </c>
    </row>
    <row r="68" spans="2:9" x14ac:dyDescent="0.5">
      <c r="B68" s="8" t="s">
        <v>163</v>
      </c>
      <c r="C68" s="29" t="s">
        <v>102</v>
      </c>
      <c r="D68" s="29" t="s">
        <v>103</v>
      </c>
      <c r="E68" s="51" t="s">
        <v>162</v>
      </c>
      <c r="F68" s="43" t="str">
        <f>Assumptions!F125</f>
        <v>Parking/Rental Pax</v>
      </c>
      <c r="G68" s="43">
        <f>Assumptions!G125</f>
        <v>1</v>
      </c>
      <c r="H68" s="43" t="str">
        <f>Assumptions!H125</f>
        <v>CPI</v>
      </c>
      <c r="I68" s="76">
        <f>Assumptions!I125</f>
        <v>0.01</v>
      </c>
    </row>
    <row r="69" spans="2:9" x14ac:dyDescent="0.5">
      <c r="B69" s="8" t="s">
        <v>164</v>
      </c>
      <c r="C69" s="29" t="s">
        <v>102</v>
      </c>
      <c r="D69" s="29" t="s">
        <v>103</v>
      </c>
      <c r="E69" s="51" t="s">
        <v>162</v>
      </c>
      <c r="F69" s="43" t="str">
        <f>Assumptions!F126</f>
        <v>Parking/Rental Pax</v>
      </c>
      <c r="G69" s="43">
        <f>Assumptions!G126</f>
        <v>1</v>
      </c>
      <c r="H69" s="43" t="str">
        <f>Assumptions!H126</f>
        <v>CPI</v>
      </c>
      <c r="I69" s="76">
        <f>Assumptions!I126</f>
        <v>0.01</v>
      </c>
    </row>
    <row r="70" spans="2:9" x14ac:dyDescent="0.5">
      <c r="B70" s="53" t="s">
        <v>165</v>
      </c>
      <c r="C70" s="29" t="s">
        <v>102</v>
      </c>
      <c r="D70" s="29" t="s">
        <v>103</v>
      </c>
      <c r="E70" s="51" t="s">
        <v>162</v>
      </c>
      <c r="F70" s="43" t="str">
        <f>Assumptions!F127</f>
        <v>Parking/Rental Pax</v>
      </c>
      <c r="G70" s="43">
        <f>Assumptions!G127</f>
        <v>1</v>
      </c>
      <c r="H70" s="43" t="str">
        <f>Assumptions!H127</f>
        <v>CPI</v>
      </c>
      <c r="I70" s="76">
        <f>Assumptions!I127</f>
        <v>0.01</v>
      </c>
    </row>
    <row r="71" spans="2:9" x14ac:dyDescent="0.5">
      <c r="B71" s="53" t="s">
        <v>161</v>
      </c>
      <c r="C71" s="29" t="s">
        <v>102</v>
      </c>
      <c r="D71" s="29" t="s">
        <v>103</v>
      </c>
      <c r="E71" s="51" t="s">
        <v>162</v>
      </c>
      <c r="F71" s="43" t="str">
        <f>Assumptions!F128</f>
        <v>No driver</v>
      </c>
      <c r="G71" s="43">
        <f>Assumptions!G128</f>
        <v>0</v>
      </c>
      <c r="H71" s="43" t="str">
        <f>Assumptions!H128</f>
        <v>No inflation</v>
      </c>
      <c r="I71" s="76">
        <f>Assumptions!I128</f>
        <v>0</v>
      </c>
    </row>
    <row r="72" spans="2:9" x14ac:dyDescent="0.5">
      <c r="B72" s="8" t="s">
        <v>166</v>
      </c>
      <c r="C72" s="29" t="s">
        <v>102</v>
      </c>
      <c r="D72" s="29" t="s">
        <v>103</v>
      </c>
      <c r="E72" s="51" t="s">
        <v>166</v>
      </c>
      <c r="F72" s="43">
        <f>Assumptions!F129</f>
        <v>0</v>
      </c>
      <c r="G72" s="43">
        <f>Assumptions!G129</f>
        <v>0</v>
      </c>
      <c r="H72" s="43">
        <f>Assumptions!H129</f>
        <v>0</v>
      </c>
      <c r="I72" s="76">
        <f>Assumptions!I129</f>
        <v>0</v>
      </c>
    </row>
    <row r="73" spans="2:9" x14ac:dyDescent="0.5">
      <c r="B73" s="8" t="s">
        <v>167</v>
      </c>
      <c r="C73" s="29" t="s">
        <v>102</v>
      </c>
      <c r="D73" s="29" t="s">
        <v>103</v>
      </c>
      <c r="E73" s="51" t="s">
        <v>168</v>
      </c>
      <c r="F73" s="43" t="str">
        <f>Assumptions!F130</f>
        <v>Total Pax</v>
      </c>
      <c r="G73" s="43">
        <f>Assumptions!G130</f>
        <v>0.6</v>
      </c>
      <c r="H73" s="43" t="str">
        <f>Assumptions!H130</f>
        <v>CPI</v>
      </c>
      <c r="I73" s="76">
        <f>Assumptions!I130</f>
        <v>0.01</v>
      </c>
    </row>
    <row r="74" spans="2:9" x14ac:dyDescent="0.5">
      <c r="B74" s="8" t="s">
        <v>169</v>
      </c>
      <c r="C74" s="29" t="s">
        <v>102</v>
      </c>
      <c r="D74" s="29" t="s">
        <v>103</v>
      </c>
      <c r="E74" s="51" t="s">
        <v>168</v>
      </c>
      <c r="F74" s="43" t="str">
        <f>Assumptions!F131</f>
        <v>Total Pax</v>
      </c>
      <c r="G74" s="43">
        <f>Assumptions!G131</f>
        <v>0.6</v>
      </c>
      <c r="H74" s="43" t="str">
        <f>Assumptions!H131</f>
        <v>CPI</v>
      </c>
      <c r="I74" s="76">
        <f>Assumptions!I131</f>
        <v>0.01</v>
      </c>
    </row>
    <row r="75" spans="2:9" x14ac:dyDescent="0.5">
      <c r="B75" s="8" t="s">
        <v>170</v>
      </c>
      <c r="C75" s="29" t="s">
        <v>102</v>
      </c>
      <c r="D75" s="29" t="s">
        <v>103</v>
      </c>
      <c r="E75" s="51" t="s">
        <v>168</v>
      </c>
      <c r="F75" s="43" t="str">
        <f>Assumptions!F132</f>
        <v>Total Pax</v>
      </c>
      <c r="G75" s="43">
        <f>Assumptions!G132</f>
        <v>0.6</v>
      </c>
      <c r="H75" s="43" t="str">
        <f>Assumptions!H132</f>
        <v>CPI</v>
      </c>
      <c r="I75" s="76">
        <f>Assumptions!I132</f>
        <v>0.01</v>
      </c>
    </row>
    <row r="76" spans="2:9" x14ac:dyDescent="0.5">
      <c r="B76" s="8" t="s">
        <v>171</v>
      </c>
      <c r="C76" s="29" t="s">
        <v>102</v>
      </c>
      <c r="D76" s="29" t="s">
        <v>103</v>
      </c>
      <c r="E76" s="51" t="s">
        <v>172</v>
      </c>
      <c r="F76" s="43" t="str">
        <f>Assumptions!F133</f>
        <v>No driver</v>
      </c>
      <c r="G76" s="43">
        <f>Assumptions!G133</f>
        <v>0</v>
      </c>
      <c r="H76" s="43" t="str">
        <f>Assumptions!H133</f>
        <v>RPI</v>
      </c>
      <c r="I76" s="76">
        <f>Assumptions!I133</f>
        <v>0</v>
      </c>
    </row>
    <row r="77" spans="2:9" x14ac:dyDescent="0.5">
      <c r="B77" s="8" t="s">
        <v>173</v>
      </c>
      <c r="C77" s="29" t="s">
        <v>102</v>
      </c>
      <c r="D77" s="29" t="s">
        <v>103</v>
      </c>
      <c r="E77" s="51" t="s">
        <v>172</v>
      </c>
      <c r="F77" s="43" t="str">
        <f>Assumptions!F134</f>
        <v>Heathrow Express Pax</v>
      </c>
      <c r="G77" s="43">
        <f>Assumptions!G134</f>
        <v>1</v>
      </c>
      <c r="H77" s="43" t="str">
        <f>Assumptions!H134</f>
        <v>CPI</v>
      </c>
      <c r="I77" s="76">
        <f>Assumptions!I134</f>
        <v>0</v>
      </c>
    </row>
    <row r="78" spans="2:9" x14ac:dyDescent="0.5">
      <c r="B78" s="8" t="s">
        <v>174</v>
      </c>
      <c r="C78" s="29" t="s">
        <v>102</v>
      </c>
      <c r="D78" s="29" t="s">
        <v>103</v>
      </c>
      <c r="E78" s="51" t="s">
        <v>172</v>
      </c>
      <c r="F78" s="43" t="str">
        <f>Assumptions!F135</f>
        <v>No driver</v>
      </c>
      <c r="G78" s="43">
        <f>Assumptions!G135</f>
        <v>0</v>
      </c>
      <c r="H78" s="43" t="str">
        <f>Assumptions!H135</f>
        <v>RPI</v>
      </c>
      <c r="I78" s="76">
        <f>Assumptions!I135</f>
        <v>0</v>
      </c>
    </row>
    <row r="79" spans="2:9" x14ac:dyDescent="0.5">
      <c r="B79" s="53" t="s">
        <v>161</v>
      </c>
      <c r="C79" s="29" t="s">
        <v>102</v>
      </c>
      <c r="D79" s="29" t="s">
        <v>103</v>
      </c>
      <c r="E79" s="51" t="s">
        <v>172</v>
      </c>
      <c r="F79" s="43" t="str">
        <f>Assumptions!F136</f>
        <v>No driver</v>
      </c>
      <c r="G79" s="43">
        <f>Assumptions!G136</f>
        <v>0</v>
      </c>
      <c r="H79" s="43" t="str">
        <f>Assumptions!H136</f>
        <v>No inflation</v>
      </c>
      <c r="I79" s="76">
        <f>Assumptions!I136</f>
        <v>0</v>
      </c>
    </row>
    <row r="80" spans="2:9" x14ac:dyDescent="0.5">
      <c r="B80" s="53" t="s">
        <v>161</v>
      </c>
      <c r="C80" s="29" t="s">
        <v>102</v>
      </c>
      <c r="D80" s="29" t="s">
        <v>103</v>
      </c>
      <c r="E80" s="51" t="s">
        <v>172</v>
      </c>
      <c r="F80" s="43" t="str">
        <f>Assumptions!F137</f>
        <v>No driver</v>
      </c>
      <c r="G80" s="43">
        <f>Assumptions!G137</f>
        <v>0</v>
      </c>
      <c r="H80" s="43" t="str">
        <f>Assumptions!H137</f>
        <v>No inflation</v>
      </c>
      <c r="I80" s="76">
        <f>Assumptions!I137</f>
        <v>0</v>
      </c>
    </row>
    <row r="81" spans="2:9" x14ac:dyDescent="0.5">
      <c r="B81" s="53" t="s">
        <v>161</v>
      </c>
      <c r="C81" s="29" t="s">
        <v>102</v>
      </c>
      <c r="D81" s="29" t="s">
        <v>103</v>
      </c>
      <c r="E81" s="51" t="s">
        <v>172</v>
      </c>
      <c r="F81" s="43" t="str">
        <f>Assumptions!F138</f>
        <v>No driver</v>
      </c>
      <c r="G81" s="43">
        <f>Assumptions!G138</f>
        <v>0</v>
      </c>
      <c r="H81" s="43" t="str">
        <f>Assumptions!H138</f>
        <v>No inflation</v>
      </c>
      <c r="I81" s="76">
        <f>Assumptions!I138</f>
        <v>0</v>
      </c>
    </row>
    <row r="82" spans="2:9" x14ac:dyDescent="0.5">
      <c r="B82" s="8" t="s">
        <v>175</v>
      </c>
      <c r="C82" s="29" t="s">
        <v>102</v>
      </c>
      <c r="D82" s="29" t="s">
        <v>103</v>
      </c>
      <c r="E82" s="51" t="s">
        <v>176</v>
      </c>
      <c r="F82" s="43" t="str">
        <f>Assumptions!F139</f>
        <v>Utilised Terminal Floor Area</v>
      </c>
      <c r="G82" s="43">
        <f>Assumptions!G139</f>
        <v>0.5</v>
      </c>
      <c r="H82" s="43" t="str">
        <f>Assumptions!H139</f>
        <v>CPI</v>
      </c>
      <c r="I82" s="76">
        <f>Assumptions!I139</f>
        <v>0</v>
      </c>
    </row>
    <row r="83" spans="2:9" x14ac:dyDescent="0.5">
      <c r="B83" s="8" t="s">
        <v>177</v>
      </c>
      <c r="C83" s="29" t="s">
        <v>102</v>
      </c>
      <c r="D83" s="29" t="s">
        <v>103</v>
      </c>
      <c r="E83" s="51" t="s">
        <v>176</v>
      </c>
      <c r="F83" s="43" t="str">
        <f>Assumptions!F140</f>
        <v>Utilised Terminal Floor Area</v>
      </c>
      <c r="G83" s="43">
        <f>Assumptions!G140</f>
        <v>0.5</v>
      </c>
      <c r="H83" s="43" t="str">
        <f>Assumptions!H140</f>
        <v>CPI</v>
      </c>
      <c r="I83" s="76">
        <f>Assumptions!I140</f>
        <v>0</v>
      </c>
    </row>
    <row r="84" spans="2:9" x14ac:dyDescent="0.5">
      <c r="B84" s="8" t="s">
        <v>178</v>
      </c>
      <c r="C84" s="29" t="s">
        <v>102</v>
      </c>
      <c r="D84" s="29" t="s">
        <v>103</v>
      </c>
      <c r="E84" s="51" t="s">
        <v>176</v>
      </c>
      <c r="F84" s="43" t="str">
        <f>Assumptions!F141</f>
        <v>Utilised Terminal Floor Area</v>
      </c>
      <c r="G84" s="43">
        <f>Assumptions!G141</f>
        <v>0.5</v>
      </c>
      <c r="H84" s="43" t="str">
        <f>Assumptions!H141</f>
        <v>CPI</v>
      </c>
      <c r="I84" s="76">
        <f>Assumptions!I141</f>
        <v>0</v>
      </c>
    </row>
    <row r="85" spans="2:9" x14ac:dyDescent="0.5">
      <c r="B85" s="8" t="s">
        <v>179</v>
      </c>
      <c r="C85" s="29" t="s">
        <v>102</v>
      </c>
      <c r="D85" s="29" t="s">
        <v>103</v>
      </c>
      <c r="E85" s="51" t="s">
        <v>176</v>
      </c>
      <c r="F85" s="43" t="str">
        <f>Assumptions!F142</f>
        <v>Utilised Terminal Floor Area</v>
      </c>
      <c r="G85" s="43">
        <f>Assumptions!G142</f>
        <v>0.5</v>
      </c>
      <c r="H85" s="43" t="str">
        <f>Assumptions!H142</f>
        <v>CPI</v>
      </c>
      <c r="I85" s="76">
        <f>Assumptions!I142</f>
        <v>0</v>
      </c>
    </row>
    <row r="86" spans="2:9" x14ac:dyDescent="0.5">
      <c r="B86" s="53" t="s">
        <v>180</v>
      </c>
      <c r="C86" s="29" t="s">
        <v>102</v>
      </c>
      <c r="D86" s="29" t="s">
        <v>103</v>
      </c>
      <c r="E86" s="51" t="s">
        <v>176</v>
      </c>
      <c r="F86" s="43" t="str">
        <f>Assumptions!F143</f>
        <v>Utilised Terminal Floor Area</v>
      </c>
      <c r="G86" s="43">
        <f>Assumptions!G143</f>
        <v>0.5</v>
      </c>
      <c r="H86" s="43" t="str">
        <f>Assumptions!H143</f>
        <v>CPI</v>
      </c>
      <c r="I86" s="76">
        <f>Assumptions!I143</f>
        <v>0</v>
      </c>
    </row>
    <row r="87" spans="2:9" x14ac:dyDescent="0.5">
      <c r="B87" s="53" t="s">
        <v>181</v>
      </c>
      <c r="C87" s="29" t="s">
        <v>102</v>
      </c>
      <c r="D87" s="29" t="s">
        <v>103</v>
      </c>
      <c r="E87" s="51" t="s">
        <v>176</v>
      </c>
      <c r="F87" s="43" t="str">
        <f>Assumptions!F144</f>
        <v>Utilised Terminal Floor Area</v>
      </c>
      <c r="G87" s="43">
        <f>Assumptions!G144</f>
        <v>0.5</v>
      </c>
      <c r="H87" s="43" t="str">
        <f>Assumptions!H144</f>
        <v>CPI</v>
      </c>
      <c r="I87" s="76">
        <f>Assumptions!I144</f>
        <v>0</v>
      </c>
    </row>
    <row r="88" spans="2:9" x14ac:dyDescent="0.5">
      <c r="B88" s="53" t="s">
        <v>161</v>
      </c>
      <c r="C88" s="29" t="s">
        <v>102</v>
      </c>
      <c r="D88" s="29" t="s">
        <v>103</v>
      </c>
      <c r="E88" s="51" t="s">
        <v>176</v>
      </c>
      <c r="F88" s="43" t="str">
        <f>Assumptions!F145</f>
        <v>No driver</v>
      </c>
      <c r="G88" s="43">
        <f>Assumptions!G145</f>
        <v>0</v>
      </c>
      <c r="H88" s="43" t="str">
        <f>Assumptions!H145</f>
        <v>No inflation</v>
      </c>
      <c r="I88" s="76">
        <f>Assumptions!I145</f>
        <v>0</v>
      </c>
    </row>
    <row r="89" spans="2:9" x14ac:dyDescent="0.5">
      <c r="B89" s="53" t="s">
        <v>161</v>
      </c>
      <c r="C89" s="29" t="s">
        <v>102</v>
      </c>
      <c r="D89" s="29" t="s">
        <v>103</v>
      </c>
      <c r="E89" s="51" t="s">
        <v>176</v>
      </c>
      <c r="F89" s="43" t="str">
        <f>Assumptions!F146</f>
        <v>No driver</v>
      </c>
      <c r="G89" s="43">
        <f>Assumptions!G146</f>
        <v>0</v>
      </c>
      <c r="H89" s="43" t="str">
        <f>Assumptions!H146</f>
        <v>No inflation</v>
      </c>
      <c r="I89" s="76">
        <f>Assumptions!I146</f>
        <v>0</v>
      </c>
    </row>
    <row r="90" spans="2:9" x14ac:dyDescent="0.5">
      <c r="B90" s="53" t="s">
        <v>161</v>
      </c>
      <c r="C90" s="29" t="s">
        <v>102</v>
      </c>
      <c r="D90" s="29" t="s">
        <v>103</v>
      </c>
      <c r="E90" s="51" t="s">
        <v>176</v>
      </c>
      <c r="F90" s="43" t="str">
        <f>Assumptions!F147</f>
        <v>No driver</v>
      </c>
      <c r="G90" s="43">
        <f>Assumptions!G147</f>
        <v>0</v>
      </c>
      <c r="H90" s="43" t="str">
        <f>Assumptions!H147</f>
        <v>No inflation</v>
      </c>
      <c r="I90" s="76">
        <f>Assumptions!I147</f>
        <v>0</v>
      </c>
    </row>
    <row r="91" spans="2:9" x14ac:dyDescent="0.5">
      <c r="B91" s="8" t="s">
        <v>182</v>
      </c>
      <c r="C91" s="29" t="s">
        <v>102</v>
      </c>
      <c r="D91" s="29" t="s">
        <v>103</v>
      </c>
      <c r="E91" s="51" t="s">
        <v>182</v>
      </c>
      <c r="F91" s="43" t="str">
        <f>Assumptions!F148</f>
        <v>No driver</v>
      </c>
      <c r="G91" s="43">
        <f>Assumptions!G148</f>
        <v>0</v>
      </c>
      <c r="H91" s="43" t="str">
        <f>Assumptions!H148</f>
        <v>No inflation</v>
      </c>
      <c r="I91" s="76">
        <f>Assumptions!I148</f>
        <v>0</v>
      </c>
    </row>
    <row r="92" spans="2:9" x14ac:dyDescent="0.5">
      <c r="B92" s="8" t="s">
        <v>183</v>
      </c>
      <c r="C92" s="29" t="s">
        <v>102</v>
      </c>
      <c r="D92" s="29" t="s">
        <v>103</v>
      </c>
      <c r="E92" s="51" t="s">
        <v>184</v>
      </c>
      <c r="F92" s="43" t="str">
        <f>Assumptions!F149</f>
        <v>No driver</v>
      </c>
      <c r="G92" s="43">
        <f>Assumptions!G149</f>
        <v>0</v>
      </c>
      <c r="H92" s="43" t="str">
        <f>Assumptions!H149</f>
        <v>RPI</v>
      </c>
      <c r="I92" s="76">
        <f>Assumptions!I149</f>
        <v>0</v>
      </c>
    </row>
    <row r="93" spans="2:9" x14ac:dyDescent="0.5">
      <c r="B93" s="8" t="s">
        <v>185</v>
      </c>
      <c r="C93" s="29" t="s">
        <v>102</v>
      </c>
      <c r="D93" s="29" t="s">
        <v>103</v>
      </c>
      <c r="E93" s="51" t="s">
        <v>184</v>
      </c>
      <c r="F93" s="43" t="str">
        <f>Assumptions!F150</f>
        <v>No driver</v>
      </c>
      <c r="G93" s="43">
        <f>Assumptions!G150</f>
        <v>0</v>
      </c>
      <c r="H93" s="43" t="str">
        <f>Assumptions!H150</f>
        <v>RPI</v>
      </c>
      <c r="I93" s="76">
        <f>Assumptions!I150</f>
        <v>0</v>
      </c>
    </row>
    <row r="94" spans="2:9" x14ac:dyDescent="0.5">
      <c r="B94" s="8" t="s">
        <v>186</v>
      </c>
      <c r="C94" s="29" t="s">
        <v>102</v>
      </c>
      <c r="D94" s="29" t="s">
        <v>103</v>
      </c>
      <c r="E94" s="51" t="s">
        <v>184</v>
      </c>
      <c r="F94" s="43" t="str">
        <f>Assumptions!F151</f>
        <v>No driver</v>
      </c>
      <c r="G94" s="43">
        <f>Assumptions!G151</f>
        <v>0</v>
      </c>
      <c r="H94" s="43" t="str">
        <f>Assumptions!H151</f>
        <v>RPI</v>
      </c>
      <c r="I94" s="76">
        <f>Assumptions!I151</f>
        <v>0</v>
      </c>
    </row>
    <row r="95" spans="2:9" x14ac:dyDescent="0.5">
      <c r="B95" s="8" t="s">
        <v>161</v>
      </c>
      <c r="C95" s="29" t="s">
        <v>102</v>
      </c>
      <c r="D95" s="29" t="s">
        <v>103</v>
      </c>
      <c r="E95" s="51" t="s">
        <v>184</v>
      </c>
      <c r="F95" s="43" t="str">
        <f>Assumptions!F152</f>
        <v>No driver</v>
      </c>
      <c r="G95" s="43">
        <f>Assumptions!G152</f>
        <v>0</v>
      </c>
      <c r="H95" s="43" t="str">
        <f>Assumptions!H152</f>
        <v>No inflation</v>
      </c>
      <c r="I95" s="76">
        <f>Assumptions!I152</f>
        <v>0</v>
      </c>
    </row>
    <row r="96" spans="2:9" x14ac:dyDescent="0.5">
      <c r="B96" s="53" t="s">
        <v>161</v>
      </c>
      <c r="C96" s="29" t="s">
        <v>102</v>
      </c>
      <c r="D96" s="29" t="s">
        <v>103</v>
      </c>
      <c r="E96" s="51" t="s">
        <v>184</v>
      </c>
      <c r="F96" s="43" t="str">
        <f>Assumptions!F153</f>
        <v>No driver</v>
      </c>
      <c r="G96" s="43">
        <f>Assumptions!G153</f>
        <v>0</v>
      </c>
      <c r="H96" s="43" t="str">
        <f>Assumptions!H153</f>
        <v>No inflation</v>
      </c>
      <c r="I96" s="76">
        <f>Assumptions!I153</f>
        <v>0</v>
      </c>
    </row>
    <row r="97" spans="1:15" x14ac:dyDescent="0.5">
      <c r="B97" s="53" t="s">
        <v>161</v>
      </c>
      <c r="C97" s="29" t="s">
        <v>102</v>
      </c>
      <c r="D97" s="29" t="s">
        <v>103</v>
      </c>
      <c r="E97" s="51" t="s">
        <v>184</v>
      </c>
      <c r="F97" s="43" t="str">
        <f>Assumptions!F154</f>
        <v>No driver</v>
      </c>
      <c r="G97" s="43">
        <f>Assumptions!G154</f>
        <v>0</v>
      </c>
      <c r="H97" s="43" t="str">
        <f>Assumptions!H154</f>
        <v>No inflation</v>
      </c>
      <c r="I97" s="76">
        <f>Assumptions!I154</f>
        <v>0</v>
      </c>
    </row>
    <row r="98" spans="1:15" x14ac:dyDescent="0.5">
      <c r="B98" s="53" t="s">
        <v>187</v>
      </c>
      <c r="C98" s="29" t="s">
        <v>102</v>
      </c>
      <c r="D98" s="29" t="s">
        <v>103</v>
      </c>
      <c r="E98" s="51" t="s">
        <v>184</v>
      </c>
      <c r="F98" s="43">
        <f>Assumptions!F155</f>
        <v>0</v>
      </c>
      <c r="G98" s="43">
        <f>Assumptions!G155</f>
        <v>0</v>
      </c>
      <c r="H98" s="43">
        <f>Assumptions!H155</f>
        <v>0</v>
      </c>
      <c r="I98" s="76">
        <f>Assumptions!I155</f>
        <v>0</v>
      </c>
    </row>
    <row r="99" spans="1:15" x14ac:dyDescent="0.5">
      <c r="B99" s="8" t="s">
        <v>161</v>
      </c>
      <c r="C99" s="29" t="s">
        <v>102</v>
      </c>
      <c r="D99" s="29" t="s">
        <v>103</v>
      </c>
      <c r="E99" s="51" t="s">
        <v>187</v>
      </c>
      <c r="F99" s="43" t="str">
        <f>Assumptions!F156</f>
        <v>No driver</v>
      </c>
      <c r="G99" s="43">
        <f>Assumptions!G156</f>
        <v>0</v>
      </c>
      <c r="H99" s="43" t="str">
        <f>Assumptions!H156</f>
        <v>No inflation</v>
      </c>
      <c r="I99" s="76">
        <f>Assumptions!I156</f>
        <v>0</v>
      </c>
    </row>
    <row r="100" spans="1:15" x14ac:dyDescent="0.5">
      <c r="B100" s="53" t="s">
        <v>161</v>
      </c>
      <c r="C100" s="29" t="s">
        <v>102</v>
      </c>
      <c r="D100" s="29" t="s">
        <v>103</v>
      </c>
      <c r="E100" s="51" t="s">
        <v>187</v>
      </c>
      <c r="F100" s="43" t="str">
        <f>Assumptions!F157</f>
        <v>No driver</v>
      </c>
      <c r="G100" s="43">
        <f>Assumptions!G157</f>
        <v>0</v>
      </c>
      <c r="H100" s="43" t="str">
        <f>Assumptions!H157</f>
        <v>No inflation</v>
      </c>
      <c r="I100" s="76">
        <f>Assumptions!I157</f>
        <v>0</v>
      </c>
    </row>
    <row r="101" spans="1:15" x14ac:dyDescent="0.5">
      <c r="B101" s="53" t="s">
        <v>161</v>
      </c>
      <c r="C101" s="29" t="s">
        <v>102</v>
      </c>
      <c r="D101" s="29" t="s">
        <v>103</v>
      </c>
      <c r="E101" s="51" t="s">
        <v>187</v>
      </c>
      <c r="F101" s="43" t="str">
        <f>Assumptions!F158</f>
        <v>No driver</v>
      </c>
      <c r="G101" s="43">
        <f>Assumptions!G158</f>
        <v>0</v>
      </c>
      <c r="H101" s="43" t="str">
        <f>Assumptions!H158</f>
        <v>No inflation</v>
      </c>
      <c r="I101" s="76">
        <f>Assumptions!I158</f>
        <v>0</v>
      </c>
    </row>
    <row r="102" spans="1:15" x14ac:dyDescent="0.5">
      <c r="E102"/>
    </row>
    <row r="103" spans="1:15" ht="30" thickBot="1" x14ac:dyDescent="0.85">
      <c r="A103" s="16" t="s">
        <v>188</v>
      </c>
      <c r="E103"/>
    </row>
    <row r="104" spans="1:15" ht="17" thickTop="1" x14ac:dyDescent="0.5"/>
    <row r="105" spans="1:15" ht="19" thickBot="1" x14ac:dyDescent="0.55000000000000004">
      <c r="A105" s="14" t="s">
        <v>189</v>
      </c>
    </row>
    <row r="106" spans="1:15" ht="17" thickTop="1" x14ac:dyDescent="0.5"/>
    <row r="107" spans="1:15" ht="17" thickBot="1" x14ac:dyDescent="0.55000000000000004">
      <c r="B107" s="27" t="s">
        <v>95</v>
      </c>
      <c r="C107" s="27" t="s">
        <v>96</v>
      </c>
      <c r="D107" s="27" t="s">
        <v>97</v>
      </c>
      <c r="E107" s="50" t="s">
        <v>98</v>
      </c>
      <c r="F107" s="11">
        <v>2024</v>
      </c>
      <c r="G107" s="11">
        <v>2025</v>
      </c>
      <c r="H107" s="11">
        <f t="shared" ref="H107:M107" si="0">G107+1</f>
        <v>2026</v>
      </c>
      <c r="I107" s="11">
        <f t="shared" si="0"/>
        <v>2027</v>
      </c>
      <c r="J107" s="11">
        <f t="shared" si="0"/>
        <v>2028</v>
      </c>
      <c r="K107" s="11">
        <f t="shared" si="0"/>
        <v>2029</v>
      </c>
      <c r="L107" s="11">
        <f t="shared" si="0"/>
        <v>2030</v>
      </c>
      <c r="M107" s="11">
        <f t="shared" si="0"/>
        <v>2031</v>
      </c>
      <c r="N107" s="27" t="s">
        <v>190</v>
      </c>
    </row>
    <row r="108" spans="1:15" x14ac:dyDescent="0.5">
      <c r="B108" s="8" t="s">
        <v>101</v>
      </c>
      <c r="C108" s="29" t="s">
        <v>102</v>
      </c>
      <c r="D108" s="29" t="s">
        <v>103</v>
      </c>
      <c r="E108" s="51" t="s">
        <v>104</v>
      </c>
      <c r="F108" s="105">
        <f>Baseline!H22</f>
        <v>173.62</v>
      </c>
      <c r="G108" s="105">
        <f>OPEX!G129</f>
        <v>175.06755313372508</v>
      </c>
      <c r="H108" s="105">
        <f>OPEX!H129</f>
        <v>175.41950938387416</v>
      </c>
      <c r="I108" s="105">
        <f>OPEX!I129</f>
        <v>174.2757039808879</v>
      </c>
      <c r="J108" s="105">
        <f>OPEX!J129</f>
        <v>173.15905893328392</v>
      </c>
      <c r="K108" s="105">
        <f>OPEX!K129</f>
        <v>172.27428985712254</v>
      </c>
      <c r="L108" s="105">
        <f>OPEX!L129</f>
        <v>171.62963726596766</v>
      </c>
      <c r="M108" s="105">
        <f>OPEX!M129</f>
        <v>170.90465664698408</v>
      </c>
      <c r="N108" s="105">
        <f>SUM(I108:M108)</f>
        <v>862.24334668424615</v>
      </c>
    </row>
    <row r="109" spans="1:15" x14ac:dyDescent="0.5">
      <c r="B109" s="8" t="s">
        <v>105</v>
      </c>
      <c r="C109" s="29" t="s">
        <v>102</v>
      </c>
      <c r="D109" s="29" t="s">
        <v>103</v>
      </c>
      <c r="E109" s="51" t="s">
        <v>104</v>
      </c>
      <c r="F109" s="105">
        <f>Baseline!H23</f>
        <v>25.84083912086221</v>
      </c>
      <c r="G109" s="105">
        <f>OPEX!G130</f>
        <v>26.056286578801906</v>
      </c>
      <c r="H109" s="105">
        <f>OPEX!H130</f>
        <v>26.108670203025408</v>
      </c>
      <c r="I109" s="105">
        <f>OPEX!I130</f>
        <v>25.938431224773247</v>
      </c>
      <c r="J109" s="105">
        <f>OPEX!J130</f>
        <v>25.772234674662418</v>
      </c>
      <c r="K109" s="105">
        <f>OPEX!K130</f>
        <v>25.640549526890268</v>
      </c>
      <c r="L109" s="105">
        <f>OPEX!L130</f>
        <v>25.544602263344139</v>
      </c>
      <c r="M109" s="105">
        <f>OPEX!M130</f>
        <v>25.436699328538833</v>
      </c>
      <c r="N109" s="105">
        <f t="shared" ref="N109:N144" si="1">SUM(I109:M109)</f>
        <v>128.3325170182089</v>
      </c>
      <c r="O109" s="119"/>
    </row>
    <row r="110" spans="1:15" x14ac:dyDescent="0.5">
      <c r="B110" s="8" t="s">
        <v>106</v>
      </c>
      <c r="C110" s="29" t="s">
        <v>102</v>
      </c>
      <c r="D110" s="29" t="s">
        <v>103</v>
      </c>
      <c r="E110" s="51" t="s">
        <v>104</v>
      </c>
      <c r="F110" s="105">
        <f>Baseline!H24</f>
        <v>20.355502456178893</v>
      </c>
      <c r="G110" s="105">
        <f>OPEX!G131</f>
        <v>20.525216033929098</v>
      </c>
      <c r="H110" s="105">
        <f>OPEX!H131</f>
        <v>20.566479979985875</v>
      </c>
      <c r="I110" s="105">
        <f>OPEX!I131</f>
        <v>20.4323782999382</v>
      </c>
      <c r="J110" s="105">
        <f>OPEX!J131</f>
        <v>20.301460945893837</v>
      </c>
      <c r="K110" s="105">
        <f>OPEX!K131</f>
        <v>20.197729122930156</v>
      </c>
      <c r="L110" s="105">
        <f>OPEX!L131</f>
        <v>20.122148962795183</v>
      </c>
      <c r="M110" s="105">
        <f>OPEX!M131</f>
        <v>20.037151008812909</v>
      </c>
      <c r="N110" s="105">
        <f t="shared" si="1"/>
        <v>101.09086834037029</v>
      </c>
    </row>
    <row r="111" spans="1:15" x14ac:dyDescent="0.5">
      <c r="B111" s="8" t="s">
        <v>107</v>
      </c>
      <c r="C111" s="29" t="s">
        <v>102</v>
      </c>
      <c r="D111" s="29" t="s">
        <v>103</v>
      </c>
      <c r="E111" s="51" t="s">
        <v>104</v>
      </c>
      <c r="F111" s="105">
        <f>Baseline!H25</f>
        <v>55.434541222423192</v>
      </c>
      <c r="G111" s="105">
        <f>OPEX!G132</f>
        <v>55.896725555236983</v>
      </c>
      <c r="H111" s="105">
        <f>OPEX!H132</f>
        <v>56.009100473203688</v>
      </c>
      <c r="I111" s="105">
        <f>OPEX!I132</f>
        <v>55.643898723622584</v>
      </c>
      <c r="J111" s="105">
        <f>OPEX!J132</f>
        <v>55.287368911836978</v>
      </c>
      <c r="K111" s="105">
        <f>OPEX!K132</f>
        <v>55.004873992906013</v>
      </c>
      <c r="L111" s="105">
        <f>OPEX!L132</f>
        <v>54.799045052469914</v>
      </c>
      <c r="M111" s="105">
        <f>OPEX!M132</f>
        <v>54.567568448343074</v>
      </c>
      <c r="N111" s="105">
        <f t="shared" si="1"/>
        <v>275.30275512917859</v>
      </c>
    </row>
    <row r="112" spans="1:15" x14ac:dyDescent="0.5">
      <c r="B112" s="8" t="s">
        <v>108</v>
      </c>
      <c r="C112" s="29" t="s">
        <v>102</v>
      </c>
      <c r="D112" s="29" t="s">
        <v>103</v>
      </c>
      <c r="E112" s="51" t="s">
        <v>104</v>
      </c>
      <c r="F112" s="105">
        <f>Baseline!H26</f>
        <v>21.239117200535723</v>
      </c>
      <c r="G112" s="105">
        <f>OPEX!G133</f>
        <v>21.416197897812481</v>
      </c>
      <c r="H112" s="105">
        <f>OPEX!H133</f>
        <v>21.459253076054491</v>
      </c>
      <c r="I112" s="105">
        <f>OPEX!I133</f>
        <v>21.319330158138175</v>
      </c>
      <c r="J112" s="105">
        <f>OPEX!J133</f>
        <v>21.182729795061004</v>
      </c>
      <c r="K112" s="105">
        <f>OPEX!K133</f>
        <v>21.074495063440217</v>
      </c>
      <c r="L112" s="105">
        <f>OPEX!L133</f>
        <v>20.995634033966844</v>
      </c>
      <c r="M112" s="105">
        <f>OPEX!M133</f>
        <v>20.906946392366169</v>
      </c>
      <c r="N112" s="105">
        <f t="shared" si="1"/>
        <v>105.47913544297241</v>
      </c>
    </row>
    <row r="113" spans="2:14" x14ac:dyDescent="0.5">
      <c r="B113" s="8" t="s">
        <v>109</v>
      </c>
      <c r="C113" s="29" t="s">
        <v>102</v>
      </c>
      <c r="D113" s="29" t="s">
        <v>103</v>
      </c>
      <c r="E113" s="51" t="s">
        <v>104</v>
      </c>
      <c r="F113" s="105">
        <f>Baseline!H27</f>
        <v>149.02000000000001</v>
      </c>
      <c r="G113" s="105">
        <f>OPEX!G134</f>
        <v>150.26245114611055</v>
      </c>
      <c r="H113" s="105">
        <f>OPEX!H134</f>
        <v>150.56453915669238</v>
      </c>
      <c r="I113" s="105">
        <f>OPEX!I134</f>
        <v>149.5827981063928</v>
      </c>
      <c r="J113" s="105">
        <f>OPEX!J134</f>
        <v>148.62436909479308</v>
      </c>
      <c r="K113" s="105">
        <f>OPEX!K134</f>
        <v>147.86496183912226</v>
      </c>
      <c r="L113" s="105">
        <f>OPEX!L134</f>
        <v>147.31164926491482</v>
      </c>
      <c r="M113" s="105">
        <f>OPEX!M134</f>
        <v>146.68939024037314</v>
      </c>
      <c r="N113" s="105">
        <f t="shared" si="1"/>
        <v>740.07316854559599</v>
      </c>
    </row>
    <row r="114" spans="2:14" x14ac:dyDescent="0.5">
      <c r="B114" s="8" t="s">
        <v>110</v>
      </c>
      <c r="C114" s="29" t="s">
        <v>102</v>
      </c>
      <c r="D114" s="29" t="s">
        <v>103</v>
      </c>
      <c r="E114" s="51" t="s">
        <v>104</v>
      </c>
      <c r="F114" s="105">
        <f>Baseline!H28</f>
        <v>0</v>
      </c>
      <c r="G114" s="105">
        <f>OPEX!G135</f>
        <v>0</v>
      </c>
      <c r="H114" s="105">
        <f>OPEX!H135</f>
        <v>0</v>
      </c>
      <c r="I114" s="105">
        <f>OPEX!I135</f>
        <v>0</v>
      </c>
      <c r="J114" s="105">
        <f>OPEX!J135</f>
        <v>0</v>
      </c>
      <c r="K114" s="105">
        <f>OPEX!K135</f>
        <v>0</v>
      </c>
      <c r="L114" s="105">
        <f>OPEX!L135</f>
        <v>0</v>
      </c>
      <c r="M114" s="105">
        <f>OPEX!M135</f>
        <v>0</v>
      </c>
      <c r="N114" s="105">
        <f t="shared" si="1"/>
        <v>0</v>
      </c>
    </row>
    <row r="115" spans="2:14" x14ac:dyDescent="0.5">
      <c r="B115" s="8" t="s">
        <v>111</v>
      </c>
      <c r="C115" s="29" t="s">
        <v>102</v>
      </c>
      <c r="D115" s="29" t="s">
        <v>103</v>
      </c>
      <c r="E115" s="51" t="s">
        <v>112</v>
      </c>
      <c r="F115" s="105">
        <f>Baseline!H29</f>
        <v>83.700355058898367</v>
      </c>
      <c r="G115" s="105">
        <f>OPEX!G136</f>
        <v>83.0831731240458</v>
      </c>
      <c r="H115" s="105">
        <f>OPEX!H136</f>
        <v>82.361163654900452</v>
      </c>
      <c r="I115" s="105">
        <f>OPEX!I136</f>
        <v>81.567740226290624</v>
      </c>
      <c r="J115" s="105">
        <f>OPEX!J136</f>
        <v>80.759823358531804</v>
      </c>
      <c r="K115" s="105">
        <f>OPEX!K136</f>
        <v>79.973197984237004</v>
      </c>
      <c r="L115" s="105">
        <f>OPEX!L136</f>
        <v>79.213176645799209</v>
      </c>
      <c r="M115" s="105">
        <f>OPEX!M136</f>
        <v>78.460378132625877</v>
      </c>
      <c r="N115" s="105">
        <f t="shared" si="1"/>
        <v>399.97431634748449</v>
      </c>
    </row>
    <row r="116" spans="2:14" x14ac:dyDescent="0.5">
      <c r="B116" s="8" t="s">
        <v>113</v>
      </c>
      <c r="C116" s="29" t="s">
        <v>102</v>
      </c>
      <c r="D116" s="29" t="s">
        <v>103</v>
      </c>
      <c r="E116" s="51" t="s">
        <v>112</v>
      </c>
      <c r="F116" s="105">
        <f>Baseline!H30</f>
        <v>78.455537278967029</v>
      </c>
      <c r="G116" s="105">
        <f>OPEX!G137</f>
        <v>77.877029096251945</v>
      </c>
      <c r="H116" s="105">
        <f>OPEX!H137</f>
        <v>77.200262064828479</v>
      </c>
      <c r="I116" s="105">
        <f>OPEX!I137</f>
        <v>76.456556003635541</v>
      </c>
      <c r="J116" s="105">
        <f>OPEX!J137</f>
        <v>75.699264688776069</v>
      </c>
      <c r="K116" s="105">
        <f>OPEX!K137</f>
        <v>74.961930703345075</v>
      </c>
      <c r="L116" s="105">
        <f>OPEX!L137</f>
        <v>74.249533696084384</v>
      </c>
      <c r="M116" s="105">
        <f>OPEX!M137</f>
        <v>73.543906918608229</v>
      </c>
      <c r="N116" s="105">
        <f t="shared" si="1"/>
        <v>374.91119201044933</v>
      </c>
    </row>
    <row r="117" spans="2:14" x14ac:dyDescent="0.5">
      <c r="B117" s="8" t="s">
        <v>114</v>
      </c>
      <c r="C117" s="29" t="s">
        <v>102</v>
      </c>
      <c r="D117" s="29" t="s">
        <v>103</v>
      </c>
      <c r="E117" s="51" t="s">
        <v>112</v>
      </c>
      <c r="F117" s="105">
        <f>Baseline!H31</f>
        <v>21.555553855777173</v>
      </c>
      <c r="G117" s="105">
        <f>OPEX!G138</f>
        <v>21.396609506901168</v>
      </c>
      <c r="H117" s="105">
        <f>OPEX!H138</f>
        <v>21.210668670860603</v>
      </c>
      <c r="I117" s="105">
        <f>OPEX!I138</f>
        <v>21.006336425987808</v>
      </c>
      <c r="J117" s="105">
        <f>OPEX!J138</f>
        <v>20.798271650853803</v>
      </c>
      <c r="K117" s="105">
        <f>OPEX!K138</f>
        <v>20.595690125267673</v>
      </c>
      <c r="L117" s="105">
        <f>OPEX!L138</f>
        <v>20.399960001056044</v>
      </c>
      <c r="M117" s="105">
        <f>OPEX!M138</f>
        <v>20.206089988415862</v>
      </c>
      <c r="N117" s="105">
        <f t="shared" si="1"/>
        <v>103.0063481915812</v>
      </c>
    </row>
    <row r="118" spans="2:14" x14ac:dyDescent="0.5">
      <c r="B118" s="8" t="s">
        <v>115</v>
      </c>
      <c r="C118" s="29" t="s">
        <v>102</v>
      </c>
      <c r="D118" s="29" t="s">
        <v>103</v>
      </c>
      <c r="E118" s="51" t="s">
        <v>112</v>
      </c>
      <c r="F118" s="105">
        <f>Baseline!H32</f>
        <v>51.708553806357429</v>
      </c>
      <c r="G118" s="105">
        <f>OPEX!G139</f>
        <v>51.191468268293853</v>
      </c>
      <c r="H118" s="105">
        <f>OPEX!H139</f>
        <v>50.679553585610911</v>
      </c>
      <c r="I118" s="105">
        <f>OPEX!I139</f>
        <v>50.172758049754805</v>
      </c>
      <c r="J118" s="105">
        <f>OPEX!J139</f>
        <v>49.671030469257254</v>
      </c>
      <c r="K118" s="105">
        <f>OPEX!K139</f>
        <v>49.174320164564683</v>
      </c>
      <c r="L118" s="105">
        <f>OPEX!L139</f>
        <v>48.682576962919036</v>
      </c>
      <c r="M118" s="105">
        <f>OPEX!M139</f>
        <v>48.195751193289844</v>
      </c>
      <c r="N118" s="105">
        <f t="shared" si="1"/>
        <v>245.89643683978562</v>
      </c>
    </row>
    <row r="119" spans="2:14" x14ac:dyDescent="0.5">
      <c r="B119" s="8" t="s">
        <v>116</v>
      </c>
      <c r="C119" s="29" t="s">
        <v>102</v>
      </c>
      <c r="D119" s="29" t="s">
        <v>103</v>
      </c>
      <c r="E119" s="51" t="s">
        <v>117</v>
      </c>
      <c r="F119" s="105">
        <f>Baseline!H33</f>
        <v>116.37</v>
      </c>
      <c r="G119" s="116"/>
      <c r="H119" s="116"/>
      <c r="I119" s="105">
        <f>'Bottom-up'!H38</f>
        <v>159.45879958189488</v>
      </c>
      <c r="J119" s="105">
        <f>'Bottom-up'!I38</f>
        <v>201.86030814739911</v>
      </c>
      <c r="K119" s="105">
        <f>'Bottom-up'!J38</f>
        <v>201.8604848469499</v>
      </c>
      <c r="L119" s="105">
        <f>'Bottom-up'!K38</f>
        <v>201.8606615466409</v>
      </c>
      <c r="M119" s="105">
        <f>'Bottom-up'!L38</f>
        <v>201.86083824647216</v>
      </c>
      <c r="N119" s="105">
        <f t="shared" si="1"/>
        <v>966.901092369357</v>
      </c>
    </row>
    <row r="120" spans="2:14" x14ac:dyDescent="0.5">
      <c r="B120" s="8" t="s">
        <v>118</v>
      </c>
      <c r="C120" s="29" t="s">
        <v>102</v>
      </c>
      <c r="D120" s="29" t="s">
        <v>103</v>
      </c>
      <c r="E120" s="51" t="s">
        <v>119</v>
      </c>
      <c r="F120" s="105">
        <f>Baseline!H34</f>
        <v>89.82459649628116</v>
      </c>
      <c r="G120" s="105">
        <f>OPEX!G141</f>
        <v>89.996241767223552</v>
      </c>
      <c r="H120" s="105">
        <f>OPEX!H141</f>
        <v>90.341027006790995</v>
      </c>
      <c r="I120" s="105">
        <f>OPEX!I141</f>
        <v>90.449255079547669</v>
      </c>
      <c r="J120" s="105">
        <f>OPEX!J141</f>
        <v>90.722997810821141</v>
      </c>
      <c r="K120" s="105">
        <f>OPEX!K141</f>
        <v>91.021924485555559</v>
      </c>
      <c r="L120" s="105">
        <f>OPEX!L141</f>
        <v>91.311052016905322</v>
      </c>
      <c r="M120" s="105">
        <f>OPEX!M141</f>
        <v>91.556772433737862</v>
      </c>
      <c r="N120" s="105">
        <f t="shared" si="1"/>
        <v>455.06200182656755</v>
      </c>
    </row>
    <row r="121" spans="2:14" x14ac:dyDescent="0.5">
      <c r="B121" s="8" t="s">
        <v>120</v>
      </c>
      <c r="C121" s="29" t="s">
        <v>102</v>
      </c>
      <c r="D121" s="29" t="s">
        <v>103</v>
      </c>
      <c r="E121" s="51" t="s">
        <v>119</v>
      </c>
      <c r="F121" s="105">
        <f>Baseline!H35</f>
        <v>5.1096001064851384</v>
      </c>
      <c r="G121" s="105">
        <f>OPEX!G142</f>
        <v>5.1193640100137365</v>
      </c>
      <c r="H121" s="105">
        <f>OPEX!H142</f>
        <v>5.1389768417494324</v>
      </c>
      <c r="I121" s="105">
        <f>OPEX!I142</f>
        <v>5.1451333088381004</v>
      </c>
      <c r="J121" s="105">
        <f>OPEX!J142</f>
        <v>5.1607049444860538</v>
      </c>
      <c r="K121" s="105">
        <f>OPEX!K142</f>
        <v>5.1777091485530038</v>
      </c>
      <c r="L121" s="105">
        <f>OPEX!L142</f>
        <v>5.1941559362102545</v>
      </c>
      <c r="M121" s="105">
        <f>OPEX!M142</f>
        <v>5.2081335449832045</v>
      </c>
      <c r="N121" s="105">
        <f t="shared" si="1"/>
        <v>25.885836883070617</v>
      </c>
    </row>
    <row r="122" spans="2:14" x14ac:dyDescent="0.5">
      <c r="B122" s="8" t="s">
        <v>121</v>
      </c>
      <c r="C122" s="29" t="s">
        <v>102</v>
      </c>
      <c r="D122" s="29" t="s">
        <v>103</v>
      </c>
      <c r="E122" s="51" t="s">
        <v>119</v>
      </c>
      <c r="F122" s="105">
        <f>Baseline!H36</f>
        <v>5.4366067539086433</v>
      </c>
      <c r="G122" s="105">
        <f>OPEX!G143</f>
        <v>5.4469955324356985</v>
      </c>
      <c r="H122" s="105">
        <f>OPEX!H143</f>
        <v>5.4678635556186128</v>
      </c>
      <c r="I122" s="105">
        <f>OPEX!I143</f>
        <v>5.4744140272518012</v>
      </c>
      <c r="J122" s="105">
        <f>OPEX!J143</f>
        <v>5.4909822239342807</v>
      </c>
      <c r="K122" s="105">
        <f>OPEX!K143</f>
        <v>5.5090746712390883</v>
      </c>
      <c r="L122" s="105">
        <f>OPEX!L143</f>
        <v>5.5265740283304625</v>
      </c>
      <c r="M122" s="105">
        <f>OPEX!M143</f>
        <v>5.5414461828386141</v>
      </c>
      <c r="N122" s="105">
        <f t="shared" si="1"/>
        <v>27.542491133594247</v>
      </c>
    </row>
    <row r="123" spans="2:14" x14ac:dyDescent="0.5">
      <c r="B123" s="8" t="s">
        <v>122</v>
      </c>
      <c r="C123" s="29" t="s">
        <v>102</v>
      </c>
      <c r="D123" s="29" t="s">
        <v>103</v>
      </c>
      <c r="E123" s="51" t="s">
        <v>119</v>
      </c>
      <c r="F123" s="105">
        <f>Baseline!H37</f>
        <v>5.465301060181778</v>
      </c>
      <c r="G123" s="105">
        <f>OPEX!G144</f>
        <v>5.4757446704828334</v>
      </c>
      <c r="H123" s="105">
        <f>OPEX!H144</f>
        <v>5.4967228346922434</v>
      </c>
      <c r="I123" s="105">
        <f>OPEX!I144</f>
        <v>5.5033078795891948</v>
      </c>
      <c r="J123" s="105">
        <f>OPEX!J144</f>
        <v>5.5199635228962922</v>
      </c>
      <c r="K123" s="105">
        <f>OPEX!K144</f>
        <v>5.538151461791295</v>
      </c>
      <c r="L123" s="105">
        <f>OPEX!L144</f>
        <v>5.5557431801540824</v>
      </c>
      <c r="M123" s="105">
        <f>OPEX!M144</f>
        <v>5.5706938296087536</v>
      </c>
      <c r="N123" s="105">
        <f t="shared" si="1"/>
        <v>27.687859874039617</v>
      </c>
    </row>
    <row r="124" spans="2:14" x14ac:dyDescent="0.5">
      <c r="B124" s="8" t="s">
        <v>123</v>
      </c>
      <c r="C124" s="29" t="s">
        <v>102</v>
      </c>
      <c r="D124" s="29" t="s">
        <v>103</v>
      </c>
      <c r="E124" s="51" t="s">
        <v>119</v>
      </c>
      <c r="F124" s="105">
        <f>Baseline!H38</f>
        <v>3.5738955831432722</v>
      </c>
      <c r="G124" s="105">
        <f>OPEX!G145</f>
        <v>3.5807249183099921</v>
      </c>
      <c r="H124" s="105">
        <f>OPEX!H145</f>
        <v>3.5944430589183285</v>
      </c>
      <c r="I124" s="105">
        <f>OPEX!I145</f>
        <v>3.5987491827005069</v>
      </c>
      <c r="J124" s="105">
        <f>OPEX!J145</f>
        <v>3.6096407199450562</v>
      </c>
      <c r="K124" s="105">
        <f>OPEX!K145</f>
        <v>3.6215342631858687</v>
      </c>
      <c r="L124" s="105">
        <f>OPEX!L145</f>
        <v>3.6330379230692595</v>
      </c>
      <c r="M124" s="105">
        <f>OPEX!M145</f>
        <v>3.6428145226495574</v>
      </c>
      <c r="N124" s="105">
        <f t="shared" si="1"/>
        <v>18.105776611550251</v>
      </c>
    </row>
    <row r="125" spans="2:14" x14ac:dyDescent="0.5">
      <c r="B125" s="8" t="s">
        <v>124</v>
      </c>
      <c r="C125" s="29" t="s">
        <v>102</v>
      </c>
      <c r="D125" s="29" t="s">
        <v>103</v>
      </c>
      <c r="E125" s="51" t="s">
        <v>124</v>
      </c>
      <c r="F125" s="105">
        <f>Baseline!H39</f>
        <v>33.119999999999997</v>
      </c>
      <c r="G125" s="105">
        <f>OPEX!G146</f>
        <v>33.399790064839365</v>
      </c>
      <c r="H125" s="105">
        <f>OPEX!H146</f>
        <v>33.801085904569277</v>
      </c>
      <c r="I125" s="105">
        <f>OPEX!I146</f>
        <v>34.169868364924135</v>
      </c>
      <c r="J125" s="105">
        <f>OPEX!J146</f>
        <v>34.449484646929392</v>
      </c>
      <c r="K125" s="105">
        <f>OPEX!K146</f>
        <v>34.742141863007546</v>
      </c>
      <c r="L125" s="105">
        <f>OPEX!L146</f>
        <v>34.846978671986669</v>
      </c>
      <c r="M125" s="105">
        <f>OPEX!M146</f>
        <v>34.952131833266705</v>
      </c>
      <c r="N125" s="105">
        <f t="shared" si="1"/>
        <v>173.16060538011442</v>
      </c>
    </row>
    <row r="126" spans="2:14" x14ac:dyDescent="0.5">
      <c r="B126" s="8" t="s">
        <v>125</v>
      </c>
      <c r="C126" s="29" t="s">
        <v>102</v>
      </c>
      <c r="D126" s="29" t="s">
        <v>103</v>
      </c>
      <c r="E126" s="51" t="s">
        <v>125</v>
      </c>
      <c r="F126" s="105">
        <f>Baseline!H40</f>
        <v>25.64</v>
      </c>
      <c r="G126" s="105">
        <f>OPEX!G147</f>
        <v>25.383600000000001</v>
      </c>
      <c r="H126" s="105">
        <f>OPEX!H147</f>
        <v>25.129764000000002</v>
      </c>
      <c r="I126" s="105">
        <f>OPEX!I147</f>
        <v>24.878466360000001</v>
      </c>
      <c r="J126" s="105">
        <f>OPEX!J147</f>
        <v>24.629681696400002</v>
      </c>
      <c r="K126" s="105">
        <f>OPEX!K147</f>
        <v>24.383384879436001</v>
      </c>
      <c r="L126" s="105">
        <f>OPEX!L147</f>
        <v>24.139551030641641</v>
      </c>
      <c r="M126" s="105">
        <f>OPEX!M147</f>
        <v>23.898155520335223</v>
      </c>
      <c r="N126" s="105">
        <f t="shared" si="1"/>
        <v>121.92923948681288</v>
      </c>
    </row>
    <row r="127" spans="2:14" x14ac:dyDescent="0.5">
      <c r="B127" s="8" t="s">
        <v>126</v>
      </c>
      <c r="C127" s="29" t="s">
        <v>102</v>
      </c>
      <c r="D127" s="29" t="s">
        <v>103</v>
      </c>
      <c r="E127" s="51" t="s">
        <v>127</v>
      </c>
      <c r="F127" s="105">
        <f>Baseline!H41</f>
        <v>46.830990901617803</v>
      </c>
      <c r="G127" s="105">
        <f>OPEX!G148</f>
        <v>46.436509461742226</v>
      </c>
      <c r="H127" s="105">
        <f>OPEX!H148</f>
        <v>46.118914540502757</v>
      </c>
      <c r="I127" s="105">
        <f>OPEX!I148</f>
        <v>45.703306823138483</v>
      </c>
      <c r="J127" s="105">
        <f>OPEX!J148</f>
        <v>45.360387819442721</v>
      </c>
      <c r="K127" s="105">
        <f>OPEX!K148</f>
        <v>45.030088174284536</v>
      </c>
      <c r="L127" s="105">
        <f>OPEX!L148</f>
        <v>44.697792230370666</v>
      </c>
      <c r="M127" s="105">
        <f>OPEX!M148</f>
        <v>44.350047718634322</v>
      </c>
      <c r="N127" s="105">
        <f t="shared" si="1"/>
        <v>225.14162276587072</v>
      </c>
    </row>
    <row r="128" spans="2:14" x14ac:dyDescent="0.5">
      <c r="B128" s="8" t="s">
        <v>128</v>
      </c>
      <c r="C128" s="29" t="s">
        <v>102</v>
      </c>
      <c r="D128" s="29" t="s">
        <v>103</v>
      </c>
      <c r="E128" s="51" t="s">
        <v>127</v>
      </c>
      <c r="F128" s="105">
        <f>Baseline!H42</f>
        <v>41.886894598514523</v>
      </c>
      <c r="G128" s="105">
        <f>OPEX!G149</f>
        <v>41.534059815926831</v>
      </c>
      <c r="H128" s="105">
        <f>OPEX!H149</f>
        <v>41.249994398243743</v>
      </c>
      <c r="I128" s="105">
        <f>OPEX!I149</f>
        <v>40.87826370631501</v>
      </c>
      <c r="J128" s="105">
        <f>OPEX!J149</f>
        <v>40.57154774991325</v>
      </c>
      <c r="K128" s="105">
        <f>OPEX!K149</f>
        <v>40.276118886327325</v>
      </c>
      <c r="L128" s="105">
        <f>OPEX!L149</f>
        <v>39.978904479579562</v>
      </c>
      <c r="M128" s="105">
        <f>OPEX!M149</f>
        <v>39.667872459332287</v>
      </c>
      <c r="N128" s="105">
        <f t="shared" si="1"/>
        <v>201.37270728146746</v>
      </c>
    </row>
    <row r="129" spans="2:14" x14ac:dyDescent="0.5">
      <c r="B129" s="8" t="s">
        <v>129</v>
      </c>
      <c r="C129" s="29" t="s">
        <v>102</v>
      </c>
      <c r="D129" s="29" t="s">
        <v>103</v>
      </c>
      <c r="E129" s="51" t="s">
        <v>127</v>
      </c>
      <c r="F129" s="105">
        <f>Baseline!H43</f>
        <v>46.529227232190962</v>
      </c>
      <c r="G129" s="105">
        <f>OPEX!G150</f>
        <v>46.351477119669767</v>
      </c>
      <c r="H129" s="105">
        <f>OPEX!H150</f>
        <v>46.141047420236696</v>
      </c>
      <c r="I129" s="105">
        <f>OPEX!I150</f>
        <v>45.754866296106819</v>
      </c>
      <c r="J129" s="105">
        <f>OPEX!J150</f>
        <v>45.419197779979314</v>
      </c>
      <c r="K129" s="105">
        <f>OPEX!K150</f>
        <v>45.109168007063843</v>
      </c>
      <c r="L129" s="105">
        <f>OPEX!L150</f>
        <v>44.815590385237414</v>
      </c>
      <c r="M129" s="105">
        <f>OPEX!M150</f>
        <v>44.505959764156046</v>
      </c>
      <c r="N129" s="105">
        <f t="shared" si="1"/>
        <v>225.60478223254344</v>
      </c>
    </row>
    <row r="130" spans="2:14" x14ac:dyDescent="0.5">
      <c r="B130" s="8" t="s">
        <v>130</v>
      </c>
      <c r="C130" s="29" t="s">
        <v>102</v>
      </c>
      <c r="D130" s="29" t="s">
        <v>103</v>
      </c>
      <c r="E130" s="51" t="s">
        <v>127</v>
      </c>
      <c r="F130" s="105">
        <f>Baseline!H44</f>
        <v>15.365470678206</v>
      </c>
      <c r="G130" s="105">
        <f>OPEX!G151</f>
        <v>15.306771784962772</v>
      </c>
      <c r="H130" s="105">
        <f>OPEX!H151</f>
        <v>15.237281024664361</v>
      </c>
      <c r="I130" s="105">
        <f>OPEX!I151</f>
        <v>15.109751403128136</v>
      </c>
      <c r="J130" s="105">
        <f>OPEX!J151</f>
        <v>14.998902694714907</v>
      </c>
      <c r="K130" s="105">
        <f>OPEX!K151</f>
        <v>14.896520736782719</v>
      </c>
      <c r="L130" s="105">
        <f>OPEX!L151</f>
        <v>14.799571816538661</v>
      </c>
      <c r="M130" s="105">
        <f>OPEX!M151</f>
        <v>14.69732167158012</v>
      </c>
      <c r="N130" s="105">
        <f t="shared" si="1"/>
        <v>74.502068322744549</v>
      </c>
    </row>
    <row r="131" spans="2:14" x14ac:dyDescent="0.5">
      <c r="B131" s="8" t="s">
        <v>131</v>
      </c>
      <c r="C131" s="29" t="s">
        <v>102</v>
      </c>
      <c r="D131" s="29" t="s">
        <v>103</v>
      </c>
      <c r="E131" s="51" t="s">
        <v>127</v>
      </c>
      <c r="F131" s="105">
        <f>Baseline!H45</f>
        <v>19.939342353953492</v>
      </c>
      <c r="G131" s="105">
        <f>OPEX!G152</f>
        <v>19.863170438840278</v>
      </c>
      <c r="H131" s="105">
        <f>OPEX!H152</f>
        <v>19.772994219117191</v>
      </c>
      <c r="I131" s="105">
        <f>OPEX!I152</f>
        <v>19.607502589388751</v>
      </c>
      <c r="J131" s="105">
        <f>OPEX!J152</f>
        <v>19.463657314952744</v>
      </c>
      <c r="K131" s="105">
        <f>OPEX!K152</f>
        <v>19.330799106256705</v>
      </c>
      <c r="L131" s="105">
        <f>OPEX!L152</f>
        <v>19.204991198898924</v>
      </c>
      <c r="M131" s="105">
        <f>OPEX!M152</f>
        <v>19.07230404021907</v>
      </c>
      <c r="N131" s="105">
        <f t="shared" si="1"/>
        <v>96.679254249716195</v>
      </c>
    </row>
    <row r="132" spans="2:14" x14ac:dyDescent="0.5">
      <c r="B132" s="8" t="s">
        <v>132</v>
      </c>
      <c r="C132" s="29" t="s">
        <v>102</v>
      </c>
      <c r="D132" s="29" t="s">
        <v>103</v>
      </c>
      <c r="E132" s="51" t="s">
        <v>127</v>
      </c>
      <c r="F132" s="105">
        <f>Baseline!H46</f>
        <v>52.15</v>
      </c>
      <c r="G132" s="105">
        <f>OPEX!G153</f>
        <v>51.710713820198052</v>
      </c>
      <c r="H132" s="105">
        <f>OPEX!H153</f>
        <v>51.357046839769808</v>
      </c>
      <c r="I132" s="105">
        <f>OPEX!I153</f>
        <v>50.894234884624986</v>
      </c>
      <c r="J132" s="105">
        <f>OPEX!J153</f>
        <v>50.51236754211449</v>
      </c>
      <c r="K132" s="105">
        <f>OPEX!K153</f>
        <v>50.144552850104539</v>
      </c>
      <c r="L132" s="105">
        <f>OPEX!L153</f>
        <v>49.774515122064287</v>
      </c>
      <c r="M132" s="105">
        <f>OPEX!M153</f>
        <v>49.387274195961574</v>
      </c>
      <c r="N132" s="105">
        <f t="shared" si="1"/>
        <v>250.71294459486987</v>
      </c>
    </row>
    <row r="133" spans="2:14" x14ac:dyDescent="0.5">
      <c r="B133" s="8" t="s">
        <v>133</v>
      </c>
      <c r="C133" s="29" t="s">
        <v>102</v>
      </c>
      <c r="D133" s="29" t="s">
        <v>103</v>
      </c>
      <c r="E133" s="51" t="s">
        <v>127</v>
      </c>
      <c r="F133" s="105">
        <f>Baseline!H47</f>
        <v>40.697370387817642</v>
      </c>
      <c r="G133" s="105">
        <f>OPEX!G154</f>
        <v>40.541899029360465</v>
      </c>
      <c r="H133" s="105">
        <f>OPEX!H154</f>
        <v>40.357844061593887</v>
      </c>
      <c r="I133" s="105">
        <f>OPEX!I154</f>
        <v>40.020065912666794</v>
      </c>
      <c r="J133" s="105">
        <f>OPEX!J154</f>
        <v>39.726469247925301</v>
      </c>
      <c r="K133" s="105">
        <f>OPEX!K154</f>
        <v>39.455297830514304</v>
      </c>
      <c r="L133" s="105">
        <f>OPEX!L154</f>
        <v>39.198516492766693</v>
      </c>
      <c r="M133" s="105">
        <f>OPEX!M154</f>
        <v>38.927694198498273</v>
      </c>
      <c r="N133" s="105">
        <f t="shared" si="1"/>
        <v>197.32804368237134</v>
      </c>
    </row>
    <row r="134" spans="2:14" x14ac:dyDescent="0.5">
      <c r="B134" s="8" t="s">
        <v>134</v>
      </c>
      <c r="C134" s="29" t="s">
        <v>102</v>
      </c>
      <c r="D134" s="29" t="s">
        <v>103</v>
      </c>
      <c r="E134" s="51" t="s">
        <v>127</v>
      </c>
      <c r="F134" s="105">
        <f>Baseline!H48</f>
        <v>72.77</v>
      </c>
      <c r="G134" s="105">
        <f>OPEX!G155</f>
        <v>72.492005361842345</v>
      </c>
      <c r="H134" s="105">
        <f>OPEX!H155</f>
        <v>72.162901051742168</v>
      </c>
      <c r="I134" s="105">
        <f>OPEX!I155</f>
        <v>71.558927977727976</v>
      </c>
      <c r="J134" s="105">
        <f>OPEX!J155</f>
        <v>71.033954764725664</v>
      </c>
      <c r="K134" s="105">
        <f>OPEX!K155</f>
        <v>70.549079603088558</v>
      </c>
      <c r="L134" s="105">
        <f>OPEX!L155</f>
        <v>70.089935000628259</v>
      </c>
      <c r="M134" s="105">
        <f>OPEX!M155</f>
        <v>69.605684097778465</v>
      </c>
      <c r="N134" s="105">
        <f t="shared" si="1"/>
        <v>352.83758144394892</v>
      </c>
    </row>
    <row r="135" spans="2:14" x14ac:dyDescent="0.5">
      <c r="B135" s="8" t="s">
        <v>135</v>
      </c>
      <c r="C135" s="29" t="s">
        <v>102</v>
      </c>
      <c r="D135" s="29" t="s">
        <v>103</v>
      </c>
      <c r="E135" s="51" t="s">
        <v>127</v>
      </c>
      <c r="F135" s="105">
        <f>Baseline!H49</f>
        <v>9.1998842842854547</v>
      </c>
      <c r="G135" s="105">
        <f>OPEX!G156</f>
        <v>9.1647390526968575</v>
      </c>
      <c r="H135" s="105">
        <f>OPEX!H156</f>
        <v>9.1231323250566039</v>
      </c>
      <c r="I135" s="105">
        <f>OPEX!I156</f>
        <v>9.0467755517742798</v>
      </c>
      <c r="J135" s="105">
        <f>OPEX!J156</f>
        <v>8.9804062675641543</v>
      </c>
      <c r="K135" s="105">
        <f>OPEX!K156</f>
        <v>8.9191063448022252</v>
      </c>
      <c r="L135" s="105">
        <f>OPEX!L156</f>
        <v>8.8610593857203384</v>
      </c>
      <c r="M135" s="105">
        <f>OPEX!M156</f>
        <v>8.7998383843354446</v>
      </c>
      <c r="N135" s="105">
        <f t="shared" si="1"/>
        <v>44.607185934196444</v>
      </c>
    </row>
    <row r="136" spans="2:14" x14ac:dyDescent="0.5">
      <c r="B136" s="8" t="s">
        <v>136</v>
      </c>
      <c r="C136" s="29" t="s">
        <v>102</v>
      </c>
      <c r="D136" s="29" t="s">
        <v>103</v>
      </c>
      <c r="E136" s="51" t="s">
        <v>127</v>
      </c>
      <c r="F136" s="105">
        <f>Baseline!H50</f>
        <v>36.398086173898001</v>
      </c>
      <c r="G136" s="105">
        <f>OPEX!G157</f>
        <v>36.259038863254283</v>
      </c>
      <c r="H136" s="105">
        <f>OPEX!H157</f>
        <v>36.094427525625761</v>
      </c>
      <c r="I136" s="105">
        <f>OPEX!I157</f>
        <v>35.792332376598921</v>
      </c>
      <c r="J136" s="105">
        <f>OPEX!J157</f>
        <v>35.529751364563104</v>
      </c>
      <c r="K136" s="105">
        <f>OPEX!K157</f>
        <v>35.287226589012043</v>
      </c>
      <c r="L136" s="105">
        <f>OPEX!L157</f>
        <v>35.057571720156332</v>
      </c>
      <c r="M136" s="105">
        <f>OPEX!M157</f>
        <v>34.815359186258931</v>
      </c>
      <c r="N136" s="105">
        <f t="shared" si="1"/>
        <v>176.48224123658935</v>
      </c>
    </row>
    <row r="137" spans="2:14" x14ac:dyDescent="0.5">
      <c r="B137" s="8" t="s">
        <v>137</v>
      </c>
      <c r="C137" s="29" t="s">
        <v>102</v>
      </c>
      <c r="D137" s="29" t="s">
        <v>103</v>
      </c>
      <c r="E137" s="51" t="s">
        <v>127</v>
      </c>
      <c r="F137" s="105">
        <f>Baseline!H51</f>
        <v>6.5094499466848186</v>
      </c>
      <c r="G137" s="105">
        <f>OPEX!G158</f>
        <v>6.4845826637037289</v>
      </c>
      <c r="H137" s="105">
        <f>OPEX!H158</f>
        <v>6.4551434987479048</v>
      </c>
      <c r="I137" s="105">
        <f>OPEX!I158</f>
        <v>6.4011166677125777</v>
      </c>
      <c r="J137" s="105">
        <f>OPEX!J158</f>
        <v>6.3541565625402692</v>
      </c>
      <c r="K137" s="105">
        <f>OPEX!K158</f>
        <v>6.3107833236359481</v>
      </c>
      <c r="L137" s="105">
        <f>OPEX!L158</f>
        <v>6.2697117445785659</v>
      </c>
      <c r="M137" s="105">
        <f>OPEX!M158</f>
        <v>6.226394347110686</v>
      </c>
      <c r="N137" s="105">
        <f t="shared" si="1"/>
        <v>31.562162645578049</v>
      </c>
    </row>
    <row r="138" spans="2:14" x14ac:dyDescent="0.5">
      <c r="B138" s="8" t="s">
        <v>138</v>
      </c>
      <c r="C138" s="29" t="s">
        <v>102</v>
      </c>
      <c r="D138" s="29" t="s">
        <v>103</v>
      </c>
      <c r="E138" s="51" t="s">
        <v>127</v>
      </c>
      <c r="F138" s="105">
        <f>Baseline!H52</f>
        <v>19.313214992805968</v>
      </c>
      <c r="G138" s="105">
        <f>OPEX!G159</f>
        <v>19.239434998116046</v>
      </c>
      <c r="H138" s="105">
        <f>OPEX!H159</f>
        <v>19.152090456463942</v>
      </c>
      <c r="I138" s="105">
        <f>OPEX!I159</f>
        <v>18.991795529594324</v>
      </c>
      <c r="J138" s="105">
        <f>OPEX!J159</f>
        <v>18.852467227709234</v>
      </c>
      <c r="K138" s="105">
        <f>OPEX!K159</f>
        <v>18.723780980060901</v>
      </c>
      <c r="L138" s="105">
        <f>OPEX!L159</f>
        <v>18.601923642970039</v>
      </c>
      <c r="M138" s="105">
        <f>OPEX!M159</f>
        <v>18.473403074092779</v>
      </c>
      <c r="N138" s="105">
        <f t="shared" si="1"/>
        <v>93.64337045442727</v>
      </c>
    </row>
    <row r="139" spans="2:14" x14ac:dyDescent="0.5">
      <c r="B139" s="8" t="s">
        <v>139</v>
      </c>
      <c r="C139" s="29" t="s">
        <v>102</v>
      </c>
      <c r="D139" s="29" t="s">
        <v>103</v>
      </c>
      <c r="E139" s="51" t="s">
        <v>127</v>
      </c>
      <c r="F139" s="105">
        <f>Baseline!H53</f>
        <v>26.563728097632794</v>
      </c>
      <c r="G139" s="105">
        <f>OPEX!G160</f>
        <v>26.593265848978195</v>
      </c>
      <c r="H139" s="105">
        <f>OPEX!H160</f>
        <v>26.538054065177167</v>
      </c>
      <c r="I139" s="105">
        <f>OPEX!I160</f>
        <v>26.334198278744154</v>
      </c>
      <c r="J139" s="105">
        <f>OPEX!J160</f>
        <v>26.145714023198334</v>
      </c>
      <c r="K139" s="105">
        <f>OPEX!K160</f>
        <v>25.980010343182485</v>
      </c>
      <c r="L139" s="105">
        <f>OPEX!L160</f>
        <v>25.835180512537683</v>
      </c>
      <c r="M139" s="105">
        <f>OPEX!M160</f>
        <v>25.680792689423274</v>
      </c>
      <c r="N139" s="105">
        <f t="shared" si="1"/>
        <v>129.97589584708592</v>
      </c>
    </row>
    <row r="140" spans="2:14" x14ac:dyDescent="0.5">
      <c r="B140" s="8" t="s">
        <v>140</v>
      </c>
      <c r="C140" s="29" t="s">
        <v>102</v>
      </c>
      <c r="D140" s="29" t="s">
        <v>103</v>
      </c>
      <c r="E140" s="51" t="s">
        <v>127</v>
      </c>
      <c r="F140" s="105">
        <f>Baseline!H54</f>
        <v>31.831154364883361</v>
      </c>
      <c r="G140" s="105">
        <f>OPEX!G161</f>
        <v>31.709553564556231</v>
      </c>
      <c r="H140" s="105">
        <f>OPEX!H161</f>
        <v>31.565596300615773</v>
      </c>
      <c r="I140" s="105">
        <f>OPEX!I161</f>
        <v>31.301405560596823</v>
      </c>
      <c r="J140" s="105">
        <f>OPEX!J161</f>
        <v>31.071771049390204</v>
      </c>
      <c r="K140" s="105">
        <f>OPEX!K161</f>
        <v>30.859676283445875</v>
      </c>
      <c r="L140" s="105">
        <f>OPEX!L161</f>
        <v>30.658836614396588</v>
      </c>
      <c r="M140" s="105">
        <f>OPEX!M161</f>
        <v>30.447014912597144</v>
      </c>
      <c r="N140" s="105">
        <f t="shared" si="1"/>
        <v>154.33870442042664</v>
      </c>
    </row>
    <row r="141" spans="2:14" x14ac:dyDescent="0.5">
      <c r="B141" s="8" t="s">
        <v>141</v>
      </c>
      <c r="C141" s="29" t="s">
        <v>102</v>
      </c>
      <c r="D141" s="29" t="s">
        <v>103</v>
      </c>
      <c r="E141" s="51" t="s">
        <v>127</v>
      </c>
      <c r="F141" s="105">
        <f>Baseline!H55</f>
        <v>11.440617504831115</v>
      </c>
      <c r="G141" s="105">
        <f>OPEX!G162</f>
        <v>11.344247319629341</v>
      </c>
      <c r="H141" s="105">
        <f>OPEX!H162</f>
        <v>11.266660193125636</v>
      </c>
      <c r="I141" s="105">
        <f>OPEX!I162</f>
        <v>11.165128945657276</v>
      </c>
      <c r="J141" s="105">
        <f>OPEX!J162</f>
        <v>11.081355250484718</v>
      </c>
      <c r="K141" s="105">
        <f>OPEX!K162</f>
        <v>11.000664412441704</v>
      </c>
      <c r="L141" s="105">
        <f>OPEX!L162</f>
        <v>10.919485886864232</v>
      </c>
      <c r="M141" s="105">
        <f>OPEX!M162</f>
        <v>10.834533340023238</v>
      </c>
      <c r="N141" s="105">
        <f t="shared" si="1"/>
        <v>55.001167835471165</v>
      </c>
    </row>
    <row r="142" spans="2:14" x14ac:dyDescent="0.5">
      <c r="B142" s="8" t="s">
        <v>142</v>
      </c>
      <c r="C142" s="29" t="s">
        <v>102</v>
      </c>
      <c r="D142" s="29" t="s">
        <v>103</v>
      </c>
      <c r="E142" s="51" t="s">
        <v>127</v>
      </c>
      <c r="F142" s="105">
        <f>Baseline!H56</f>
        <v>76.80292391608404</v>
      </c>
      <c r="G142" s="105">
        <f>OPEX!G163</f>
        <v>76.155973522129756</v>
      </c>
      <c r="H142" s="105">
        <f>OPEX!H163</f>
        <v>75.635117181008724</v>
      </c>
      <c r="I142" s="105">
        <f>OPEX!I163</f>
        <v>74.953519647385676</v>
      </c>
      <c r="J142" s="105">
        <f>OPEX!J163</f>
        <v>74.391131757589491</v>
      </c>
      <c r="K142" s="105">
        <f>OPEX!K163</f>
        <v>73.849439642428266</v>
      </c>
      <c r="L142" s="105">
        <f>OPEX!L163</f>
        <v>73.3044735930945</v>
      </c>
      <c r="M142" s="105">
        <f>OPEX!M163</f>
        <v>72.734171859927471</v>
      </c>
      <c r="N142" s="105">
        <f t="shared" si="1"/>
        <v>369.2327365004254</v>
      </c>
    </row>
    <row r="143" spans="2:14" ht="17" thickBot="1" x14ac:dyDescent="0.55000000000000004">
      <c r="B143" s="48" t="s">
        <v>191</v>
      </c>
      <c r="C143" s="37" t="s">
        <v>102</v>
      </c>
      <c r="D143" s="37" t="s">
        <v>103</v>
      </c>
      <c r="E143" s="52" t="s">
        <v>127</v>
      </c>
      <c r="F143" s="121"/>
      <c r="G143" s="154">
        <f>OPEX!G164</f>
        <v>0</v>
      </c>
      <c r="H143" s="154">
        <f>OPEX!H164</f>
        <v>0</v>
      </c>
      <c r="I143" s="154">
        <f>OPEX!I164</f>
        <v>7.5450657348082402</v>
      </c>
      <c r="J143" s="154">
        <f>OPEX!J164</f>
        <v>8.118300254097667</v>
      </c>
      <c r="K143" s="154">
        <f>OPEX!K164</f>
        <v>8.118300254097667</v>
      </c>
      <c r="L143" s="154">
        <f>OPEX!L164</f>
        <v>3.1596573447640015</v>
      </c>
      <c r="M143" s="154">
        <f>OPEX!M164</f>
        <v>3.1596573447640015</v>
      </c>
      <c r="N143" s="106">
        <f t="shared" si="1"/>
        <v>30.100980932531577</v>
      </c>
    </row>
    <row r="144" spans="2:14" x14ac:dyDescent="0.5">
      <c r="B144" s="35" t="s">
        <v>192</v>
      </c>
      <c r="C144" s="29" t="s">
        <v>102</v>
      </c>
      <c r="D144" s="29" t="s">
        <v>103</v>
      </c>
      <c r="E144" s="51"/>
      <c r="F144" s="105">
        <f>SUM(F108:F143)</f>
        <v>1519.6983554334063</v>
      </c>
      <c r="G144" s="105">
        <f t="shared" ref="G144:M144" si="2">SUM(G108:G143)</f>
        <v>1402.3626139700214</v>
      </c>
      <c r="H144" s="105">
        <f t="shared" si="2"/>
        <v>1398.7773285530677</v>
      </c>
      <c r="I144" s="105">
        <f t="shared" si="2"/>
        <v>1556.1321828701375</v>
      </c>
      <c r="J144" s="105">
        <f t="shared" si="2"/>
        <v>1590.310914906667</v>
      </c>
      <c r="K144" s="105">
        <f t="shared" si="2"/>
        <v>1582.457057367074</v>
      </c>
      <c r="L144" s="105">
        <f t="shared" si="2"/>
        <v>1570.2434356544225</v>
      </c>
      <c r="M144" s="105">
        <f t="shared" si="2"/>
        <v>1562.5648476969436</v>
      </c>
      <c r="N144" s="105">
        <f t="shared" si="1"/>
        <v>7861.7084384952441</v>
      </c>
    </row>
    <row r="145" spans="1:14" x14ac:dyDescent="0.5">
      <c r="F145" s="119"/>
    </row>
    <row r="146" spans="1:14" ht="19" thickBot="1" x14ac:dyDescent="0.55000000000000004">
      <c r="A146" s="14" t="s">
        <v>193</v>
      </c>
    </row>
    <row r="147" spans="1:14" ht="17" thickTop="1" x14ac:dyDescent="0.5"/>
    <row r="148" spans="1:14" ht="17" thickBot="1" x14ac:dyDescent="0.55000000000000004">
      <c r="B148" s="27" t="s">
        <v>143</v>
      </c>
      <c r="C148" s="27" t="s">
        <v>96</v>
      </c>
      <c r="D148" s="27" t="s">
        <v>97</v>
      </c>
      <c r="E148" s="50" t="s">
        <v>144</v>
      </c>
      <c r="F148" s="11">
        <v>2024</v>
      </c>
      <c r="G148" s="11">
        <v>2025</v>
      </c>
      <c r="H148" s="11">
        <f>G148+1</f>
        <v>2026</v>
      </c>
      <c r="I148" s="11">
        <f t="shared" ref="I148" si="3">H148+1</f>
        <v>2027</v>
      </c>
      <c r="J148" s="11">
        <f t="shared" ref="J148" si="4">I148+1</f>
        <v>2028</v>
      </c>
      <c r="K148" s="11">
        <f t="shared" ref="K148" si="5">J148+1</f>
        <v>2029</v>
      </c>
      <c r="L148" s="11">
        <f t="shared" ref="L148" si="6">K148+1</f>
        <v>2030</v>
      </c>
      <c r="M148" s="11">
        <f>L148+1</f>
        <v>2031</v>
      </c>
      <c r="N148" s="27" t="s">
        <v>190</v>
      </c>
    </row>
    <row r="149" spans="1:14" x14ac:dyDescent="0.5">
      <c r="B149" s="8" t="s">
        <v>146</v>
      </c>
      <c r="C149" s="29" t="s">
        <v>102</v>
      </c>
      <c r="D149" s="29" t="s">
        <v>103</v>
      </c>
      <c r="E149" s="51" t="s">
        <v>147</v>
      </c>
      <c r="F149" s="105">
        <f>Comrev!F175</f>
        <v>97.046192679115435</v>
      </c>
      <c r="G149" s="105">
        <f>Comrev!G175</f>
        <v>97.664342595214237</v>
      </c>
      <c r="H149" s="105">
        <f>Comrev!H175</f>
        <v>98.911551111838861</v>
      </c>
      <c r="I149" s="105">
        <f>Comrev!I175</f>
        <v>99.30653616292399</v>
      </c>
      <c r="J149" s="105">
        <f>Comrev!J175</f>
        <v>100.30836650483374</v>
      </c>
      <c r="K149" s="105">
        <f>Comrev!K175</f>
        <v>101.41006608012985</v>
      </c>
      <c r="L149" s="105">
        <f>Comrev!L175</f>
        <v>102.48381624986382</v>
      </c>
      <c r="M149" s="105">
        <f>Comrev!M175</f>
        <v>103.40310497016914</v>
      </c>
      <c r="N149" s="105">
        <f t="shared" ref="N149:N199" si="7">SUM(I149:M149)</f>
        <v>506.91188996792056</v>
      </c>
    </row>
    <row r="150" spans="1:14" x14ac:dyDescent="0.5">
      <c r="B150" s="8" t="s">
        <v>148</v>
      </c>
      <c r="C150" s="29" t="s">
        <v>102</v>
      </c>
      <c r="D150" s="29" t="s">
        <v>103</v>
      </c>
      <c r="E150" s="51" t="s">
        <v>147</v>
      </c>
      <c r="F150" s="105">
        <f>Comrev!F176</f>
        <v>4.0457150051446771</v>
      </c>
      <c r="G150" s="105">
        <f>Comrev!G176</f>
        <v>4.0714847785067185</v>
      </c>
      <c r="H150" s="105">
        <f>Comrev!H176</f>
        <v>4.1234790924612765</v>
      </c>
      <c r="I150" s="105">
        <f>Comrev!I176</f>
        <v>4.1399454463064682</v>
      </c>
      <c r="J150" s="105">
        <f>Comrev!J176</f>
        <v>4.1817103000836298</v>
      </c>
      <c r="K150" s="105">
        <f>Comrev!K176</f>
        <v>4.2276385573381381</v>
      </c>
      <c r="L150" s="105">
        <f>Comrev!L176</f>
        <v>4.2724016444159911</v>
      </c>
      <c r="M150" s="105">
        <f>Comrev!M176</f>
        <v>4.3107254577169103</v>
      </c>
      <c r="N150" s="105">
        <f t="shared" si="7"/>
        <v>21.132421405861134</v>
      </c>
    </row>
    <row r="151" spans="1:14" x14ac:dyDescent="0.5">
      <c r="B151" s="8" t="s">
        <v>149</v>
      </c>
      <c r="C151" s="29" t="s">
        <v>102</v>
      </c>
      <c r="D151" s="29" t="s">
        <v>103</v>
      </c>
      <c r="E151" s="51" t="s">
        <v>147</v>
      </c>
      <c r="F151" s="105">
        <f>Comrev!F177</f>
        <v>31.773368892252169</v>
      </c>
      <c r="G151" s="105">
        <f>Comrev!G177</f>
        <v>31.975754011881374</v>
      </c>
      <c r="H151" s="105">
        <f>Comrev!H177</f>
        <v>32.384095804488361</v>
      </c>
      <c r="I151" s="105">
        <f>Comrev!I177</f>
        <v>32.513415723061051</v>
      </c>
      <c r="J151" s="105">
        <f>Comrev!J177</f>
        <v>32.841419575063789</v>
      </c>
      <c r="K151" s="105">
        <f>Comrev!K177</f>
        <v>33.202121072443127</v>
      </c>
      <c r="L151" s="105">
        <f>Comrev!L177</f>
        <v>33.55367180616313</v>
      </c>
      <c r="M151" s="105">
        <f>Comrev!M177</f>
        <v>33.854651152414526</v>
      </c>
      <c r="N151" s="105">
        <f t="shared" si="7"/>
        <v>165.96527932914563</v>
      </c>
    </row>
    <row r="152" spans="1:14" x14ac:dyDescent="0.5">
      <c r="B152" s="8" t="s">
        <v>150</v>
      </c>
      <c r="C152" s="29" t="s">
        <v>102</v>
      </c>
      <c r="D152" s="29" t="s">
        <v>103</v>
      </c>
      <c r="E152" s="51" t="s">
        <v>147</v>
      </c>
      <c r="F152" s="105">
        <f>Comrev!F178</f>
        <v>21.492998587765491</v>
      </c>
      <c r="G152" s="105">
        <f>Comrev!G178</f>
        <v>21.629901385360743</v>
      </c>
      <c r="H152" s="105">
        <f>Comrev!H178</f>
        <v>21.906122946932946</v>
      </c>
      <c r="I152" s="105">
        <f>Comrev!I178</f>
        <v>21.993601011870865</v>
      </c>
      <c r="J152" s="105">
        <f>Comrev!J178</f>
        <v>22.215478218275489</v>
      </c>
      <c r="K152" s="105">
        <f>Comrev!K178</f>
        <v>22.459473647279857</v>
      </c>
      <c r="L152" s="105">
        <f>Comrev!L178</f>
        <v>22.697279070085195</v>
      </c>
      <c r="M152" s="105">
        <f>Comrev!M178</f>
        <v>22.900875631906036</v>
      </c>
      <c r="N152" s="105">
        <f t="shared" si="7"/>
        <v>112.26670757941743</v>
      </c>
    </row>
    <row r="153" spans="1:14" x14ac:dyDescent="0.5">
      <c r="B153" s="8" t="s">
        <v>151</v>
      </c>
      <c r="C153" s="29" t="s">
        <v>102</v>
      </c>
      <c r="D153" s="29" t="s">
        <v>103</v>
      </c>
      <c r="E153" s="51" t="s">
        <v>147</v>
      </c>
      <c r="F153" s="105">
        <f>Comrev!F179</f>
        <v>13.805119977119022</v>
      </c>
      <c r="G153" s="105">
        <f>Comrev!G179</f>
        <v>13.893053707644716</v>
      </c>
      <c r="H153" s="105">
        <f>Comrev!H179</f>
        <v>14.070472962673286</v>
      </c>
      <c r="I153" s="105">
        <f>Comrev!I179</f>
        <v>14.126660803420718</v>
      </c>
      <c r="J153" s="105">
        <f>Comrev!J179</f>
        <v>14.269174256910981</v>
      </c>
      <c r="K153" s="105">
        <f>Comrev!K179</f>
        <v>14.425894416618771</v>
      </c>
      <c r="L153" s="105">
        <f>Comrev!L179</f>
        <v>14.578638687253299</v>
      </c>
      <c r="M153" s="105">
        <f>Comrev!M179</f>
        <v>14.709410340700742</v>
      </c>
      <c r="N153" s="105">
        <f t="shared" si="7"/>
        <v>72.109778504904511</v>
      </c>
    </row>
    <row r="154" spans="1:14" x14ac:dyDescent="0.5">
      <c r="B154" s="8" t="s">
        <v>152</v>
      </c>
      <c r="C154" s="29" t="s">
        <v>102</v>
      </c>
      <c r="D154" s="29" t="s">
        <v>103</v>
      </c>
      <c r="E154" s="51" t="s">
        <v>147</v>
      </c>
      <c r="F154" s="105">
        <f>Comrev!F180</f>
        <v>28.297472712854272</v>
      </c>
      <c r="G154" s="105">
        <f>Comrev!G180</f>
        <v>28.477717603461127</v>
      </c>
      <c r="H154" s="105">
        <f>Comrev!H180</f>
        <v>28.841388222494281</v>
      </c>
      <c r="I154" s="105">
        <f>Comrev!I180</f>
        <v>28.956560991219213</v>
      </c>
      <c r="J154" s="105">
        <f>Comrev!J180</f>
        <v>29.248682361264486</v>
      </c>
      <c r="K154" s="105">
        <f>Comrev!K180</f>
        <v>29.569924367870417</v>
      </c>
      <c r="L154" s="105">
        <f>Comrev!L180</f>
        <v>29.883016672572534</v>
      </c>
      <c r="M154" s="105">
        <f>Comrev!M180</f>
        <v>30.151069923915312</v>
      </c>
      <c r="N154" s="105">
        <f t="shared" si="7"/>
        <v>147.80925431684196</v>
      </c>
    </row>
    <row r="155" spans="1:14" x14ac:dyDescent="0.5">
      <c r="B155" s="8" t="s">
        <v>153</v>
      </c>
      <c r="C155" s="29" t="s">
        <v>102</v>
      </c>
      <c r="D155" s="29" t="s">
        <v>103</v>
      </c>
      <c r="E155" s="51" t="s">
        <v>147</v>
      </c>
      <c r="F155" s="105">
        <f>Comrev!F181</f>
        <v>6.2041357650564439</v>
      </c>
      <c r="G155" s="105">
        <f>Comrev!G181</f>
        <v>6.2436539150916133</v>
      </c>
      <c r="H155" s="105">
        <f>Comrev!H181</f>
        <v>6.3233876042849557</v>
      </c>
      <c r="I155" s="105">
        <f>Comrev!I181</f>
        <v>6.3486388873538617</v>
      </c>
      <c r="J155" s="105">
        <f>Comrev!J181</f>
        <v>6.4126856189480899</v>
      </c>
      <c r="K155" s="105">
        <f>Comrev!K181</f>
        <v>6.4831169625046829</v>
      </c>
      <c r="L155" s="105">
        <f>Comrev!L181</f>
        <v>6.5517615084355985</v>
      </c>
      <c r="M155" s="105">
        <f>Comrev!M181</f>
        <v>6.6105313774083827</v>
      </c>
      <c r="N155" s="105">
        <f t="shared" si="7"/>
        <v>32.406734354650617</v>
      </c>
    </row>
    <row r="156" spans="1:14" x14ac:dyDescent="0.5">
      <c r="B156" s="8" t="s">
        <v>154</v>
      </c>
      <c r="C156" s="29" t="s">
        <v>102</v>
      </c>
      <c r="D156" s="29" t="s">
        <v>103</v>
      </c>
      <c r="E156" s="51" t="s">
        <v>147</v>
      </c>
      <c r="F156" s="105">
        <f>Comrev!F182</f>
        <v>31.882183617403307</v>
      </c>
      <c r="G156" s="105">
        <f>Comrev!G182</f>
        <v>32.085261848337197</v>
      </c>
      <c r="H156" s="105">
        <f>Comrev!H182</f>
        <v>32.495002095104986</v>
      </c>
      <c r="I156" s="105">
        <f>Comrev!I182</f>
        <v>32.624764897510481</v>
      </c>
      <c r="J156" s="105">
        <f>Comrev!J182</f>
        <v>32.953892069143727</v>
      </c>
      <c r="K156" s="105">
        <f>Comrev!K182</f>
        <v>33.315828866262045</v>
      </c>
      <c r="L156" s="105">
        <f>Comrev!L182</f>
        <v>33.668583560965729</v>
      </c>
      <c r="M156" s="105">
        <f>Comrev!M182</f>
        <v>33.970593675624137</v>
      </c>
      <c r="N156" s="105">
        <f t="shared" si="7"/>
        <v>166.5336630695061</v>
      </c>
    </row>
    <row r="157" spans="1:14" x14ac:dyDescent="0.5">
      <c r="B157" s="8" t="s">
        <v>155</v>
      </c>
      <c r="C157" s="29" t="s">
        <v>102</v>
      </c>
      <c r="D157" s="29" t="s">
        <v>103</v>
      </c>
      <c r="E157" s="51" t="s">
        <v>147</v>
      </c>
      <c r="F157" s="105">
        <f>Comrev!F183</f>
        <v>17.310878015719418</v>
      </c>
      <c r="G157" s="105">
        <f>Comrev!G183</f>
        <v>17.421142184746589</v>
      </c>
      <c r="H157" s="105">
        <f>Comrev!H183</f>
        <v>17.643616388993259</v>
      </c>
      <c r="I157" s="105">
        <f>Comrev!I183</f>
        <v>17.714072919523787</v>
      </c>
      <c r="J157" s="105">
        <f>Comrev!J183</f>
        <v>17.892777125865912</v>
      </c>
      <c r="K157" s="105">
        <f>Comrev!K183</f>
        <v>18.089295777772026</v>
      </c>
      <c r="L157" s="105">
        <f>Comrev!L183</f>
        <v>18.280828878602502</v>
      </c>
      <c r="M157" s="105">
        <f>Comrev!M183</f>
        <v>18.444809499161735</v>
      </c>
      <c r="N157" s="105">
        <f t="shared" si="7"/>
        <v>90.42178420092597</v>
      </c>
    </row>
    <row r="158" spans="1:14" x14ac:dyDescent="0.5">
      <c r="B158" s="8" t="s">
        <v>156</v>
      </c>
      <c r="C158" s="29" t="s">
        <v>102</v>
      </c>
      <c r="D158" s="29" t="s">
        <v>103</v>
      </c>
      <c r="E158" s="51" t="s">
        <v>147</v>
      </c>
      <c r="F158" s="105">
        <f>Comrev!F184</f>
        <v>62.149696279688989</v>
      </c>
      <c r="G158" s="105">
        <f>Comrev!G184</f>
        <v>62.5455678587821</v>
      </c>
      <c r="H158" s="105">
        <f>Comrev!H184</f>
        <v>63.344297086233212</v>
      </c>
      <c r="I158" s="105">
        <f>Comrev!I184</f>
        <v>63.597250863009677</v>
      </c>
      <c r="J158" s="105">
        <f>Comrev!J184</f>
        <v>64.238836583732834</v>
      </c>
      <c r="K158" s="105">
        <f>Comrev!K184</f>
        <v>64.944379914242603</v>
      </c>
      <c r="L158" s="105">
        <f>Comrev!L184</f>
        <v>65.632024066856459</v>
      </c>
      <c r="M158" s="105">
        <f>Comrev!M184</f>
        <v>66.220749015080159</v>
      </c>
      <c r="N158" s="105">
        <f t="shared" si="7"/>
        <v>324.63324044292176</v>
      </c>
    </row>
    <row r="159" spans="1:14" x14ac:dyDescent="0.5">
      <c r="B159" s="8" t="s">
        <v>157</v>
      </c>
      <c r="C159" s="29" t="s">
        <v>102</v>
      </c>
      <c r="D159" s="29" t="s">
        <v>103</v>
      </c>
      <c r="E159" s="51" t="s">
        <v>147</v>
      </c>
      <c r="F159" s="105">
        <f>Comrev!F185</f>
        <v>70.7010370305142</v>
      </c>
      <c r="G159" s="105">
        <f>Comrev!G185</f>
        <v>71.151377625049605</v>
      </c>
      <c r="H159" s="105">
        <f>Comrev!H185</f>
        <v>72.060006115094708</v>
      </c>
      <c r="I159" s="105">
        <f>Comrev!I185</f>
        <v>72.347764469671347</v>
      </c>
      <c r="J159" s="105">
        <f>Comrev!J185</f>
        <v>73.077627663128666</v>
      </c>
      <c r="K159" s="105">
        <f>Comrev!K185</f>
        <v>73.880248562714712</v>
      </c>
      <c r="L159" s="105">
        <f>Comrev!L185</f>
        <v>74.662507489274532</v>
      </c>
      <c r="M159" s="105">
        <f>Comrev!M185</f>
        <v>75.332236657021951</v>
      </c>
      <c r="N159" s="105">
        <f t="shared" si="7"/>
        <v>369.30038484181119</v>
      </c>
    </row>
    <row r="160" spans="1:14" x14ac:dyDescent="0.5">
      <c r="B160" s="8" t="s">
        <v>158</v>
      </c>
      <c r="C160" s="29" t="s">
        <v>102</v>
      </c>
      <c r="D160" s="29" t="s">
        <v>103</v>
      </c>
      <c r="E160" s="51" t="s">
        <v>147</v>
      </c>
      <c r="F160" s="105">
        <f>Comrev!F186</f>
        <v>22.976572000000001</v>
      </c>
      <c r="G160" s="105">
        <f>Comrev!G186</f>
        <v>20.810632171859201</v>
      </c>
      <c r="H160" s="105">
        <f>Comrev!H186</f>
        <v>18.968752235820162</v>
      </c>
      <c r="I160" s="105">
        <f>Comrev!I186</f>
        <v>17.140050406932705</v>
      </c>
      <c r="J160" s="105">
        <f>Comrev!J186</f>
        <v>15.581667351465265</v>
      </c>
      <c r="K160" s="105">
        <f>Comrev!K186</f>
        <v>14.177522511116704</v>
      </c>
      <c r="L160" s="105">
        <f>Comrev!L186</f>
        <v>12.894873273069056</v>
      </c>
      <c r="M160" s="105">
        <f>Comrev!M186</f>
        <v>11.709487264244649</v>
      </c>
      <c r="N160" s="105">
        <f t="shared" si="7"/>
        <v>71.503600806828373</v>
      </c>
    </row>
    <row r="161" spans="2:14" x14ac:dyDescent="0.5">
      <c r="B161" s="8" t="s">
        <v>159</v>
      </c>
      <c r="C161" s="29" t="s">
        <v>102</v>
      </c>
      <c r="D161" s="29" t="s">
        <v>103</v>
      </c>
      <c r="E161" s="51" t="s">
        <v>147</v>
      </c>
      <c r="F161" s="105">
        <f>Comrev!F187</f>
        <v>3.7439850000000003</v>
      </c>
      <c r="G161" s="105">
        <f>Comrev!G187</f>
        <v>3.7678328599699178</v>
      </c>
      <c r="H161" s="105">
        <f>Comrev!H187</f>
        <v>3.8159494305349755</v>
      </c>
      <c r="I161" s="105">
        <f>Comrev!I187</f>
        <v>3.8311877213495027</v>
      </c>
      <c r="J161" s="105">
        <f>Comrev!J187</f>
        <v>3.8698377463438596</v>
      </c>
      <c r="K161" s="105">
        <f>Comrev!K187</f>
        <v>3.912340667587288</v>
      </c>
      <c r="L161" s="105">
        <f>Comrev!L187</f>
        <v>3.9537653172128944</v>
      </c>
      <c r="M161" s="105">
        <f>Comrev!M187</f>
        <v>3.9892309350230919</v>
      </c>
      <c r="N161" s="105">
        <f t="shared" si="7"/>
        <v>19.556362387516636</v>
      </c>
    </row>
    <row r="162" spans="2:14" x14ac:dyDescent="0.5">
      <c r="B162" s="8" t="s">
        <v>160</v>
      </c>
      <c r="C162" s="29" t="s">
        <v>102</v>
      </c>
      <c r="D162" s="29" t="s">
        <v>103</v>
      </c>
      <c r="E162" s="51" t="s">
        <v>147</v>
      </c>
      <c r="F162" s="105">
        <f>Comrev!F188</f>
        <v>51.545229593399867</v>
      </c>
      <c r="G162" s="105">
        <f>Comrev!G188</f>
        <v>51.873554471159963</v>
      </c>
      <c r="H162" s="105">
        <f>Comrev!H188</f>
        <v>52.535998278232618</v>
      </c>
      <c r="I162" s="105">
        <f>Comrev!I188</f>
        <v>52.745791105566539</v>
      </c>
      <c r="J162" s="105">
        <f>Comrev!J188</f>
        <v>53.277904458618103</v>
      </c>
      <c r="K162" s="105">
        <f>Comrev!K188</f>
        <v>53.863062474444213</v>
      </c>
      <c r="L162" s="105">
        <f>Comrev!L188</f>
        <v>54.433375409933547</v>
      </c>
      <c r="M162" s="105">
        <f>Comrev!M188</f>
        <v>54.921647508432443</v>
      </c>
      <c r="N162" s="105">
        <f t="shared" si="7"/>
        <v>269.24178095699483</v>
      </c>
    </row>
    <row r="163" spans="2:14" x14ac:dyDescent="0.5">
      <c r="B163" s="53" t="s">
        <v>161</v>
      </c>
      <c r="C163" s="29" t="s">
        <v>102</v>
      </c>
      <c r="D163" s="29" t="s">
        <v>103</v>
      </c>
      <c r="E163" s="51" t="s">
        <v>147</v>
      </c>
      <c r="F163" s="105">
        <f>Comrev!F189</f>
        <v>0</v>
      </c>
      <c r="G163" s="105">
        <f>Comrev!G189</f>
        <v>0</v>
      </c>
      <c r="H163" s="105">
        <f>Comrev!H189</f>
        <v>0</v>
      </c>
      <c r="I163" s="105">
        <f>Comrev!I189</f>
        <v>0</v>
      </c>
      <c r="J163" s="105">
        <f>Comrev!J189</f>
        <v>0</v>
      </c>
      <c r="K163" s="105">
        <f>Comrev!K189</f>
        <v>0</v>
      </c>
      <c r="L163" s="105">
        <f>Comrev!L189</f>
        <v>0</v>
      </c>
      <c r="M163" s="105">
        <f>Comrev!M189</f>
        <v>0</v>
      </c>
      <c r="N163" s="105">
        <f t="shared" si="7"/>
        <v>0</v>
      </c>
    </row>
    <row r="164" spans="2:14" x14ac:dyDescent="0.5">
      <c r="B164" s="53" t="s">
        <v>161</v>
      </c>
      <c r="C164" s="29" t="s">
        <v>102</v>
      </c>
      <c r="D164" s="29" t="s">
        <v>103</v>
      </c>
      <c r="E164" s="51" t="s">
        <v>147</v>
      </c>
      <c r="F164" s="105">
        <f>Comrev!F190</f>
        <v>0</v>
      </c>
      <c r="G164" s="105">
        <f>Comrev!G190</f>
        <v>0</v>
      </c>
      <c r="H164" s="105">
        <f>Comrev!H190</f>
        <v>0</v>
      </c>
      <c r="I164" s="105">
        <f>Comrev!I190</f>
        <v>0</v>
      </c>
      <c r="J164" s="105">
        <f>Comrev!J190</f>
        <v>0</v>
      </c>
      <c r="K164" s="105">
        <f>Comrev!K190</f>
        <v>0</v>
      </c>
      <c r="L164" s="105">
        <f>Comrev!L190</f>
        <v>0</v>
      </c>
      <c r="M164" s="105">
        <f>Comrev!M190</f>
        <v>0</v>
      </c>
      <c r="N164" s="105">
        <f t="shared" si="7"/>
        <v>0</v>
      </c>
    </row>
    <row r="165" spans="2:14" x14ac:dyDescent="0.5">
      <c r="B165" s="8" t="s">
        <v>163</v>
      </c>
      <c r="C165" s="29" t="s">
        <v>102</v>
      </c>
      <c r="D165" s="29" t="s">
        <v>103</v>
      </c>
      <c r="E165" s="51" t="s">
        <v>162</v>
      </c>
      <c r="F165" s="105">
        <f>Comrev!F191</f>
        <v>175.62</v>
      </c>
      <c r="G165" s="105">
        <f>Comrev!G191</f>
        <v>181.80158652771019</v>
      </c>
      <c r="H165" s="105">
        <f>Comrev!H191</f>
        <v>183.00886957014058</v>
      </c>
      <c r="I165" s="105">
        <f>Comrev!I191</f>
        <v>184.78793389049261</v>
      </c>
      <c r="J165" s="105">
        <f>Comrev!J191</f>
        <v>188.83296831075342</v>
      </c>
      <c r="K165" s="105">
        <f>Comrev!K191</f>
        <v>193.12060431967257</v>
      </c>
      <c r="L165" s="105">
        <f>Comrev!L191</f>
        <v>197.36027418387536</v>
      </c>
      <c r="M165" s="105">
        <f>Comrev!M191</f>
        <v>201.44257168082126</v>
      </c>
      <c r="N165" s="105">
        <f t="shared" si="7"/>
        <v>965.5443523856153</v>
      </c>
    </row>
    <row r="166" spans="2:14" x14ac:dyDescent="0.5">
      <c r="B166" s="8" t="s">
        <v>164</v>
      </c>
      <c r="C166" s="29" t="s">
        <v>102</v>
      </c>
      <c r="D166" s="29" t="s">
        <v>103</v>
      </c>
      <c r="E166" s="51" t="s">
        <v>162</v>
      </c>
      <c r="F166" s="105">
        <f>Comrev!F192</f>
        <v>27.275317000000001</v>
      </c>
      <c r="G166" s="105">
        <f>Comrev!G192</f>
        <v>28.235371276883185</v>
      </c>
      <c r="H166" s="105">
        <f>Comrev!H192</f>
        <v>28.422872858086997</v>
      </c>
      <c r="I166" s="105">
        <f>Comrev!I192</f>
        <v>28.699177056361631</v>
      </c>
      <c r="J166" s="105">
        <f>Comrev!J192</f>
        <v>29.327406165167712</v>
      </c>
      <c r="K166" s="105">
        <f>Comrev!K192</f>
        <v>29.993313415616889</v>
      </c>
      <c r="L166" s="105">
        <f>Comrev!L192</f>
        <v>30.651771105637831</v>
      </c>
      <c r="M166" s="105">
        <f>Comrev!M192</f>
        <v>31.285787495100905</v>
      </c>
      <c r="N166" s="105">
        <f t="shared" si="7"/>
        <v>149.95745523788497</v>
      </c>
    </row>
    <row r="167" spans="2:14" x14ac:dyDescent="0.5">
      <c r="B167" s="53" t="s">
        <v>165</v>
      </c>
      <c r="C167" s="29" t="s">
        <v>102</v>
      </c>
      <c r="D167" s="29" t="s">
        <v>103</v>
      </c>
      <c r="E167" s="51" t="s">
        <v>162</v>
      </c>
      <c r="F167" s="105">
        <f>Comrev!F193</f>
        <v>0</v>
      </c>
      <c r="G167" s="105">
        <f>Comrev!G193</f>
        <v>0</v>
      </c>
      <c r="H167" s="105">
        <f>Comrev!H193</f>
        <v>0</v>
      </c>
      <c r="I167" s="105">
        <f>Comrev!I193</f>
        <v>0</v>
      </c>
      <c r="J167" s="105">
        <f>Comrev!J193</f>
        <v>0</v>
      </c>
      <c r="K167" s="105">
        <f>Comrev!K193</f>
        <v>0</v>
      </c>
      <c r="L167" s="105">
        <f>Comrev!L193</f>
        <v>0</v>
      </c>
      <c r="M167" s="105">
        <f>Comrev!M193</f>
        <v>0</v>
      </c>
      <c r="N167" s="105">
        <f t="shared" si="7"/>
        <v>0</v>
      </c>
    </row>
    <row r="168" spans="2:14" x14ac:dyDescent="0.5">
      <c r="B168" s="53" t="s">
        <v>161</v>
      </c>
      <c r="C168" s="29" t="s">
        <v>102</v>
      </c>
      <c r="D168" s="29" t="s">
        <v>103</v>
      </c>
      <c r="E168" s="51" t="s">
        <v>162</v>
      </c>
      <c r="F168" s="105">
        <f>Comrev!F194</f>
        <v>0</v>
      </c>
      <c r="G168" s="105">
        <f>Comrev!G194</f>
        <v>0</v>
      </c>
      <c r="H168" s="105">
        <f>Comrev!H194</f>
        <v>0</v>
      </c>
      <c r="I168" s="105">
        <f>Comrev!I194</f>
        <v>0</v>
      </c>
      <c r="J168" s="105">
        <f>Comrev!J194</f>
        <v>0</v>
      </c>
      <c r="K168" s="105">
        <f>Comrev!K194</f>
        <v>0</v>
      </c>
      <c r="L168" s="105">
        <f>Comrev!L194</f>
        <v>0</v>
      </c>
      <c r="M168" s="105">
        <f>Comrev!M194</f>
        <v>0</v>
      </c>
      <c r="N168" s="105">
        <f t="shared" si="7"/>
        <v>0</v>
      </c>
    </row>
    <row r="169" spans="2:14" x14ac:dyDescent="0.5">
      <c r="B169" s="8" t="s">
        <v>166</v>
      </c>
      <c r="C169" s="29" t="s">
        <v>102</v>
      </c>
      <c r="D169" s="29" t="s">
        <v>103</v>
      </c>
      <c r="E169" s="51" t="s">
        <v>166</v>
      </c>
      <c r="F169" s="105">
        <f>'Bottom-up'!E13</f>
        <v>53.079143000000002</v>
      </c>
      <c r="G169" s="105">
        <f>'Bottom-up'!F13</f>
        <v>51.408927819593863</v>
      </c>
      <c r="H169" s="105">
        <f>'Bottom-up'!G13</f>
        <v>50.618000002801999</v>
      </c>
      <c r="I169" s="105">
        <f>'Bottom-up'!H13</f>
        <v>49.648243568349024</v>
      </c>
      <c r="J169" s="105">
        <f>'Bottom-up'!I13</f>
        <v>49.230854103827511</v>
      </c>
      <c r="K169" s="105">
        <f>'Bottom-up'!J13</f>
        <v>48.854463211507273</v>
      </c>
      <c r="L169" s="105">
        <f>'Bottom-up'!K13</f>
        <v>48.461923253344693</v>
      </c>
      <c r="M169" s="105">
        <f>'Bottom-up'!L13</f>
        <v>48.012844288690246</v>
      </c>
      <c r="N169" s="105">
        <f t="shared" si="7"/>
        <v>244.20832842571872</v>
      </c>
    </row>
    <row r="170" spans="2:14" x14ac:dyDescent="0.5">
      <c r="B170" s="8" t="s">
        <v>167</v>
      </c>
      <c r="C170" s="29" t="s">
        <v>102</v>
      </c>
      <c r="D170" s="29" t="s">
        <v>103</v>
      </c>
      <c r="E170" s="51" t="s">
        <v>168</v>
      </c>
      <c r="F170" s="105">
        <f>Comrev!F196</f>
        <v>15.786951989364759</v>
      </c>
      <c r="G170" s="105">
        <f>Comrev!G196</f>
        <v>16.005759232662449</v>
      </c>
      <c r="H170" s="105">
        <f>Comrev!H196</f>
        <v>16.289682775774523</v>
      </c>
      <c r="I170" s="105">
        <f>Comrev!I196</f>
        <v>16.491999810305703</v>
      </c>
      <c r="J170" s="105">
        <f>Comrev!J196</f>
        <v>16.757743429763014</v>
      </c>
      <c r="K170" s="105">
        <f>Comrev!K196</f>
        <v>17.036856637939213</v>
      </c>
      <c r="L170" s="105">
        <f>Comrev!L196</f>
        <v>17.316541340465417</v>
      </c>
      <c r="M170" s="105">
        <f>Comrev!M196</f>
        <v>17.583837265761318</v>
      </c>
      <c r="N170" s="105">
        <f t="shared" si="7"/>
        <v>85.186978484234672</v>
      </c>
    </row>
    <row r="171" spans="2:14" x14ac:dyDescent="0.5">
      <c r="B171" s="8" t="s">
        <v>169</v>
      </c>
      <c r="C171" s="29" t="s">
        <v>102</v>
      </c>
      <c r="D171" s="29" t="s">
        <v>103</v>
      </c>
      <c r="E171" s="51" t="s">
        <v>168</v>
      </c>
      <c r="F171" s="105">
        <f>Comrev!F197</f>
        <v>32.277898107214718</v>
      </c>
      <c r="G171" s="105">
        <f>Comrev!G197</f>
        <v>32.725269956387457</v>
      </c>
      <c r="H171" s="105">
        <f>Comrev!H197</f>
        <v>33.305778163480547</v>
      </c>
      <c r="I171" s="105">
        <f>Comrev!I197</f>
        <v>33.719434240369274</v>
      </c>
      <c r="J171" s="105">
        <f>Comrev!J197</f>
        <v>34.262771895241727</v>
      </c>
      <c r="K171" s="105">
        <f>Comrev!K197</f>
        <v>34.833444923192808</v>
      </c>
      <c r="L171" s="105">
        <f>Comrev!L197</f>
        <v>35.405286424729589</v>
      </c>
      <c r="M171" s="105">
        <f>Comrev!M197</f>
        <v>35.951797913900329</v>
      </c>
      <c r="N171" s="105">
        <f t="shared" si="7"/>
        <v>174.17273539743371</v>
      </c>
    </row>
    <row r="172" spans="2:14" x14ac:dyDescent="0.5">
      <c r="B172" s="8" t="s">
        <v>170</v>
      </c>
      <c r="C172" s="29" t="s">
        <v>102</v>
      </c>
      <c r="D172" s="29" t="s">
        <v>103</v>
      </c>
      <c r="E172" s="51" t="s">
        <v>168</v>
      </c>
      <c r="F172" s="105">
        <f>Comrev!F198</f>
        <v>21.6776817119862</v>
      </c>
      <c r="G172" s="105">
        <f>Comrev!G198</f>
        <v>21.978134502346226</v>
      </c>
      <c r="H172" s="105">
        <f>Comrev!H198</f>
        <v>22.368001032773961</v>
      </c>
      <c r="I172" s="105">
        <f>Comrev!I198</f>
        <v>22.645810472014318</v>
      </c>
      <c r="J172" s="105">
        <f>Comrev!J198</f>
        <v>23.010713437670233</v>
      </c>
      <c r="K172" s="105">
        <f>Comrev!K198</f>
        <v>23.393974708910623</v>
      </c>
      <c r="L172" s="105">
        <f>Comrev!L198</f>
        <v>23.778020721412528</v>
      </c>
      <c r="M172" s="105">
        <f>Comrev!M198</f>
        <v>24.145055218976015</v>
      </c>
      <c r="N172" s="105">
        <f t="shared" si="7"/>
        <v>116.97357455898371</v>
      </c>
    </row>
    <row r="173" spans="2:14" x14ac:dyDescent="0.5">
      <c r="B173" s="8" t="s">
        <v>171</v>
      </c>
      <c r="C173" s="29" t="s">
        <v>102</v>
      </c>
      <c r="D173" s="29" t="s">
        <v>103</v>
      </c>
      <c r="E173" s="51" t="s">
        <v>172</v>
      </c>
      <c r="F173" s="105">
        <f>Comrev!F199</f>
        <v>19.10447923227176</v>
      </c>
      <c r="G173" s="105">
        <f>Comrev!G199</f>
        <v>19.265869434056775</v>
      </c>
      <c r="H173" s="105">
        <f>Comrev!H199</f>
        <v>19.497347333697995</v>
      </c>
      <c r="I173" s="105">
        <f>Comrev!I199</f>
        <v>19.710070668694236</v>
      </c>
      <c r="J173" s="105">
        <f>Comrev!J199</f>
        <v>19.8713606280111</v>
      </c>
      <c r="K173" s="105">
        <f>Comrev!K199</f>
        <v>20.040172937997198</v>
      </c>
      <c r="L173" s="105">
        <f>Comrev!L199</f>
        <v>20.100645541859496</v>
      </c>
      <c r="M173" s="105">
        <f>Comrev!M199</f>
        <v>20.161300625974295</v>
      </c>
      <c r="N173" s="105">
        <f t="shared" si="7"/>
        <v>99.883550402536315</v>
      </c>
    </row>
    <row r="174" spans="2:14" x14ac:dyDescent="0.5">
      <c r="B174" s="8" t="s">
        <v>173</v>
      </c>
      <c r="C174" s="29" t="s">
        <v>102</v>
      </c>
      <c r="D174" s="29" t="s">
        <v>103</v>
      </c>
      <c r="E174" s="51" t="s">
        <v>172</v>
      </c>
      <c r="F174" s="105">
        <f>Comrev!F200</f>
        <v>97.417655878726109</v>
      </c>
      <c r="G174" s="105">
        <f>Comrev!G200</f>
        <v>96.842214511411953</v>
      </c>
      <c r="H174" s="105">
        <f>Comrev!H200</f>
        <v>96.46782501192834</v>
      </c>
      <c r="I174" s="105">
        <f>Comrev!I200</f>
        <v>94.923123170825178</v>
      </c>
      <c r="J174" s="105">
        <f>Comrev!J200</f>
        <v>96.040597994141137</v>
      </c>
      <c r="K174" s="105">
        <f>Comrev!K200</f>
        <v>97.266803302862471</v>
      </c>
      <c r="L174" s="105">
        <f>Comrev!L200</f>
        <v>98.417968708565965</v>
      </c>
      <c r="M174" s="105">
        <f>Comrev!M200</f>
        <v>99.459103600561207</v>
      </c>
      <c r="N174" s="105">
        <f t="shared" si="7"/>
        <v>486.10759677695597</v>
      </c>
    </row>
    <row r="175" spans="2:14" x14ac:dyDescent="0.5">
      <c r="B175" s="8" t="s">
        <v>174</v>
      </c>
      <c r="C175" s="29" t="s">
        <v>102</v>
      </c>
      <c r="D175" s="29" t="s">
        <v>103</v>
      </c>
      <c r="E175" s="51" t="s">
        <v>172</v>
      </c>
      <c r="F175" s="105">
        <f>Comrev!F201</f>
        <v>4.7173109431847129</v>
      </c>
      <c r="G175" s="105">
        <f>Comrev!G201</f>
        <v>4.7571616900041915</v>
      </c>
      <c r="H175" s="105">
        <f>Comrev!H201</f>
        <v>4.8143186119912817</v>
      </c>
      <c r="I175" s="105">
        <f>Comrev!I201</f>
        <v>4.8668446245482428</v>
      </c>
      <c r="J175" s="105">
        <f>Comrev!J201</f>
        <v>4.906670619324693</v>
      </c>
      <c r="K175" s="105">
        <f>Comrev!K201</f>
        <v>4.9483540458949662</v>
      </c>
      <c r="L175" s="105">
        <f>Comrev!L201</f>
        <v>4.9632860454796814</v>
      </c>
      <c r="M175" s="105">
        <f>Comrev!M201</f>
        <v>4.9782631034028935</v>
      </c>
      <c r="N175" s="105">
        <f t="shared" si="7"/>
        <v>24.663418438650474</v>
      </c>
    </row>
    <row r="176" spans="2:14" x14ac:dyDescent="0.5">
      <c r="B176" s="53" t="s">
        <v>161</v>
      </c>
      <c r="C176" s="29" t="s">
        <v>102</v>
      </c>
      <c r="D176" s="29" t="s">
        <v>103</v>
      </c>
      <c r="E176" s="51" t="s">
        <v>172</v>
      </c>
      <c r="F176" s="105">
        <f>Comrev!F202</f>
        <v>0</v>
      </c>
      <c r="G176" s="105">
        <f>Comrev!G202</f>
        <v>0</v>
      </c>
      <c r="H176" s="105">
        <f>Comrev!H202</f>
        <v>0</v>
      </c>
      <c r="I176" s="105">
        <f>Comrev!I202</f>
        <v>0</v>
      </c>
      <c r="J176" s="105">
        <f>Comrev!J202</f>
        <v>0</v>
      </c>
      <c r="K176" s="105">
        <f>Comrev!K202</f>
        <v>0</v>
      </c>
      <c r="L176" s="105">
        <f>Comrev!L202</f>
        <v>0</v>
      </c>
      <c r="M176" s="105">
        <f>Comrev!M202</f>
        <v>0</v>
      </c>
      <c r="N176" s="105">
        <f t="shared" si="7"/>
        <v>0</v>
      </c>
    </row>
    <row r="177" spans="2:14" x14ac:dyDescent="0.5">
      <c r="B177" s="53" t="s">
        <v>161</v>
      </c>
      <c r="C177" s="29" t="s">
        <v>102</v>
      </c>
      <c r="D177" s="29" t="s">
        <v>103</v>
      </c>
      <c r="E177" s="51" t="s">
        <v>172</v>
      </c>
      <c r="F177" s="105">
        <f>Comrev!F203</f>
        <v>0</v>
      </c>
      <c r="G177" s="105">
        <f>Comrev!G203</f>
        <v>0</v>
      </c>
      <c r="H177" s="105">
        <f>Comrev!H203</f>
        <v>0</v>
      </c>
      <c r="I177" s="105">
        <f>Comrev!I203</f>
        <v>0</v>
      </c>
      <c r="J177" s="105">
        <f>Comrev!J203</f>
        <v>0</v>
      </c>
      <c r="K177" s="105">
        <f>Comrev!K203</f>
        <v>0</v>
      </c>
      <c r="L177" s="105">
        <f>Comrev!L203</f>
        <v>0</v>
      </c>
      <c r="M177" s="105">
        <f>Comrev!M203</f>
        <v>0</v>
      </c>
      <c r="N177" s="105">
        <f t="shared" si="7"/>
        <v>0</v>
      </c>
    </row>
    <row r="178" spans="2:14" x14ac:dyDescent="0.5">
      <c r="B178" s="53" t="s">
        <v>161</v>
      </c>
      <c r="C178" s="29" t="s">
        <v>102</v>
      </c>
      <c r="D178" s="29" t="s">
        <v>103</v>
      </c>
      <c r="E178" s="51" t="s">
        <v>172</v>
      </c>
      <c r="F178" s="105">
        <f>Comrev!F204</f>
        <v>0</v>
      </c>
      <c r="G178" s="105">
        <f>Comrev!G204</f>
        <v>0</v>
      </c>
      <c r="H178" s="105">
        <f>Comrev!H204</f>
        <v>0</v>
      </c>
      <c r="I178" s="105">
        <f>Comrev!I204</f>
        <v>0</v>
      </c>
      <c r="J178" s="105">
        <f>Comrev!J204</f>
        <v>0</v>
      </c>
      <c r="K178" s="105">
        <f>Comrev!K204</f>
        <v>0</v>
      </c>
      <c r="L178" s="105">
        <f>Comrev!L204</f>
        <v>0</v>
      </c>
      <c r="M178" s="105">
        <f>Comrev!M204</f>
        <v>0</v>
      </c>
      <c r="N178" s="105">
        <f t="shared" si="7"/>
        <v>0</v>
      </c>
    </row>
    <row r="179" spans="2:14" x14ac:dyDescent="0.5">
      <c r="B179" s="8" t="s">
        <v>175</v>
      </c>
      <c r="C179" s="29" t="s">
        <v>102</v>
      </c>
      <c r="D179" s="29" t="s">
        <v>103</v>
      </c>
      <c r="E179" s="51" t="s">
        <v>176</v>
      </c>
      <c r="F179" s="105">
        <f>Comrev!F205</f>
        <v>0</v>
      </c>
      <c r="G179" s="105">
        <f>Comrev!G205</f>
        <v>0</v>
      </c>
      <c r="H179" s="105">
        <f>Comrev!H205</f>
        <v>0</v>
      </c>
      <c r="I179" s="105">
        <f>Comrev!I205</f>
        <v>0</v>
      </c>
      <c r="J179" s="105">
        <f>Comrev!J205</f>
        <v>0</v>
      </c>
      <c r="K179" s="105">
        <f>Comrev!K205</f>
        <v>0</v>
      </c>
      <c r="L179" s="105">
        <f>Comrev!L205</f>
        <v>0</v>
      </c>
      <c r="M179" s="105">
        <f>Comrev!M205</f>
        <v>0</v>
      </c>
      <c r="N179" s="105">
        <f t="shared" si="7"/>
        <v>0</v>
      </c>
    </row>
    <row r="180" spans="2:14" x14ac:dyDescent="0.5">
      <c r="B180" s="8" t="s">
        <v>177</v>
      </c>
      <c r="C180" s="29" t="s">
        <v>102</v>
      </c>
      <c r="D180" s="29" t="s">
        <v>103</v>
      </c>
      <c r="E180" s="51" t="s">
        <v>176</v>
      </c>
      <c r="F180" s="105">
        <f>Comrev!F206</f>
        <v>0</v>
      </c>
      <c r="G180" s="105">
        <f>Comrev!G206</f>
        <v>0</v>
      </c>
      <c r="H180" s="105">
        <f>Comrev!H206</f>
        <v>0</v>
      </c>
      <c r="I180" s="105">
        <f>Comrev!I206</f>
        <v>0</v>
      </c>
      <c r="J180" s="105">
        <f>Comrev!J206</f>
        <v>0</v>
      </c>
      <c r="K180" s="105">
        <f>Comrev!K206</f>
        <v>0</v>
      </c>
      <c r="L180" s="105">
        <f>Comrev!L206</f>
        <v>0</v>
      </c>
      <c r="M180" s="105">
        <f>Comrev!M206</f>
        <v>0</v>
      </c>
      <c r="N180" s="105">
        <f t="shared" si="7"/>
        <v>0</v>
      </c>
    </row>
    <row r="181" spans="2:14" x14ac:dyDescent="0.5">
      <c r="B181" s="8" t="s">
        <v>178</v>
      </c>
      <c r="C181" s="29" t="s">
        <v>102</v>
      </c>
      <c r="D181" s="29" t="s">
        <v>103</v>
      </c>
      <c r="E181" s="51" t="s">
        <v>176</v>
      </c>
      <c r="F181" s="105">
        <f>Comrev!F207</f>
        <v>0</v>
      </c>
      <c r="G181" s="105">
        <f>Comrev!G207</f>
        <v>0</v>
      </c>
      <c r="H181" s="105">
        <f>Comrev!H207</f>
        <v>0</v>
      </c>
      <c r="I181" s="105">
        <f>Comrev!I207</f>
        <v>0</v>
      </c>
      <c r="J181" s="105">
        <f>Comrev!J207</f>
        <v>0</v>
      </c>
      <c r="K181" s="105">
        <f>Comrev!K207</f>
        <v>0</v>
      </c>
      <c r="L181" s="105">
        <f>Comrev!L207</f>
        <v>0</v>
      </c>
      <c r="M181" s="105">
        <f>Comrev!M207</f>
        <v>0</v>
      </c>
      <c r="N181" s="105">
        <f t="shared" si="7"/>
        <v>0</v>
      </c>
    </row>
    <row r="182" spans="2:14" x14ac:dyDescent="0.5">
      <c r="B182" s="8" t="s">
        <v>179</v>
      </c>
      <c r="C182" s="29" t="s">
        <v>102</v>
      </c>
      <c r="D182" s="29" t="s">
        <v>103</v>
      </c>
      <c r="E182" s="51" t="s">
        <v>176</v>
      </c>
      <c r="F182" s="105">
        <f>Comrev!F208</f>
        <v>90.056985525012379</v>
      </c>
      <c r="G182" s="105">
        <f>Comrev!G208</f>
        <v>90.343801094534342</v>
      </c>
      <c r="H182" s="105">
        <f>Comrev!H208</f>
        <v>90.920662388816311</v>
      </c>
      <c r="I182" s="105">
        <f>Comrev!I208</f>
        <v>91.10219984361639</v>
      </c>
      <c r="J182" s="105">
        <f>Comrev!J208</f>
        <v>91.561731267954485</v>
      </c>
      <c r="K182" s="105">
        <f>Comrev!K208</f>
        <v>92.064548350746989</v>
      </c>
      <c r="L182" s="105">
        <f>Comrev!L208</f>
        <v>92.551947325223466</v>
      </c>
      <c r="M182" s="105">
        <f>Comrev!M208</f>
        <v>92.967046822547687</v>
      </c>
      <c r="N182" s="105">
        <f t="shared" si="7"/>
        <v>460.247473610089</v>
      </c>
    </row>
    <row r="183" spans="2:14" x14ac:dyDescent="0.5">
      <c r="B183" s="53" t="s">
        <v>180</v>
      </c>
      <c r="C183" s="29" t="s">
        <v>102</v>
      </c>
      <c r="D183" s="29" t="s">
        <v>103</v>
      </c>
      <c r="E183" s="51" t="s">
        <v>176</v>
      </c>
      <c r="F183" s="105">
        <f>Comrev!F209</f>
        <v>43.748973129880007</v>
      </c>
      <c r="G183" s="105">
        <f>Comrev!G209</f>
        <v>43.888305870933863</v>
      </c>
      <c r="H183" s="105">
        <f>Comrev!H209</f>
        <v>44.168540536974291</v>
      </c>
      <c r="I183" s="105">
        <f>Comrev!I209</f>
        <v>44.2567300004103</v>
      </c>
      <c r="J183" s="105">
        <f>Comrev!J209</f>
        <v>44.479966741219478</v>
      </c>
      <c r="K183" s="105">
        <f>Comrev!K209</f>
        <v>44.724231313435524</v>
      </c>
      <c r="L183" s="105">
        <f>Comrev!L209</f>
        <v>44.96100589026144</v>
      </c>
      <c r="M183" s="105">
        <f>Comrev!M209</f>
        <v>45.162657951440195</v>
      </c>
      <c r="N183" s="105">
        <f t="shared" si="7"/>
        <v>223.58459189676694</v>
      </c>
    </row>
    <row r="184" spans="2:14" x14ac:dyDescent="0.5">
      <c r="B184" s="53" t="s">
        <v>181</v>
      </c>
      <c r="C184" s="29" t="s">
        <v>102</v>
      </c>
      <c r="D184" s="29" t="s">
        <v>103</v>
      </c>
      <c r="E184" s="51" t="s">
        <v>176</v>
      </c>
      <c r="F184" s="105">
        <f>Comrev!F210</f>
        <v>12.620755707126646</v>
      </c>
      <c r="G184" s="105">
        <f>Comrev!G210</f>
        <v>12.660950581681178</v>
      </c>
      <c r="H184" s="105">
        <f>Comrev!H210</f>
        <v>12.741793010834078</v>
      </c>
      <c r="I184" s="105">
        <f>Comrev!I210</f>
        <v>12.767234011944304</v>
      </c>
      <c r="J184" s="105">
        <f>Comrev!J210</f>
        <v>12.831633611958766</v>
      </c>
      <c r="K184" s="105">
        <f>Comrev!K210</f>
        <v>12.902099345741648</v>
      </c>
      <c r="L184" s="105">
        <f>Comrev!L210</f>
        <v>12.970404356762289</v>
      </c>
      <c r="M184" s="105">
        <f>Comrev!M210</f>
        <v>13.028577182771716</v>
      </c>
      <c r="N184" s="105">
        <f t="shared" si="7"/>
        <v>64.499948509178722</v>
      </c>
    </row>
    <row r="185" spans="2:14" x14ac:dyDescent="0.5">
      <c r="B185" s="53" t="s">
        <v>161</v>
      </c>
      <c r="C185" s="29" t="s">
        <v>102</v>
      </c>
      <c r="D185" s="29" t="s">
        <v>103</v>
      </c>
      <c r="E185" s="51" t="s">
        <v>176</v>
      </c>
      <c r="F185" s="105">
        <f>Comrev!F211</f>
        <v>0</v>
      </c>
      <c r="G185" s="105">
        <f>Comrev!G211</f>
        <v>0</v>
      </c>
      <c r="H185" s="105">
        <f>Comrev!H211</f>
        <v>0</v>
      </c>
      <c r="I185" s="105">
        <f>Comrev!I211</f>
        <v>0</v>
      </c>
      <c r="J185" s="105">
        <f>Comrev!J211</f>
        <v>0</v>
      </c>
      <c r="K185" s="105">
        <f>Comrev!K211</f>
        <v>0</v>
      </c>
      <c r="L185" s="105">
        <f>Comrev!L211</f>
        <v>0</v>
      </c>
      <c r="M185" s="105">
        <f>Comrev!M211</f>
        <v>0</v>
      </c>
      <c r="N185" s="105">
        <f t="shared" si="7"/>
        <v>0</v>
      </c>
    </row>
    <row r="186" spans="2:14" x14ac:dyDescent="0.5">
      <c r="B186" s="53" t="s">
        <v>161</v>
      </c>
      <c r="C186" s="29" t="s">
        <v>102</v>
      </c>
      <c r="D186" s="29" t="s">
        <v>103</v>
      </c>
      <c r="E186" s="51" t="s">
        <v>176</v>
      </c>
      <c r="F186" s="105">
        <f>Comrev!F212</f>
        <v>0</v>
      </c>
      <c r="G186" s="105">
        <f>Comrev!G212</f>
        <v>0</v>
      </c>
      <c r="H186" s="105">
        <f>Comrev!H212</f>
        <v>0</v>
      </c>
      <c r="I186" s="105">
        <f>Comrev!I212</f>
        <v>0</v>
      </c>
      <c r="J186" s="105">
        <f>Comrev!J212</f>
        <v>0</v>
      </c>
      <c r="K186" s="105">
        <f>Comrev!K212</f>
        <v>0</v>
      </c>
      <c r="L186" s="105">
        <f>Comrev!L212</f>
        <v>0</v>
      </c>
      <c r="M186" s="105">
        <f>Comrev!M212</f>
        <v>0</v>
      </c>
      <c r="N186" s="105">
        <f t="shared" si="7"/>
        <v>0</v>
      </c>
    </row>
    <row r="187" spans="2:14" x14ac:dyDescent="0.5">
      <c r="B187" s="53" t="s">
        <v>161</v>
      </c>
      <c r="C187" s="29" t="s">
        <v>102</v>
      </c>
      <c r="D187" s="29" t="s">
        <v>103</v>
      </c>
      <c r="E187" s="51" t="s">
        <v>176</v>
      </c>
      <c r="F187" s="105">
        <f>Comrev!F213</f>
        <v>0</v>
      </c>
      <c r="G187" s="105">
        <f>Comrev!G213</f>
        <v>0</v>
      </c>
      <c r="H187" s="105">
        <f>Comrev!H213</f>
        <v>0</v>
      </c>
      <c r="I187" s="105">
        <f>Comrev!I213</f>
        <v>0</v>
      </c>
      <c r="J187" s="105">
        <f>Comrev!J213</f>
        <v>0</v>
      </c>
      <c r="K187" s="105">
        <f>Comrev!K213</f>
        <v>0</v>
      </c>
      <c r="L187" s="105">
        <f>Comrev!L213</f>
        <v>0</v>
      </c>
      <c r="M187" s="105">
        <f>Comrev!M213</f>
        <v>0</v>
      </c>
      <c r="N187" s="105">
        <f t="shared" si="7"/>
        <v>0</v>
      </c>
    </row>
    <row r="188" spans="2:14" x14ac:dyDescent="0.5">
      <c r="B188" s="8" t="s">
        <v>182</v>
      </c>
      <c r="C188" s="29" t="s">
        <v>102</v>
      </c>
      <c r="D188" s="29" t="s">
        <v>103</v>
      </c>
      <c r="E188" s="51" t="s">
        <v>182</v>
      </c>
      <c r="F188" s="105">
        <f>Comrev!F214</f>
        <v>0</v>
      </c>
      <c r="G188" s="105">
        <f>Comrev!G214</f>
        <v>0</v>
      </c>
      <c r="H188" s="105">
        <f>Comrev!H214</f>
        <v>0</v>
      </c>
      <c r="I188" s="105">
        <f>Comrev!I214</f>
        <v>0</v>
      </c>
      <c r="J188" s="105">
        <f>Comrev!J214</f>
        <v>0</v>
      </c>
      <c r="K188" s="105">
        <f>Comrev!K214</f>
        <v>0</v>
      </c>
      <c r="L188" s="105">
        <f>Comrev!L214</f>
        <v>0</v>
      </c>
      <c r="M188" s="105">
        <f>Comrev!M214</f>
        <v>0</v>
      </c>
      <c r="N188" s="105">
        <f t="shared" si="7"/>
        <v>0</v>
      </c>
    </row>
    <row r="189" spans="2:14" x14ac:dyDescent="0.5">
      <c r="B189" s="8" t="s">
        <v>183</v>
      </c>
      <c r="C189" s="29" t="s">
        <v>102</v>
      </c>
      <c r="D189" s="29" t="s">
        <v>103</v>
      </c>
      <c r="E189" s="51" t="s">
        <v>184</v>
      </c>
      <c r="F189" s="105">
        <f>Comrev!F215</f>
        <v>0</v>
      </c>
      <c r="G189" s="105">
        <f>Comrev!G215</f>
        <v>0</v>
      </c>
      <c r="H189" s="105">
        <f>Comrev!H215</f>
        <v>0</v>
      </c>
      <c r="I189" s="105">
        <f>Comrev!I215</f>
        <v>0</v>
      </c>
      <c r="J189" s="105">
        <f>Comrev!J215</f>
        <v>0</v>
      </c>
      <c r="K189" s="105">
        <f>Comrev!K215</f>
        <v>0</v>
      </c>
      <c r="L189" s="105">
        <f>Comrev!L215</f>
        <v>0</v>
      </c>
      <c r="M189" s="105">
        <f>Comrev!M215</f>
        <v>0</v>
      </c>
      <c r="N189" s="105">
        <f t="shared" si="7"/>
        <v>0</v>
      </c>
    </row>
    <row r="190" spans="2:14" x14ac:dyDescent="0.5">
      <c r="B190" s="8" t="s">
        <v>185</v>
      </c>
      <c r="C190" s="29" t="s">
        <v>102</v>
      </c>
      <c r="D190" s="29" t="s">
        <v>103</v>
      </c>
      <c r="E190" s="51" t="s">
        <v>184</v>
      </c>
      <c r="F190" s="105">
        <f>Comrev!F216</f>
        <v>0</v>
      </c>
      <c r="G190" s="105">
        <f>Comrev!G216</f>
        <v>0</v>
      </c>
      <c r="H190" s="105">
        <f>Comrev!H216</f>
        <v>0</v>
      </c>
      <c r="I190" s="105">
        <f>Comrev!I216</f>
        <v>0</v>
      </c>
      <c r="J190" s="105">
        <f>Comrev!J216</f>
        <v>0</v>
      </c>
      <c r="K190" s="105">
        <f>Comrev!K216</f>
        <v>0</v>
      </c>
      <c r="L190" s="105">
        <f>Comrev!L216</f>
        <v>0</v>
      </c>
      <c r="M190" s="105">
        <f>Comrev!M216</f>
        <v>0</v>
      </c>
      <c r="N190" s="105">
        <f t="shared" si="7"/>
        <v>0</v>
      </c>
    </row>
    <row r="191" spans="2:14" x14ac:dyDescent="0.5">
      <c r="B191" s="8" t="s">
        <v>186</v>
      </c>
      <c r="C191" s="29" t="s">
        <v>102</v>
      </c>
      <c r="D191" s="29" t="s">
        <v>103</v>
      </c>
      <c r="E191" s="51" t="s">
        <v>184</v>
      </c>
      <c r="F191" s="105">
        <f>Comrev!F217</f>
        <v>7.3246539999999998</v>
      </c>
      <c r="G191" s="105">
        <f>Comrev!G217</f>
        <v>7.3865309751686574</v>
      </c>
      <c r="H191" s="105">
        <f>Comrev!H217</f>
        <v>7.4752795614506944</v>
      </c>
      <c r="I191" s="105">
        <f>Comrev!I217</f>
        <v>7.5568376509243675</v>
      </c>
      <c r="J191" s="105">
        <f>Comrev!J217</f>
        <v>7.6186761931482492</v>
      </c>
      <c r="K191" s="105">
        <f>Comrev!K217</f>
        <v>7.6833988033045211</v>
      </c>
      <c r="L191" s="105">
        <f>Comrev!L217</f>
        <v>7.7065839890604444</v>
      </c>
      <c r="M191" s="105">
        <f>Comrev!M217</f>
        <v>7.729839137713296</v>
      </c>
      <c r="N191" s="105">
        <f t="shared" si="7"/>
        <v>38.295335774150878</v>
      </c>
    </row>
    <row r="192" spans="2:14" x14ac:dyDescent="0.5">
      <c r="B192" s="53" t="s">
        <v>161</v>
      </c>
      <c r="C192" s="29" t="s">
        <v>102</v>
      </c>
      <c r="D192" s="29" t="s">
        <v>103</v>
      </c>
      <c r="E192" s="51" t="s">
        <v>184</v>
      </c>
      <c r="F192" s="105">
        <f>Comrev!F218</f>
        <v>0</v>
      </c>
      <c r="G192" s="105">
        <f>Comrev!G218</f>
        <v>0</v>
      </c>
      <c r="H192" s="105">
        <f>Comrev!H218</f>
        <v>0</v>
      </c>
      <c r="I192" s="105">
        <f>Comrev!I218</f>
        <v>0</v>
      </c>
      <c r="J192" s="105">
        <f>Comrev!J218</f>
        <v>0</v>
      </c>
      <c r="K192" s="105">
        <f>Comrev!K218</f>
        <v>0</v>
      </c>
      <c r="L192" s="105">
        <f>Comrev!L218</f>
        <v>0</v>
      </c>
      <c r="M192" s="105">
        <f>Comrev!M218</f>
        <v>0</v>
      </c>
      <c r="N192" s="105">
        <f t="shared" si="7"/>
        <v>0</v>
      </c>
    </row>
    <row r="193" spans="1:14" x14ac:dyDescent="0.5">
      <c r="B193" s="53" t="s">
        <v>161</v>
      </c>
      <c r="C193" s="29" t="s">
        <v>102</v>
      </c>
      <c r="D193" s="29" t="s">
        <v>103</v>
      </c>
      <c r="E193" s="51" t="s">
        <v>184</v>
      </c>
      <c r="F193" s="105">
        <f>Comrev!F219</f>
        <v>0</v>
      </c>
      <c r="G193" s="105">
        <f>Comrev!G219</f>
        <v>0</v>
      </c>
      <c r="H193" s="105">
        <f>Comrev!H219</f>
        <v>0</v>
      </c>
      <c r="I193" s="105">
        <f>Comrev!I219</f>
        <v>0</v>
      </c>
      <c r="J193" s="105">
        <f>Comrev!J219</f>
        <v>0</v>
      </c>
      <c r="K193" s="105">
        <f>Comrev!K219</f>
        <v>0</v>
      </c>
      <c r="L193" s="105">
        <f>Comrev!L219</f>
        <v>0</v>
      </c>
      <c r="M193" s="105">
        <f>Comrev!M219</f>
        <v>0</v>
      </c>
      <c r="N193" s="105">
        <f t="shared" si="7"/>
        <v>0</v>
      </c>
    </row>
    <row r="194" spans="1:14" x14ac:dyDescent="0.5">
      <c r="B194" s="53" t="s">
        <v>161</v>
      </c>
      <c r="C194" s="29" t="s">
        <v>102</v>
      </c>
      <c r="D194" s="29" t="s">
        <v>103</v>
      </c>
      <c r="E194" s="51" t="s">
        <v>184</v>
      </c>
      <c r="F194" s="105">
        <f>Comrev!F220</f>
        <v>0</v>
      </c>
      <c r="G194" s="105">
        <f>Comrev!G220</f>
        <v>0</v>
      </c>
      <c r="H194" s="105">
        <f>Comrev!H220</f>
        <v>0</v>
      </c>
      <c r="I194" s="105">
        <f>Comrev!I220</f>
        <v>0</v>
      </c>
      <c r="J194" s="105">
        <f>Comrev!J220</f>
        <v>0</v>
      </c>
      <c r="K194" s="105">
        <f>Comrev!K220</f>
        <v>0</v>
      </c>
      <c r="L194" s="105">
        <f>Comrev!L220</f>
        <v>0</v>
      </c>
      <c r="M194" s="105">
        <f>Comrev!M220</f>
        <v>0</v>
      </c>
      <c r="N194" s="105">
        <f t="shared" si="7"/>
        <v>0</v>
      </c>
    </row>
    <row r="195" spans="1:14" x14ac:dyDescent="0.5">
      <c r="B195" s="8" t="s">
        <v>187</v>
      </c>
      <c r="C195" s="29" t="s">
        <v>102</v>
      </c>
      <c r="D195" s="29" t="s">
        <v>103</v>
      </c>
      <c r="E195" s="51" t="s">
        <v>187</v>
      </c>
      <c r="F195" s="105">
        <f>'Bottom-up'!E27</f>
        <v>21.38965614999999</v>
      </c>
      <c r="G195" s="105">
        <f>'Bottom-up'!F27</f>
        <v>20.890438293999992</v>
      </c>
      <c r="H195" s="105">
        <f>'Bottom-up'!G27</f>
        <v>20.497648063999993</v>
      </c>
      <c r="I195" s="105">
        <f>'Bottom-up'!H27</f>
        <v>19.570685602094855</v>
      </c>
      <c r="J195" s="105">
        <f>'Bottom-up'!I27</f>
        <v>18.747580173962298</v>
      </c>
      <c r="K195" s="105">
        <f>'Bottom-up'!J27</f>
        <v>18.008284772893138</v>
      </c>
      <c r="L195" s="105">
        <f>'Bottom-up'!K27</f>
        <v>17.337820648838495</v>
      </c>
      <c r="M195" s="105">
        <f>'Bottom-up'!L27</f>
        <v>16.724835871061838</v>
      </c>
      <c r="N195" s="105">
        <f t="shared" si="7"/>
        <v>90.389207068850638</v>
      </c>
    </row>
    <row r="196" spans="1:14" x14ac:dyDescent="0.5">
      <c r="B196" s="53" t="s">
        <v>161</v>
      </c>
      <c r="C196" s="29" t="s">
        <v>102</v>
      </c>
      <c r="D196" s="29" t="s">
        <v>103</v>
      </c>
      <c r="E196" s="51" t="s">
        <v>187</v>
      </c>
      <c r="F196" s="105">
        <f>Comrev!F222</f>
        <v>0</v>
      </c>
      <c r="G196" s="105">
        <f>Comrev!G222</f>
        <v>0</v>
      </c>
      <c r="H196" s="105">
        <f>Comrev!H222</f>
        <v>0</v>
      </c>
      <c r="I196" s="105">
        <f>Comrev!I222</f>
        <v>0</v>
      </c>
      <c r="J196" s="105">
        <f>Comrev!J222</f>
        <v>0</v>
      </c>
      <c r="K196" s="105">
        <f>Comrev!K222</f>
        <v>0</v>
      </c>
      <c r="L196" s="105">
        <f>Comrev!L222</f>
        <v>0</v>
      </c>
      <c r="M196" s="105">
        <f>Comrev!M222</f>
        <v>0</v>
      </c>
      <c r="N196" s="105">
        <f t="shared" si="7"/>
        <v>0</v>
      </c>
    </row>
    <row r="197" spans="1:14" x14ac:dyDescent="0.5">
      <c r="B197" s="53" t="s">
        <v>161</v>
      </c>
      <c r="C197" s="29" t="s">
        <v>102</v>
      </c>
      <c r="D197" s="29" t="s">
        <v>103</v>
      </c>
      <c r="E197" s="51" t="s">
        <v>187</v>
      </c>
      <c r="F197" s="105">
        <f>Comrev!F223</f>
        <v>0</v>
      </c>
      <c r="G197" s="105">
        <f>Comrev!G223</f>
        <v>0</v>
      </c>
      <c r="H197" s="105">
        <f>Comrev!H223</f>
        <v>0</v>
      </c>
      <c r="I197" s="105">
        <f>Comrev!I223</f>
        <v>0</v>
      </c>
      <c r="J197" s="105">
        <f>Comrev!J223</f>
        <v>0</v>
      </c>
      <c r="K197" s="105">
        <f>Comrev!K223</f>
        <v>0</v>
      </c>
      <c r="L197" s="105">
        <f>Comrev!L223</f>
        <v>0</v>
      </c>
      <c r="M197" s="105">
        <f>Comrev!M223</f>
        <v>0</v>
      </c>
      <c r="N197" s="105">
        <f t="shared" si="7"/>
        <v>0</v>
      </c>
    </row>
    <row r="198" spans="1:14" ht="17" thickBot="1" x14ac:dyDescent="0.55000000000000004">
      <c r="B198" s="54" t="s">
        <v>194</v>
      </c>
      <c r="C198" s="37" t="s">
        <v>102</v>
      </c>
      <c r="D198" s="37" t="s">
        <v>103</v>
      </c>
      <c r="E198" s="52" t="s">
        <v>184</v>
      </c>
      <c r="F198" s="121"/>
      <c r="G198" s="106">
        <f>Comrev!G224</f>
        <v>0</v>
      </c>
      <c r="H198" s="106">
        <f>Comrev!H224</f>
        <v>-14.640211030814655</v>
      </c>
      <c r="I198" s="106">
        <f>Comrev!I224</f>
        <v>-17.890395508616653</v>
      </c>
      <c r="J198" s="106">
        <f>Comrev!J224</f>
        <v>-18.703043733018866</v>
      </c>
      <c r="K198" s="106">
        <f>Comrev!K224</f>
        <v>-19.376929610475642</v>
      </c>
      <c r="L198" s="106">
        <f>Comrev!L224</f>
        <v>3.0691444210434313</v>
      </c>
      <c r="M198" s="106">
        <f>Comrev!M224</f>
        <v>3.0841892466367802</v>
      </c>
      <c r="N198" s="106">
        <f t="shared" si="7"/>
        <v>-49.817035184430949</v>
      </c>
    </row>
    <row r="199" spans="1:14" x14ac:dyDescent="0.5">
      <c r="B199" s="53" t="s">
        <v>195</v>
      </c>
      <c r="C199" s="29" t="s">
        <v>102</v>
      </c>
      <c r="D199" s="29" t="s">
        <v>103</v>
      </c>
      <c r="E199" s="51"/>
      <c r="F199" s="105">
        <f>SUM(F149:F198)</f>
        <v>1085.0720475308005</v>
      </c>
      <c r="G199" s="105">
        <f t="shared" ref="G199:M199" si="8">SUM(G149:G198)</f>
        <v>1091.8015987844392</v>
      </c>
      <c r="H199" s="105">
        <f t="shared" si="8"/>
        <v>1083.3805272671248</v>
      </c>
      <c r="I199" s="105">
        <f t="shared" si="8"/>
        <v>1080.2421705120541</v>
      </c>
      <c r="J199" s="105">
        <f t="shared" si="8"/>
        <v>1089.1476906728035</v>
      </c>
      <c r="K199" s="105">
        <f t="shared" si="8"/>
        <v>1099.4545343575644</v>
      </c>
      <c r="L199" s="105">
        <f t="shared" si="8"/>
        <v>1132.5991675912644</v>
      </c>
      <c r="M199" s="105">
        <f t="shared" si="8"/>
        <v>1142.2468308141792</v>
      </c>
      <c r="N199" s="105">
        <f t="shared" si="7"/>
        <v>5543.6903939478652</v>
      </c>
    </row>
    <row r="201" spans="1:14" ht="19" thickBot="1" x14ac:dyDescent="0.55000000000000004">
      <c r="A201" s="14" t="s">
        <v>38</v>
      </c>
    </row>
    <row r="202" spans="1:14" ht="17" thickTop="1" x14ac:dyDescent="0.5"/>
    <row r="203" spans="1:14" ht="17" thickBot="1" x14ac:dyDescent="0.55000000000000004">
      <c r="B203" s="27" t="s">
        <v>196</v>
      </c>
      <c r="C203" s="27" t="s">
        <v>96</v>
      </c>
      <c r="D203" s="27" t="s">
        <v>97</v>
      </c>
      <c r="E203" s="50"/>
      <c r="F203" s="11">
        <v>2024</v>
      </c>
      <c r="G203" s="11">
        <v>2025</v>
      </c>
      <c r="H203" s="11">
        <f>G203+1</f>
        <v>2026</v>
      </c>
      <c r="I203" s="11">
        <f t="shared" ref="I203" si="9">H203+1</f>
        <v>2027</v>
      </c>
      <c r="J203" s="11">
        <f t="shared" ref="J203" si="10">I203+1</f>
        <v>2028</v>
      </c>
      <c r="K203" s="11">
        <f t="shared" ref="K203" si="11">J203+1</f>
        <v>2029</v>
      </c>
      <c r="L203" s="11">
        <f t="shared" ref="L203" si="12">K203+1</f>
        <v>2030</v>
      </c>
      <c r="M203" s="11">
        <f>L203+1</f>
        <v>2031</v>
      </c>
      <c r="N203" s="27" t="s">
        <v>190</v>
      </c>
    </row>
    <row r="204" spans="1:14" x14ac:dyDescent="0.5">
      <c r="B204" s="8" t="s">
        <v>197</v>
      </c>
      <c r="C204" s="29" t="s">
        <v>102</v>
      </c>
      <c r="D204" s="29" t="s">
        <v>103</v>
      </c>
      <c r="E204" s="118"/>
      <c r="F204" s="105">
        <f>ORC_calcs!F72</f>
        <v>19.432707488019066</v>
      </c>
      <c r="G204" s="105">
        <f>ORC_calcs!G72</f>
        <v>13.529327079843242</v>
      </c>
      <c r="H204" s="105">
        <f>ORC_calcs!H72</f>
        <v>13.494737952468233</v>
      </c>
      <c r="I204" s="105">
        <f>ORC_calcs!I72</f>
        <v>13.474440089873818</v>
      </c>
      <c r="J204" s="105">
        <f>ORC_calcs!J72</f>
        <v>13.395110655349024</v>
      </c>
      <c r="K204" s="105">
        <f>ORC_calcs!K72</f>
        <v>13.319338670942756</v>
      </c>
      <c r="L204" s="105">
        <f>ORC_calcs!L72</f>
        <v>13.201505756715212</v>
      </c>
      <c r="M204" s="105">
        <f>ORC_calcs!M72</f>
        <v>13.127424689819259</v>
      </c>
      <c r="N204" s="105">
        <f t="shared" ref="N204:N218" si="13">SUM(I204:M204)</f>
        <v>66.517819862700065</v>
      </c>
    </row>
    <row r="205" spans="1:14" x14ac:dyDescent="0.5">
      <c r="B205" s="8" t="s">
        <v>198</v>
      </c>
      <c r="C205" s="29" t="s">
        <v>102</v>
      </c>
      <c r="D205" s="29" t="s">
        <v>103</v>
      </c>
      <c r="E205" s="118"/>
      <c r="F205" s="105">
        <f>ORC_calcs!F73</f>
        <v>2.9244294529702164</v>
      </c>
      <c r="G205" s="105">
        <f>ORC_calcs!G73</f>
        <v>2.540105347361644</v>
      </c>
      <c r="H205" s="105">
        <f>ORC_calcs!H73</f>
        <v>2.5336113046877311</v>
      </c>
      <c r="I205" s="105">
        <f>ORC_calcs!I73</f>
        <v>2.5298004197108352</v>
      </c>
      <c r="J205" s="105">
        <f>ORC_calcs!J73</f>
        <v>2.5149064697271863</v>
      </c>
      <c r="K205" s="105">
        <f>ORC_calcs!K73</f>
        <v>2.5006804242162226</v>
      </c>
      <c r="L205" s="105">
        <f>ORC_calcs!L73</f>
        <v>2.478557519377111</v>
      </c>
      <c r="M205" s="105">
        <f>ORC_calcs!M73</f>
        <v>2.4646489404026979</v>
      </c>
      <c r="N205" s="105">
        <f t="shared" si="13"/>
        <v>12.488593773434053</v>
      </c>
    </row>
    <row r="206" spans="1:14" x14ac:dyDescent="0.5">
      <c r="B206" s="8" t="s">
        <v>199</v>
      </c>
      <c r="C206" s="29" t="s">
        <v>102</v>
      </c>
      <c r="D206" s="29" t="s">
        <v>103</v>
      </c>
      <c r="E206" s="118"/>
      <c r="F206" s="105">
        <f>ORC_calcs!F74</f>
        <v>1.47049400145982</v>
      </c>
      <c r="G206" s="105">
        <f>ORC_calcs!G74</f>
        <v>1.2509286315458652</v>
      </c>
      <c r="H206" s="105">
        <f>ORC_calcs!H74</f>
        <v>1.2477305028053718</v>
      </c>
      <c r="I206" s="105">
        <f>ORC_calcs!I74</f>
        <v>1.2458537518532593</v>
      </c>
      <c r="J206" s="105">
        <f>ORC_calcs!J74</f>
        <v>1.2385189110008079</v>
      </c>
      <c r="K206" s="105">
        <f>ORC_calcs!K74</f>
        <v>1.2315129938400009</v>
      </c>
      <c r="L206" s="105">
        <f>ORC_calcs!L74</f>
        <v>1.2206181011911765</v>
      </c>
      <c r="M206" s="105">
        <f>ORC_calcs!M74</f>
        <v>1.2137685271444616</v>
      </c>
      <c r="N206" s="105">
        <f t="shared" si="13"/>
        <v>6.1502722850297058</v>
      </c>
    </row>
    <row r="207" spans="1:14" x14ac:dyDescent="0.5">
      <c r="B207" s="8" t="s">
        <v>118</v>
      </c>
      <c r="C207" s="29" t="s">
        <v>102</v>
      </c>
      <c r="D207" s="29" t="s">
        <v>103</v>
      </c>
      <c r="E207" s="118"/>
      <c r="F207" s="105">
        <f>ORC_calcs!F75</f>
        <v>39.620419593077692</v>
      </c>
      <c r="G207" s="105">
        <f>ORC_calcs!G75</f>
        <v>24.301528748950584</v>
      </c>
      <c r="H207" s="105">
        <f>ORC_calcs!H75</f>
        <v>24.239399371166733</v>
      </c>
      <c r="I207" s="105">
        <f>ORC_calcs!I75</f>
        <v>24.202940123159095</v>
      </c>
      <c r="J207" s="105">
        <f>ORC_calcs!J75</f>
        <v>24.060447704846993</v>
      </c>
      <c r="K207" s="105">
        <f>ORC_calcs!K75</f>
        <v>23.924345218260108</v>
      </c>
      <c r="L207" s="105">
        <f>ORC_calcs!L75</f>
        <v>23.712692418695561</v>
      </c>
      <c r="M207" s="105">
        <f>ORC_calcs!M75</f>
        <v>23.579627177068936</v>
      </c>
      <c r="N207" s="105">
        <f t="shared" si="13"/>
        <v>119.4800526420307</v>
      </c>
    </row>
    <row r="208" spans="1:14" x14ac:dyDescent="0.5">
      <c r="B208" s="8" t="s">
        <v>200</v>
      </c>
      <c r="C208" s="29" t="s">
        <v>102</v>
      </c>
      <c r="D208" s="29" t="s">
        <v>103</v>
      </c>
      <c r="E208" s="118"/>
      <c r="F208" s="105">
        <f>ORC_calcs!F76</f>
        <v>4.9154627389823693</v>
      </c>
      <c r="G208" s="105">
        <f>ORC_calcs!G76</f>
        <v>1.1587869539236022</v>
      </c>
      <c r="H208" s="105">
        <f>ORC_calcs!H76</f>
        <v>1.1558243949350271</v>
      </c>
      <c r="I208" s="105">
        <f>ORC_calcs!I76</f>
        <v>1.1540858828694873</v>
      </c>
      <c r="J208" s="105">
        <f>ORC_calcs!J76</f>
        <v>1.1472913162774485</v>
      </c>
      <c r="K208" s="105">
        <f>ORC_calcs!K76</f>
        <v>1.1408014453116042</v>
      </c>
      <c r="L208" s="105">
        <f>ORC_calcs!L76</f>
        <v>1.1307090554282149</v>
      </c>
      <c r="M208" s="105">
        <f>ORC_calcs!M76</f>
        <v>1.1243640115583191</v>
      </c>
      <c r="N208" s="105">
        <f t="shared" si="13"/>
        <v>5.6972517114450731</v>
      </c>
    </row>
    <row r="209" spans="1:14" x14ac:dyDescent="0.5">
      <c r="B209" s="8" t="s">
        <v>201</v>
      </c>
      <c r="C209" s="29" t="s">
        <v>102</v>
      </c>
      <c r="D209" s="29" t="s">
        <v>103</v>
      </c>
      <c r="E209" s="118"/>
      <c r="F209" s="105">
        <f>ORC_calcs!F77</f>
        <v>3.0799448867157535</v>
      </c>
      <c r="G209" s="105">
        <f>ORC_calcs!G77</f>
        <v>2.7649782510287642</v>
      </c>
      <c r="H209" s="105">
        <f>ORC_calcs!H77</f>
        <v>2.757909297462223</v>
      </c>
      <c r="I209" s="105">
        <f>ORC_calcs!I77</f>
        <v>2.7537610387731757</v>
      </c>
      <c r="J209" s="105">
        <f>ORC_calcs!J77</f>
        <v>2.7375485427759236</v>
      </c>
      <c r="K209" s="105">
        <f>ORC_calcs!K77</f>
        <v>2.7220630801446921</v>
      </c>
      <c r="L209" s="105">
        <f>ORC_calcs!L77</f>
        <v>2.6979816573827353</v>
      </c>
      <c r="M209" s="105">
        <f>ORC_calcs!M77</f>
        <v>2.6828417662727415</v>
      </c>
      <c r="N209" s="105">
        <f t="shared" si="13"/>
        <v>13.594196085349269</v>
      </c>
    </row>
    <row r="210" spans="1:14" x14ac:dyDescent="0.5">
      <c r="B210" s="8" t="s">
        <v>202</v>
      </c>
      <c r="C210" s="29" t="s">
        <v>102</v>
      </c>
      <c r="D210" s="29" t="s">
        <v>103</v>
      </c>
      <c r="E210" s="118"/>
      <c r="F210" s="105">
        <f>ORC_calcs!F78</f>
        <v>2.1593937642123624</v>
      </c>
      <c r="G210" s="105">
        <f>ORC_calcs!G78</f>
        <v>1.0729026179073311</v>
      </c>
      <c r="H210" s="105">
        <f>ORC_calcs!H78</f>
        <v>1.0701596311281094</v>
      </c>
      <c r="I210" s="105">
        <f>ORC_calcs!I78</f>
        <v>1.0685499701459371</v>
      </c>
      <c r="J210" s="105">
        <f>ORC_calcs!J78</f>
        <v>1.0622589877876523</v>
      </c>
      <c r="K210" s="105">
        <f>ORC_calcs!K78</f>
        <v>1.0562501183181101</v>
      </c>
      <c r="L210" s="105">
        <f>ORC_calcs!L78</f>
        <v>1.0469057332349279</v>
      </c>
      <c r="M210" s="105">
        <f>ORC_calcs!M78</f>
        <v>1.0410309568960179</v>
      </c>
      <c r="N210" s="105">
        <f t="shared" si="13"/>
        <v>5.274995766382645</v>
      </c>
    </row>
    <row r="211" spans="1:14" x14ac:dyDescent="0.5">
      <c r="B211" s="8" t="s">
        <v>203</v>
      </c>
      <c r="C211" s="29" t="s">
        <v>102</v>
      </c>
      <c r="D211" s="29" t="s">
        <v>103</v>
      </c>
      <c r="E211" s="118"/>
      <c r="F211" s="105">
        <f>ORC_calcs!F79</f>
        <v>123.395</v>
      </c>
      <c r="G211" s="105">
        <f>ORC_calcs!G79</f>
        <v>119.75587619715485</v>
      </c>
      <c r="H211" s="105">
        <f>ORC_calcs!H79</f>
        <v>119.44970788359102</v>
      </c>
      <c r="I211" s="105">
        <f>ORC_calcs!I79</f>
        <v>119.27003979621473</v>
      </c>
      <c r="J211" s="105">
        <f>ORC_calcs!J79</f>
        <v>118.56784922282728</v>
      </c>
      <c r="K211" s="105">
        <f>ORC_calcs!K79</f>
        <v>117.89714769198108</v>
      </c>
      <c r="L211" s="105">
        <f>ORC_calcs!L79</f>
        <v>116.85414061521321</v>
      </c>
      <c r="M211" s="105">
        <f>ORC_calcs!M79</f>
        <v>116.19840637038425</v>
      </c>
      <c r="N211" s="105">
        <f t="shared" si="13"/>
        <v>588.78758369662057</v>
      </c>
    </row>
    <row r="212" spans="1:14" x14ac:dyDescent="0.5">
      <c r="B212" s="8" t="s">
        <v>204</v>
      </c>
      <c r="C212" s="29" t="s">
        <v>102</v>
      </c>
      <c r="D212" s="29" t="s">
        <v>103</v>
      </c>
      <c r="E212" s="118"/>
      <c r="F212" s="105">
        <f>ORC_calcs!F80</f>
        <v>11.02</v>
      </c>
      <c r="G212" s="105">
        <f>ORC_calcs!G80</f>
        <v>10.695001869546145</v>
      </c>
      <c r="H212" s="105">
        <f>ORC_calcs!H80</f>
        <v>10.667658988428812</v>
      </c>
      <c r="I212" s="105">
        <f>ORC_calcs!I80</f>
        <v>10.651613424808838</v>
      </c>
      <c r="J212" s="105">
        <f>ORC_calcs!J80</f>
        <v>10.588903103331226</v>
      </c>
      <c r="K212" s="105">
        <f>ORC_calcs!K80</f>
        <v>10.529004964266232</v>
      </c>
      <c r="L212" s="105">
        <f>ORC_calcs!L80</f>
        <v>10.43585744624701</v>
      </c>
      <c r="M212" s="105">
        <f>ORC_calcs!M80</f>
        <v>10.377295986074271</v>
      </c>
      <c r="N212" s="105">
        <f t="shared" si="13"/>
        <v>52.582674924727577</v>
      </c>
    </row>
    <row r="213" spans="1:14" x14ac:dyDescent="0.5">
      <c r="B213" s="8" t="s">
        <v>205</v>
      </c>
      <c r="C213" s="29" t="s">
        <v>102</v>
      </c>
      <c r="D213" s="29" t="s">
        <v>103</v>
      </c>
      <c r="E213" s="118"/>
      <c r="F213" s="105">
        <f>ORC_calcs!F81</f>
        <v>65.749736999999996</v>
      </c>
      <c r="G213" s="105">
        <f>ORC_calcs!G81</f>
        <v>63.810667889035145</v>
      </c>
      <c r="H213" s="105">
        <f>ORC_calcs!H81</f>
        <v>63.647529300805836</v>
      </c>
      <c r="I213" s="105">
        <f>ORC_calcs!I81</f>
        <v>63.551795036919266</v>
      </c>
      <c r="J213" s="105">
        <f>ORC_calcs!J81</f>
        <v>63.177640123639918</v>
      </c>
      <c r="K213" s="105">
        <f>ORC_calcs!K81</f>
        <v>62.820263817803905</v>
      </c>
      <c r="L213" s="105">
        <f>ORC_calcs!L81</f>
        <v>62.264508390220726</v>
      </c>
      <c r="M213" s="105">
        <f>ORC_calcs!M81</f>
        <v>61.915107246419133</v>
      </c>
      <c r="N213" s="105">
        <f t="shared" si="13"/>
        <v>313.72931461500298</v>
      </c>
    </row>
    <row r="214" spans="1:14" x14ac:dyDescent="0.5">
      <c r="B214" s="8" t="s">
        <v>206</v>
      </c>
      <c r="C214" s="29" t="s">
        <v>102</v>
      </c>
      <c r="D214" s="29" t="s">
        <v>103</v>
      </c>
      <c r="E214" s="118"/>
      <c r="F214" s="105">
        <f>ORC_calcs!F82</f>
        <v>0.61050000000000004</v>
      </c>
      <c r="G214" s="105">
        <f>ORC_calcs!G82</f>
        <v>0.59249533950616351</v>
      </c>
      <c r="H214" s="105">
        <f>ORC_calcs!H82</f>
        <v>0.59098056374190466</v>
      </c>
      <c r="I214" s="105">
        <f>ORC_calcs!I82</f>
        <v>0.59009165116568019</v>
      </c>
      <c r="J214" s="105">
        <f>ORC_calcs!J82</f>
        <v>0.58661754488055473</v>
      </c>
      <c r="K214" s="105">
        <f>ORC_calcs!K82</f>
        <v>0.58329923145957663</v>
      </c>
      <c r="L214" s="105">
        <f>ORC_calcs!L82</f>
        <v>0.57813892658201438</v>
      </c>
      <c r="M214" s="105">
        <f>ORC_calcs!M82</f>
        <v>0.57489466420130142</v>
      </c>
      <c r="N214" s="105">
        <f t="shared" si="13"/>
        <v>2.9130420182891275</v>
      </c>
    </row>
    <row r="215" spans="1:14" x14ac:dyDescent="0.5">
      <c r="B215" s="8" t="s">
        <v>207</v>
      </c>
      <c r="C215" s="29" t="s">
        <v>102</v>
      </c>
      <c r="D215" s="29" t="s">
        <v>103</v>
      </c>
      <c r="E215" s="118"/>
      <c r="F215" s="105">
        <f>ORC_calcs!F83</f>
        <v>9.5380000000000003</v>
      </c>
      <c r="G215" s="105">
        <f>ORC_calcs!G83</f>
        <v>9.2567085146761467</v>
      </c>
      <c r="H215" s="105">
        <f>ORC_calcs!H83</f>
        <v>9.23304277964011</v>
      </c>
      <c r="I215" s="105">
        <f>ORC_calcs!I83</f>
        <v>9.2191550676793739</v>
      </c>
      <c r="J215" s="105">
        <f>ORC_calcs!J83</f>
        <v>9.1648782032280618</v>
      </c>
      <c r="K215" s="105">
        <f>ORC_calcs!K83</f>
        <v>9.1130353311407735</v>
      </c>
      <c r="L215" s="105">
        <f>ORC_calcs!L83</f>
        <v>9.0324145483034464</v>
      </c>
      <c r="M215" s="105">
        <f>ORC_calcs!M83</f>
        <v>8.9817285948435934</v>
      </c>
      <c r="N215" s="105">
        <f t="shared" si="13"/>
        <v>45.511211745195247</v>
      </c>
    </row>
    <row r="216" spans="1:14" x14ac:dyDescent="0.5">
      <c r="B216" s="8" t="s">
        <v>208</v>
      </c>
      <c r="C216" s="29" t="s">
        <v>102</v>
      </c>
      <c r="D216" s="29" t="s">
        <v>103</v>
      </c>
      <c r="E216" s="118"/>
      <c r="F216" s="105">
        <f>ORC_calcs!F84</f>
        <v>0.97799999999999998</v>
      </c>
      <c r="G216" s="105">
        <f>ORC_calcs!G84</f>
        <v>0.94915715321380478</v>
      </c>
      <c r="H216" s="105">
        <f>ORC_calcs!H84</f>
        <v>0.94673053454477096</v>
      </c>
      <c r="I216" s="105">
        <f>ORC_calcs!I84</f>
        <v>0.9453065271745047</v>
      </c>
      <c r="J216" s="105">
        <f>ORC_calcs!J84</f>
        <v>0.93974112840816137</v>
      </c>
      <c r="K216" s="105">
        <f>ORC_calcs!K84</f>
        <v>0.93442530445121352</v>
      </c>
      <c r="L216" s="105">
        <f>ORC_calcs!L84</f>
        <v>0.92615867354170356</v>
      </c>
      <c r="M216" s="105">
        <f>ORC_calcs!M84</f>
        <v>0.92096147680405038</v>
      </c>
      <c r="N216" s="105">
        <f t="shared" si="13"/>
        <v>4.6665931103796341</v>
      </c>
    </row>
    <row r="217" spans="1:14" ht="17" thickBot="1" x14ac:dyDescent="0.55000000000000004">
      <c r="B217" s="48" t="s">
        <v>209</v>
      </c>
      <c r="C217" s="37" t="s">
        <v>102</v>
      </c>
      <c r="D217" s="37" t="s">
        <v>103</v>
      </c>
      <c r="E217" s="37"/>
      <c r="F217" s="156"/>
      <c r="G217" s="106">
        <f>ORC_calcs!G85</f>
        <v>0</v>
      </c>
      <c r="H217" s="106">
        <f>ORC_calcs!H85</f>
        <v>0</v>
      </c>
      <c r="I217" s="106">
        <f>ORC_calcs!I85</f>
        <v>13.249556019595829</v>
      </c>
      <c r="J217" s="106">
        <f>ORC_calcs!J85</f>
        <v>13.822790538885258</v>
      </c>
      <c r="K217" s="106">
        <f>ORC_calcs!K85</f>
        <v>13.822790538885258</v>
      </c>
      <c r="L217" s="106">
        <f>ORC_calcs!L85</f>
        <v>14.419657344764001</v>
      </c>
      <c r="M217" s="106">
        <f>ORC_calcs!M85</f>
        <v>14.419657344764001</v>
      </c>
      <c r="N217" s="106">
        <f t="shared" si="13"/>
        <v>69.734451786894354</v>
      </c>
    </row>
    <row r="218" spans="1:14" x14ac:dyDescent="0.5">
      <c r="B218" s="8" t="s">
        <v>210</v>
      </c>
      <c r="C218" s="29" t="s">
        <v>102</v>
      </c>
      <c r="D218" s="29" t="s">
        <v>103</v>
      </c>
      <c r="E218" s="118"/>
      <c r="F218" s="105">
        <f>ORC_calcs!F86</f>
        <v>284.8940889254373</v>
      </c>
      <c r="G218" s="105">
        <f>ORC_calcs!G86</f>
        <v>251.67846459369326</v>
      </c>
      <c r="H218" s="105">
        <f>ORC_calcs!H86</f>
        <v>251.03502250540589</v>
      </c>
      <c r="I218" s="105">
        <f>ORC_calcs!I86</f>
        <v>263.9069887999438</v>
      </c>
      <c r="J218" s="105">
        <f>ORC_calcs!J86</f>
        <v>263.00450245296554</v>
      </c>
      <c r="K218" s="105">
        <f>ORC_calcs!K86</f>
        <v>261.59495883102153</v>
      </c>
      <c r="L218" s="105">
        <f>ORC_calcs!L86</f>
        <v>259.99984618689706</v>
      </c>
      <c r="M218" s="105">
        <f>ORC_calcs!M86</f>
        <v>258.62175775265302</v>
      </c>
      <c r="N218" s="105">
        <f t="shared" si="13"/>
        <v>1307.1280540234811</v>
      </c>
    </row>
    <row r="219" spans="1:14" x14ac:dyDescent="0.5">
      <c r="B219" s="101"/>
      <c r="C219" s="101"/>
      <c r="D219" s="101"/>
      <c r="E219" s="117"/>
      <c r="F219" s="42"/>
      <c r="G219" s="42"/>
      <c r="H219" s="42"/>
      <c r="I219" s="42"/>
      <c r="J219" s="42"/>
      <c r="K219" s="42"/>
      <c r="L219" s="42"/>
      <c r="M219" s="42"/>
    </row>
    <row r="220" spans="1:14" ht="23" thickBot="1" x14ac:dyDescent="0.7">
      <c r="A220" s="13" t="s">
        <v>211</v>
      </c>
    </row>
    <row r="221" spans="1:14" ht="17" thickTop="1" x14ac:dyDescent="0.5"/>
    <row r="222" spans="1:14" ht="17" thickBot="1" x14ac:dyDescent="0.55000000000000004">
      <c r="B222" s="27" t="s">
        <v>98</v>
      </c>
      <c r="C222" s="27" t="s">
        <v>96</v>
      </c>
      <c r="D222" s="27" t="s">
        <v>97</v>
      </c>
      <c r="E222" s="50"/>
      <c r="F222" s="11">
        <v>2024</v>
      </c>
      <c r="G222" s="11">
        <v>2025</v>
      </c>
      <c r="H222" s="11">
        <f>G222+1</f>
        <v>2026</v>
      </c>
      <c r="I222" s="11">
        <f t="shared" ref="I222" si="14">H222+1</f>
        <v>2027</v>
      </c>
      <c r="J222" s="11">
        <f t="shared" ref="J222" si="15">I222+1</f>
        <v>2028</v>
      </c>
      <c r="K222" s="11">
        <f t="shared" ref="K222" si="16">J222+1</f>
        <v>2029</v>
      </c>
      <c r="L222" s="11">
        <f t="shared" ref="L222" si="17">K222+1</f>
        <v>2030</v>
      </c>
      <c r="M222" s="11">
        <f>L222+1</f>
        <v>2031</v>
      </c>
      <c r="N222" s="27" t="s">
        <v>190</v>
      </c>
    </row>
    <row r="223" spans="1:14" x14ac:dyDescent="0.5">
      <c r="B223" s="8" t="s">
        <v>104</v>
      </c>
      <c r="C223" s="29" t="s">
        <v>102</v>
      </c>
      <c r="D223" s="29" t="s">
        <v>103</v>
      </c>
      <c r="E223" s="62"/>
      <c r="F223" s="105">
        <f t="shared" ref="F223:M223" si="18">SUM(F108:F114)</f>
        <v>445.51</v>
      </c>
      <c r="G223" s="105">
        <f t="shared" si="18"/>
        <v>449.2244303456161</v>
      </c>
      <c r="H223" s="105">
        <f t="shared" si="18"/>
        <v>450.127552272836</v>
      </c>
      <c r="I223" s="105">
        <f t="shared" si="18"/>
        <v>447.19254049375297</v>
      </c>
      <c r="J223" s="105">
        <f t="shared" si="18"/>
        <v>444.32722235553126</v>
      </c>
      <c r="K223" s="105">
        <f t="shared" si="18"/>
        <v>442.05689940241143</v>
      </c>
      <c r="L223" s="105">
        <f t="shared" si="18"/>
        <v>440.40271684345856</v>
      </c>
      <c r="M223" s="105">
        <f t="shared" si="18"/>
        <v>438.5424120654182</v>
      </c>
      <c r="N223" s="105">
        <f t="shared" ref="N223:N229" si="19">SUM(I223:M223)</f>
        <v>2212.5217911605728</v>
      </c>
    </row>
    <row r="224" spans="1:14" x14ac:dyDescent="0.5">
      <c r="B224" s="8" t="s">
        <v>112</v>
      </c>
      <c r="C224" s="29" t="s">
        <v>102</v>
      </c>
      <c r="D224" s="29" t="s">
        <v>103</v>
      </c>
      <c r="E224" s="62"/>
      <c r="F224" s="105">
        <f t="shared" ref="F224:M224" si="20">SUM(F115:F118)</f>
        <v>235.42</v>
      </c>
      <c r="G224" s="105">
        <f t="shared" si="20"/>
        <v>233.54827999549275</v>
      </c>
      <c r="H224" s="105">
        <f t="shared" si="20"/>
        <v>231.45164797620043</v>
      </c>
      <c r="I224" s="105">
        <f t="shared" si="20"/>
        <v>229.20339070566877</v>
      </c>
      <c r="J224" s="105">
        <f t="shared" si="20"/>
        <v>226.92839016741894</v>
      </c>
      <c r="K224" s="105">
        <f t="shared" si="20"/>
        <v>224.70513897741444</v>
      </c>
      <c r="L224" s="105">
        <f t="shared" si="20"/>
        <v>222.54524730585865</v>
      </c>
      <c r="M224" s="105">
        <f t="shared" si="20"/>
        <v>220.40612623293981</v>
      </c>
      <c r="N224" s="105">
        <f t="shared" si="19"/>
        <v>1123.7882933893006</v>
      </c>
    </row>
    <row r="225" spans="2:14" x14ac:dyDescent="0.5">
      <c r="B225" s="8" t="s">
        <v>117</v>
      </c>
      <c r="C225" s="29" t="s">
        <v>102</v>
      </c>
      <c r="D225" s="29" t="s">
        <v>103</v>
      </c>
      <c r="E225" s="62"/>
      <c r="F225" s="105">
        <f t="shared" ref="F225:M225" si="21">SUM(F119)</f>
        <v>116.37</v>
      </c>
      <c r="G225" s="116"/>
      <c r="H225" s="116"/>
      <c r="I225" s="105">
        <f t="shared" si="21"/>
        <v>159.45879958189488</v>
      </c>
      <c r="J225" s="105">
        <f t="shared" si="21"/>
        <v>201.86030814739911</v>
      </c>
      <c r="K225" s="105">
        <f t="shared" si="21"/>
        <v>201.8604848469499</v>
      </c>
      <c r="L225" s="105">
        <f t="shared" si="21"/>
        <v>201.8606615466409</v>
      </c>
      <c r="M225" s="105">
        <f t="shared" si="21"/>
        <v>201.86083824647216</v>
      </c>
      <c r="N225" s="105">
        <f t="shared" si="19"/>
        <v>966.901092369357</v>
      </c>
    </row>
    <row r="226" spans="2:14" x14ac:dyDescent="0.5">
      <c r="B226" s="8" t="s">
        <v>119</v>
      </c>
      <c r="C226" s="29" t="s">
        <v>102</v>
      </c>
      <c r="D226" s="29" t="s">
        <v>103</v>
      </c>
      <c r="E226" s="62"/>
      <c r="F226" s="105">
        <f t="shared" ref="F226:M226" si="22">SUM(F120:F124)</f>
        <v>109.40999999999998</v>
      </c>
      <c r="G226" s="105">
        <f t="shared" si="22"/>
        <v>109.61907089846582</v>
      </c>
      <c r="H226" s="105">
        <f t="shared" si="22"/>
        <v>110.03903329776962</v>
      </c>
      <c r="I226" s="105">
        <f t="shared" si="22"/>
        <v>110.17085947792727</v>
      </c>
      <c r="J226" s="105">
        <f t="shared" si="22"/>
        <v>110.50428922208283</v>
      </c>
      <c r="K226" s="105">
        <f t="shared" si="22"/>
        <v>110.86839403032482</v>
      </c>
      <c r="L226" s="105">
        <f t="shared" si="22"/>
        <v>111.22056308466937</v>
      </c>
      <c r="M226" s="105">
        <f t="shared" si="22"/>
        <v>111.51986051381799</v>
      </c>
      <c r="N226" s="105">
        <f t="shared" si="19"/>
        <v>554.28396632882232</v>
      </c>
    </row>
    <row r="227" spans="2:14" x14ac:dyDescent="0.5">
      <c r="B227" s="8" t="s">
        <v>124</v>
      </c>
      <c r="C227" s="29" t="s">
        <v>102</v>
      </c>
      <c r="D227" s="29" t="s">
        <v>103</v>
      </c>
      <c r="E227" s="62"/>
      <c r="F227" s="105">
        <f t="shared" ref="F227:M228" si="23">F125</f>
        <v>33.119999999999997</v>
      </c>
      <c r="G227" s="105">
        <f t="shared" si="23"/>
        <v>33.399790064839365</v>
      </c>
      <c r="H227" s="105">
        <f t="shared" si="23"/>
        <v>33.801085904569277</v>
      </c>
      <c r="I227" s="105">
        <f t="shared" si="23"/>
        <v>34.169868364924135</v>
      </c>
      <c r="J227" s="105">
        <f t="shared" si="23"/>
        <v>34.449484646929392</v>
      </c>
      <c r="K227" s="105">
        <f t="shared" si="23"/>
        <v>34.742141863007546</v>
      </c>
      <c r="L227" s="105">
        <f t="shared" si="23"/>
        <v>34.846978671986669</v>
      </c>
      <c r="M227" s="105">
        <f t="shared" si="23"/>
        <v>34.952131833266705</v>
      </c>
      <c r="N227" s="105">
        <f t="shared" si="19"/>
        <v>173.16060538011442</v>
      </c>
    </row>
    <row r="228" spans="2:14" x14ac:dyDescent="0.5">
      <c r="B228" s="8" t="s">
        <v>125</v>
      </c>
      <c r="C228" s="29" t="s">
        <v>102</v>
      </c>
      <c r="D228" s="29" t="s">
        <v>103</v>
      </c>
      <c r="E228" s="62"/>
      <c r="F228" s="105">
        <f t="shared" si="23"/>
        <v>25.64</v>
      </c>
      <c r="G228" s="105">
        <f t="shared" si="23"/>
        <v>25.383600000000001</v>
      </c>
      <c r="H228" s="105">
        <f t="shared" si="23"/>
        <v>25.129764000000002</v>
      </c>
      <c r="I228" s="105">
        <f t="shared" si="23"/>
        <v>24.878466360000001</v>
      </c>
      <c r="J228" s="105">
        <f t="shared" si="23"/>
        <v>24.629681696400002</v>
      </c>
      <c r="K228" s="105">
        <f t="shared" si="23"/>
        <v>24.383384879436001</v>
      </c>
      <c r="L228" s="105">
        <f t="shared" si="23"/>
        <v>24.139551030641641</v>
      </c>
      <c r="M228" s="105">
        <f t="shared" si="23"/>
        <v>23.898155520335223</v>
      </c>
      <c r="N228" s="105">
        <f t="shared" si="19"/>
        <v>121.92923948681288</v>
      </c>
    </row>
    <row r="229" spans="2:14" x14ac:dyDescent="0.5">
      <c r="B229" s="8" t="s">
        <v>127</v>
      </c>
      <c r="C229" s="29" t="s">
        <v>102</v>
      </c>
      <c r="D229" s="29" t="s">
        <v>103</v>
      </c>
      <c r="E229" s="62"/>
      <c r="F229" s="105">
        <f>SUM(F127:F143)</f>
        <v>554.22835543340591</v>
      </c>
      <c r="G229" s="105">
        <f t="shared" ref="G229:M229" si="24">SUM(G127:G143)</f>
        <v>551.18744266560725</v>
      </c>
      <c r="H229" s="105">
        <f t="shared" si="24"/>
        <v>548.2282451016921</v>
      </c>
      <c r="I229" s="105">
        <f t="shared" si="24"/>
        <v>551.05825788596917</v>
      </c>
      <c r="J229" s="105">
        <f t="shared" si="24"/>
        <v>547.61153867090536</v>
      </c>
      <c r="K229" s="105">
        <f t="shared" si="24"/>
        <v>543.84061336752973</v>
      </c>
      <c r="L229" s="105">
        <f t="shared" si="24"/>
        <v>535.22771717116677</v>
      </c>
      <c r="M229" s="105">
        <f t="shared" si="24"/>
        <v>531.38532328469307</v>
      </c>
      <c r="N229" s="105">
        <f t="shared" si="19"/>
        <v>2709.1234503802643</v>
      </c>
    </row>
    <row r="230" spans="2:14" x14ac:dyDescent="0.5">
      <c r="F230" s="157"/>
      <c r="G230" s="49"/>
      <c r="H230" s="49"/>
      <c r="I230" s="49"/>
      <c r="J230" s="49"/>
      <c r="K230" s="49"/>
      <c r="L230" s="49"/>
      <c r="M230" s="49"/>
    </row>
    <row r="231" spans="2:14" ht="17" thickBot="1" x14ac:dyDescent="0.55000000000000004">
      <c r="B231" s="27" t="s">
        <v>144</v>
      </c>
      <c r="C231" s="27" t="s">
        <v>96</v>
      </c>
      <c r="D231" s="27" t="s">
        <v>97</v>
      </c>
      <c r="E231" s="50"/>
      <c r="F231" s="11">
        <v>2024</v>
      </c>
      <c r="G231" s="11">
        <v>2025</v>
      </c>
      <c r="H231" s="11">
        <f>G231+1</f>
        <v>2026</v>
      </c>
      <c r="I231" s="11">
        <f t="shared" ref="I231" si="25">H231+1</f>
        <v>2027</v>
      </c>
      <c r="J231" s="11">
        <f t="shared" ref="J231" si="26">I231+1</f>
        <v>2028</v>
      </c>
      <c r="K231" s="11">
        <f t="shared" ref="K231" si="27">J231+1</f>
        <v>2029</v>
      </c>
      <c r="L231" s="11">
        <f t="shared" ref="L231" si="28">K231+1</f>
        <v>2030</v>
      </c>
      <c r="M231" s="11">
        <f>L231+1</f>
        <v>2031</v>
      </c>
      <c r="N231" s="27" t="s">
        <v>190</v>
      </c>
    </row>
    <row r="232" spans="2:14" x14ac:dyDescent="0.5">
      <c r="B232" s="8" t="s">
        <v>147</v>
      </c>
      <c r="C232" s="29" t="s">
        <v>102</v>
      </c>
      <c r="D232" s="29" t="s">
        <v>103</v>
      </c>
      <c r="E232" s="62"/>
      <c r="F232" s="105">
        <f t="shared" ref="F232:L232" si="29">SUM(F149:F164)</f>
        <v>462.97458515603336</v>
      </c>
      <c r="G232" s="105">
        <f t="shared" si="29"/>
        <v>463.61127701706505</v>
      </c>
      <c r="H232" s="105">
        <f t="shared" si="29"/>
        <v>467.42411937518796</v>
      </c>
      <c r="I232" s="105">
        <f t="shared" si="29"/>
        <v>467.38624140972018</v>
      </c>
      <c r="J232" s="105">
        <f t="shared" si="29"/>
        <v>470.37005983367862</v>
      </c>
      <c r="K232" s="105">
        <f t="shared" si="29"/>
        <v>473.96091387832445</v>
      </c>
      <c r="L232" s="105">
        <f t="shared" si="29"/>
        <v>477.54654363470428</v>
      </c>
      <c r="M232" s="105">
        <f>SUM(M149:M164)</f>
        <v>480.52912340881932</v>
      </c>
      <c r="N232" s="105">
        <f t="shared" ref="N232:N240" si="30">SUM(I232:M232)</f>
        <v>2369.7928821652467</v>
      </c>
    </row>
    <row r="233" spans="2:14" x14ac:dyDescent="0.5">
      <c r="B233" s="8" t="s">
        <v>162</v>
      </c>
      <c r="C233" s="29" t="s">
        <v>102</v>
      </c>
      <c r="D233" s="29" t="s">
        <v>103</v>
      </c>
      <c r="E233" s="62"/>
      <c r="F233" s="105">
        <f>SUM(F165:F168)</f>
        <v>202.89531700000001</v>
      </c>
      <c r="G233" s="105">
        <f t="shared" ref="G233:M233" si="31">SUM(G165:G168)</f>
        <v>210.03695780459338</v>
      </c>
      <c r="H233" s="105">
        <f t="shared" si="31"/>
        <v>211.43174242822758</v>
      </c>
      <c r="I233" s="105">
        <f t="shared" si="31"/>
        <v>213.48711094685424</v>
      </c>
      <c r="J233" s="105">
        <f t="shared" si="31"/>
        <v>218.16037447592112</v>
      </c>
      <c r="K233" s="105">
        <f t="shared" si="31"/>
        <v>223.11391773528945</v>
      </c>
      <c r="L233" s="105">
        <f t="shared" si="31"/>
        <v>228.0120452895132</v>
      </c>
      <c r="M233" s="105">
        <f t="shared" si="31"/>
        <v>232.72835917592215</v>
      </c>
      <c r="N233" s="105">
        <f t="shared" si="30"/>
        <v>1115.5018076235001</v>
      </c>
    </row>
    <row r="234" spans="2:14" x14ac:dyDescent="0.5">
      <c r="B234" s="8" t="s">
        <v>166</v>
      </c>
      <c r="C234" s="29" t="s">
        <v>102</v>
      </c>
      <c r="D234" s="29" t="s">
        <v>103</v>
      </c>
      <c r="E234" s="62"/>
      <c r="F234" s="105">
        <f>F169</f>
        <v>53.079143000000002</v>
      </c>
      <c r="G234" s="105">
        <f t="shared" ref="G234:M234" si="32">G169</f>
        <v>51.408927819593863</v>
      </c>
      <c r="H234" s="105">
        <f t="shared" si="32"/>
        <v>50.618000002801999</v>
      </c>
      <c r="I234" s="105">
        <f t="shared" si="32"/>
        <v>49.648243568349024</v>
      </c>
      <c r="J234" s="105">
        <f t="shared" si="32"/>
        <v>49.230854103827511</v>
      </c>
      <c r="K234" s="105">
        <f t="shared" si="32"/>
        <v>48.854463211507273</v>
      </c>
      <c r="L234" s="105">
        <f t="shared" si="32"/>
        <v>48.461923253344693</v>
      </c>
      <c r="M234" s="105">
        <f t="shared" si="32"/>
        <v>48.012844288690246</v>
      </c>
      <c r="N234" s="105">
        <f t="shared" si="30"/>
        <v>244.20832842571872</v>
      </c>
    </row>
    <row r="235" spans="2:14" x14ac:dyDescent="0.5">
      <c r="B235" s="8" t="s">
        <v>168</v>
      </c>
      <c r="C235" s="29" t="s">
        <v>102</v>
      </c>
      <c r="D235" s="29" t="s">
        <v>103</v>
      </c>
      <c r="E235" s="62"/>
      <c r="F235" s="105">
        <f>SUM(F170:F172)</f>
        <v>69.742531808565673</v>
      </c>
      <c r="G235" s="105">
        <f t="shared" ref="G235:M235" si="33">SUM(G170:G172)</f>
        <v>70.709163691396128</v>
      </c>
      <c r="H235" s="105">
        <f t="shared" si="33"/>
        <v>71.963461972029023</v>
      </c>
      <c r="I235" s="105">
        <f t="shared" si="33"/>
        <v>72.8572445226893</v>
      </c>
      <c r="J235" s="105">
        <f t="shared" si="33"/>
        <v>74.031228762674971</v>
      </c>
      <c r="K235" s="105">
        <f t="shared" si="33"/>
        <v>75.264276270042643</v>
      </c>
      <c r="L235" s="105">
        <f t="shared" si="33"/>
        <v>76.499848486607533</v>
      </c>
      <c r="M235" s="105">
        <f t="shared" si="33"/>
        <v>77.680690398637665</v>
      </c>
      <c r="N235" s="105">
        <f t="shared" si="30"/>
        <v>376.33328844065215</v>
      </c>
    </row>
    <row r="236" spans="2:14" x14ac:dyDescent="0.5">
      <c r="B236" s="8" t="s">
        <v>172</v>
      </c>
      <c r="C236" s="29" t="s">
        <v>102</v>
      </c>
      <c r="D236" s="29" t="s">
        <v>103</v>
      </c>
      <c r="E236" s="62"/>
      <c r="F236" s="105">
        <f>SUM(F173:F178)</f>
        <v>121.23944605418258</v>
      </c>
      <c r="G236" s="105">
        <f t="shared" ref="G236:M236" si="34">SUM(G173:G178)</f>
        <v>120.86524563547293</v>
      </c>
      <c r="H236" s="105">
        <f t="shared" si="34"/>
        <v>120.77949095761763</v>
      </c>
      <c r="I236" s="105">
        <f t="shared" si="34"/>
        <v>119.50003846406764</v>
      </c>
      <c r="J236" s="105">
        <f t="shared" si="34"/>
        <v>120.81862924147694</v>
      </c>
      <c r="K236" s="105">
        <f t="shared" si="34"/>
        <v>122.25533028675463</v>
      </c>
      <c r="L236" s="105">
        <f t="shared" si="34"/>
        <v>123.48190029590513</v>
      </c>
      <c r="M236" s="105">
        <f t="shared" si="34"/>
        <v>124.59866732993839</v>
      </c>
      <c r="N236" s="105">
        <f t="shared" si="30"/>
        <v>610.65456561814267</v>
      </c>
    </row>
    <row r="237" spans="2:14" x14ac:dyDescent="0.5">
      <c r="B237" s="8" t="s">
        <v>176</v>
      </c>
      <c r="C237" s="29" t="s">
        <v>102</v>
      </c>
      <c r="D237" s="29" t="s">
        <v>103</v>
      </c>
      <c r="E237" s="62"/>
      <c r="F237" s="105">
        <f>SUM(F179:F187)</f>
        <v>146.42671436201903</v>
      </c>
      <c r="G237" s="105">
        <f t="shared" ref="G237:M237" si="35">SUM(G179:G187)</f>
        <v>146.8930575471494</v>
      </c>
      <c r="H237" s="105">
        <f t="shared" si="35"/>
        <v>147.83099593662467</v>
      </c>
      <c r="I237" s="105">
        <f t="shared" si="35"/>
        <v>148.12616385597101</v>
      </c>
      <c r="J237" s="105">
        <f t="shared" si="35"/>
        <v>148.87333162113273</v>
      </c>
      <c r="K237" s="105">
        <f t="shared" si="35"/>
        <v>149.69087900992417</v>
      </c>
      <c r="L237" s="105">
        <f t="shared" si="35"/>
        <v>150.4833575722472</v>
      </c>
      <c r="M237" s="105">
        <f t="shared" si="35"/>
        <v>151.15828195675962</v>
      </c>
      <c r="N237" s="105">
        <f t="shared" si="30"/>
        <v>748.3320140160348</v>
      </c>
    </row>
    <row r="238" spans="2:14" x14ac:dyDescent="0.5">
      <c r="B238" s="8" t="s">
        <v>182</v>
      </c>
      <c r="C238" s="29" t="s">
        <v>102</v>
      </c>
      <c r="D238" s="29" t="s">
        <v>103</v>
      </c>
      <c r="E238" s="62"/>
      <c r="F238" s="105">
        <f>F188</f>
        <v>0</v>
      </c>
      <c r="G238" s="105">
        <f t="shared" ref="G238:M238" si="36">G188</f>
        <v>0</v>
      </c>
      <c r="H238" s="105">
        <f t="shared" si="36"/>
        <v>0</v>
      </c>
      <c r="I238" s="105">
        <f t="shared" si="36"/>
        <v>0</v>
      </c>
      <c r="J238" s="105">
        <f t="shared" si="36"/>
        <v>0</v>
      </c>
      <c r="K238" s="105">
        <f t="shared" si="36"/>
        <v>0</v>
      </c>
      <c r="L238" s="105">
        <f t="shared" si="36"/>
        <v>0</v>
      </c>
      <c r="M238" s="105">
        <f t="shared" si="36"/>
        <v>0</v>
      </c>
      <c r="N238" s="105">
        <f t="shared" si="30"/>
        <v>0</v>
      </c>
    </row>
    <row r="239" spans="2:14" x14ac:dyDescent="0.5">
      <c r="B239" s="8" t="s">
        <v>184</v>
      </c>
      <c r="C239" s="29" t="s">
        <v>102</v>
      </c>
      <c r="D239" s="29" t="s">
        <v>103</v>
      </c>
      <c r="E239" s="62"/>
      <c r="F239" s="105">
        <f>SUM(F189:F194)+F198</f>
        <v>7.3246539999999998</v>
      </c>
      <c r="G239" s="105">
        <f t="shared" ref="G239:L239" si="37">SUM(G189:G194)+G198</f>
        <v>7.3865309751686574</v>
      </c>
      <c r="H239" s="105">
        <f t="shared" si="37"/>
        <v>-7.1649314693639603</v>
      </c>
      <c r="I239" s="105">
        <f t="shared" si="37"/>
        <v>-10.333557857692284</v>
      </c>
      <c r="J239" s="105">
        <f t="shared" si="37"/>
        <v>-11.084367539870616</v>
      </c>
      <c r="K239" s="105">
        <f t="shared" si="37"/>
        <v>-11.693530807171122</v>
      </c>
      <c r="L239" s="105">
        <f t="shared" si="37"/>
        <v>10.775728410103875</v>
      </c>
      <c r="M239" s="105">
        <f>SUM(M189:M194)+M198</f>
        <v>10.814028384350076</v>
      </c>
      <c r="N239" s="105">
        <f t="shared" si="30"/>
        <v>-11.521699410280076</v>
      </c>
    </row>
    <row r="240" spans="2:14" x14ac:dyDescent="0.5">
      <c r="B240" s="8" t="s">
        <v>187</v>
      </c>
      <c r="C240" s="29" t="s">
        <v>102</v>
      </c>
      <c r="D240" s="29" t="s">
        <v>103</v>
      </c>
      <c r="E240" s="62"/>
      <c r="F240" s="105">
        <f>SUM(F195:F197)</f>
        <v>21.38965614999999</v>
      </c>
      <c r="G240" s="105">
        <f t="shared" ref="G240:M240" si="38">SUM(G195:G197)</f>
        <v>20.890438293999992</v>
      </c>
      <c r="H240" s="105">
        <f t="shared" si="38"/>
        <v>20.497648063999993</v>
      </c>
      <c r="I240" s="105">
        <f t="shared" si="38"/>
        <v>19.570685602094855</v>
      </c>
      <c r="J240" s="105">
        <f t="shared" si="38"/>
        <v>18.747580173962298</v>
      </c>
      <c r="K240" s="105">
        <f t="shared" si="38"/>
        <v>18.008284772893138</v>
      </c>
      <c r="L240" s="105">
        <f t="shared" si="38"/>
        <v>17.337820648838495</v>
      </c>
      <c r="M240" s="105">
        <f t="shared" si="38"/>
        <v>16.724835871061838</v>
      </c>
      <c r="N240" s="105">
        <f t="shared" si="30"/>
        <v>90.389207068850638</v>
      </c>
    </row>
    <row r="241" spans="1:14" x14ac:dyDescent="0.5">
      <c r="N241" s="119"/>
    </row>
    <row r="242" spans="1:14" ht="30" thickBot="1" x14ac:dyDescent="0.85">
      <c r="A242" s="16" t="s">
        <v>212</v>
      </c>
      <c r="E242"/>
    </row>
    <row r="243" spans="1:14" ht="17" thickTop="1" x14ac:dyDescent="0.5"/>
    <row r="244" spans="1:14" ht="19" thickBot="1" x14ac:dyDescent="0.55000000000000004">
      <c r="A244" s="14" t="s">
        <v>213</v>
      </c>
    </row>
    <row r="245" spans="1:14" ht="17" thickTop="1" x14ac:dyDescent="0.5"/>
    <row r="246" spans="1:14" ht="17" thickBot="1" x14ac:dyDescent="0.55000000000000004">
      <c r="B246" s="27" t="s">
        <v>24</v>
      </c>
      <c r="C246" s="27" t="s">
        <v>214</v>
      </c>
      <c r="D246" s="27"/>
      <c r="E246" s="27" t="s">
        <v>91</v>
      </c>
      <c r="F246" s="11">
        <v>2024</v>
      </c>
      <c r="G246" s="11">
        <v>2025</v>
      </c>
      <c r="H246" s="11">
        <f t="shared" ref="H246" si="39">G246+1</f>
        <v>2026</v>
      </c>
      <c r="I246" s="11">
        <f t="shared" ref="I246" si="40">H246+1</f>
        <v>2027</v>
      </c>
      <c r="J246" s="11">
        <f t="shared" ref="J246" si="41">I246+1</f>
        <v>2028</v>
      </c>
      <c r="K246" s="11">
        <f t="shared" ref="K246" si="42">J246+1</f>
        <v>2029</v>
      </c>
      <c r="L246" s="11">
        <f t="shared" ref="L246" si="43">K246+1</f>
        <v>2030</v>
      </c>
      <c r="M246" s="11">
        <f t="shared" ref="M246" si="44">L246+1</f>
        <v>2031</v>
      </c>
    </row>
    <row r="247" spans="1:14" x14ac:dyDescent="0.5">
      <c r="B247" s="64" t="s">
        <v>215</v>
      </c>
      <c r="C247" s="64" t="s">
        <v>24</v>
      </c>
      <c r="D247" s="64"/>
      <c r="E247" s="64" t="s">
        <v>216</v>
      </c>
      <c r="F247" s="141">
        <v>1</v>
      </c>
      <c r="G247" s="75">
        <f>F247*(1+Scaling!E6)</f>
        <v>1.0345276884145502</v>
      </c>
      <c r="H247" s="75">
        <f>G247*(1+Scaling!F6)</f>
        <v>1.0601852428298773</v>
      </c>
      <c r="I247" s="75">
        <f>H247*(1+Scaling!G6)</f>
        <v>1.0815505101814584</v>
      </c>
      <c r="J247" s="75">
        <f>I247*(1+Scaling!H6)</f>
        <v>1.1035605361149599</v>
      </c>
      <c r="K247" s="75">
        <f>J247*(1+Scaling!I6)</f>
        <v>1.126052668387856</v>
      </c>
      <c r="L247" s="75">
        <f>K247*(1+Scaling!J6)</f>
        <v>1.1486085868425</v>
      </c>
      <c r="M247" s="75">
        <f>L247*(1+Scaling!K6)</f>
        <v>1.1716163220474749</v>
      </c>
    </row>
    <row r="250" spans="1:14" ht="19" thickBot="1" x14ac:dyDescent="0.55000000000000004">
      <c r="A250" s="14" t="s">
        <v>189</v>
      </c>
    </row>
    <row r="251" spans="1:14" ht="17" thickTop="1" x14ac:dyDescent="0.5"/>
    <row r="252" spans="1:14" ht="17" thickBot="1" x14ac:dyDescent="0.55000000000000004">
      <c r="B252" s="27" t="s">
        <v>95</v>
      </c>
      <c r="C252" s="27" t="s">
        <v>96</v>
      </c>
      <c r="D252" s="27" t="s">
        <v>97</v>
      </c>
      <c r="E252" s="50" t="s">
        <v>98</v>
      </c>
      <c r="F252" s="11">
        <v>2024</v>
      </c>
      <c r="G252" s="11">
        <v>2025</v>
      </c>
      <c r="H252" s="11">
        <f t="shared" ref="H252" si="45">G252+1</f>
        <v>2026</v>
      </c>
      <c r="I252" s="11">
        <f t="shared" ref="I252" si="46">H252+1</f>
        <v>2027</v>
      </c>
      <c r="J252" s="11">
        <f t="shared" ref="J252" si="47">I252+1</f>
        <v>2028</v>
      </c>
      <c r="K252" s="11">
        <f t="shared" ref="K252" si="48">J252+1</f>
        <v>2029</v>
      </c>
      <c r="L252" s="11">
        <f t="shared" ref="L252" si="49">K252+1</f>
        <v>2030</v>
      </c>
      <c r="M252" s="11">
        <f t="shared" ref="M252" si="50">L252+1</f>
        <v>2031</v>
      </c>
      <c r="N252" s="27" t="s">
        <v>190</v>
      </c>
    </row>
    <row r="253" spans="1:14" x14ac:dyDescent="0.5">
      <c r="B253" s="8" t="s">
        <v>101</v>
      </c>
      <c r="C253" s="29" t="s">
        <v>102</v>
      </c>
      <c r="D253" s="29" t="s">
        <v>217</v>
      </c>
      <c r="E253" s="51" t="s">
        <v>104</v>
      </c>
      <c r="F253" s="105">
        <f>F108*F$247</f>
        <v>173.62</v>
      </c>
      <c r="G253" s="105">
        <f>G108*G$247</f>
        <v>181.11223105982407</v>
      </c>
      <c r="H253" s="105">
        <f t="shared" ref="H253:M253" si="51">H108*H$247</f>
        <v>185.97717515324055</v>
      </c>
      <c r="I253" s="105">
        <f t="shared" si="51"/>
        <v>188.48797655276212</v>
      </c>
      <c r="J253" s="105">
        <f t="shared" si="51"/>
        <v>191.09150390957672</v>
      </c>
      <c r="K253" s="105">
        <f t="shared" si="51"/>
        <v>193.98992378823579</v>
      </c>
      <c r="L253" s="105">
        <f t="shared" si="51"/>
        <v>197.13527512035398</v>
      </c>
      <c r="M253" s="105">
        <f t="shared" si="51"/>
        <v>200.23468524152602</v>
      </c>
      <c r="N253" s="105">
        <f>SUM(I253:M253)</f>
        <v>970.9393646124546</v>
      </c>
    </row>
    <row r="254" spans="1:14" x14ac:dyDescent="0.5">
      <c r="B254" s="8" t="s">
        <v>105</v>
      </c>
      <c r="C254" s="29" t="s">
        <v>102</v>
      </c>
      <c r="D254" s="29" t="s">
        <v>217</v>
      </c>
      <c r="E254" s="51" t="s">
        <v>104</v>
      </c>
      <c r="F254" s="105">
        <f t="shared" ref="F254:M254" si="52">F109*F$247</f>
        <v>25.84083912086221</v>
      </c>
      <c r="G254" s="105">
        <f t="shared" si="52"/>
        <v>26.955949923035003</v>
      </c>
      <c r="H254" s="105">
        <f t="shared" si="52"/>
        <v>27.680026859159671</v>
      </c>
      <c r="I254" s="105">
        <f t="shared" si="52"/>
        <v>28.053723524460178</v>
      </c>
      <c r="J254" s="105">
        <f t="shared" si="52"/>
        <v>28.441221114451015</v>
      </c>
      <c r="K254" s="105">
        <f t="shared" si="52"/>
        <v>28.872609213685767</v>
      </c>
      <c r="L254" s="105">
        <f t="shared" si="52"/>
        <v>29.34074950715344</v>
      </c>
      <c r="M254" s="105">
        <f t="shared" si="52"/>
        <v>29.802052112330141</v>
      </c>
      <c r="N254" s="105">
        <f t="shared" ref="N254:N289" si="53">SUM(I254:M254)</f>
        <v>144.51035547208053</v>
      </c>
    </row>
    <row r="255" spans="1:14" x14ac:dyDescent="0.5">
      <c r="B255" s="8" t="s">
        <v>106</v>
      </c>
      <c r="C255" s="29" t="s">
        <v>102</v>
      </c>
      <c r="D255" s="29" t="s">
        <v>217</v>
      </c>
      <c r="E255" s="51" t="s">
        <v>104</v>
      </c>
      <c r="F255" s="105">
        <f t="shared" ref="F255:M255" si="54">F110*F$247</f>
        <v>20.355502456178893</v>
      </c>
      <c r="G255" s="105">
        <f t="shared" si="54"/>
        <v>21.233904297789934</v>
      </c>
      <c r="H255" s="105">
        <f t="shared" si="54"/>
        <v>21.804278571737132</v>
      </c>
      <c r="I255" s="105">
        <f t="shared" si="54"/>
        <v>22.098649174518719</v>
      </c>
      <c r="J255" s="105">
        <f t="shared" si="54"/>
        <v>22.403891125367522</v>
      </c>
      <c r="K255" s="105">
        <f t="shared" si="54"/>
        <v>22.743706774250612</v>
      </c>
      <c r="L255" s="105">
        <f t="shared" si="54"/>
        <v>23.112473084390452</v>
      </c>
      <c r="M255" s="105">
        <f t="shared" si="54"/>
        <v>23.475853169255231</v>
      </c>
      <c r="N255" s="105">
        <f t="shared" si="53"/>
        <v>113.83457332778252</v>
      </c>
    </row>
    <row r="256" spans="1:14" x14ac:dyDescent="0.5">
      <c r="B256" s="8" t="s">
        <v>107</v>
      </c>
      <c r="C256" s="29" t="s">
        <v>102</v>
      </c>
      <c r="D256" s="29" t="s">
        <v>217</v>
      </c>
      <c r="E256" s="51" t="s">
        <v>104</v>
      </c>
      <c r="F256" s="105">
        <f t="shared" ref="F256:M256" si="55">F111*F$247</f>
        <v>55.434541222423192</v>
      </c>
      <c r="G256" s="105">
        <f t="shared" si="55"/>
        <v>57.82671027860183</v>
      </c>
      <c r="H256" s="105">
        <f t="shared" si="55"/>
        <v>59.380021785866447</v>
      </c>
      <c r="I256" s="105">
        <f t="shared" si="55"/>
        <v>60.181687053019409</v>
      </c>
      <c r="J256" s="105">
        <f t="shared" si="55"/>
        <v>61.012958476732379</v>
      </c>
      <c r="K256" s="105">
        <f t="shared" si="55"/>
        <v>61.938385134049597</v>
      </c>
      <c r="L256" s="105">
        <f t="shared" si="55"/>
        <v>62.942653698035961</v>
      </c>
      <c r="M256" s="105">
        <f t="shared" si="55"/>
        <v>63.932253848521547</v>
      </c>
      <c r="N256" s="105">
        <f t="shared" si="53"/>
        <v>310.00793821035887</v>
      </c>
    </row>
    <row r="257" spans="2:14" x14ac:dyDescent="0.5">
      <c r="B257" s="8" t="s">
        <v>108</v>
      </c>
      <c r="C257" s="29" t="s">
        <v>102</v>
      </c>
      <c r="D257" s="29" t="s">
        <v>217</v>
      </c>
      <c r="E257" s="51" t="s">
        <v>104</v>
      </c>
      <c r="F257" s="105">
        <f t="shared" ref="F257:M257" si="56">F112*F$247</f>
        <v>21.239117200535723</v>
      </c>
      <c r="G257" s="105">
        <f t="shared" si="56"/>
        <v>22.155649705852497</v>
      </c>
      <c r="H257" s="105">
        <f t="shared" si="56"/>
        <v>22.750783433384623</v>
      </c>
      <c r="I257" s="105">
        <f t="shared" si="56"/>
        <v>23.057932409261298</v>
      </c>
      <c r="J257" s="105">
        <f t="shared" si="56"/>
        <v>23.376424649015856</v>
      </c>
      <c r="K257" s="105">
        <f t="shared" si="56"/>
        <v>23.730991401113556</v>
      </c>
      <c r="L257" s="105">
        <f t="shared" si="56"/>
        <v>24.115765537616955</v>
      </c>
      <c r="M257" s="105">
        <f t="shared" si="56"/>
        <v>24.494919637467774</v>
      </c>
      <c r="N257" s="105">
        <f t="shared" si="53"/>
        <v>118.77603363447544</v>
      </c>
    </row>
    <row r="258" spans="2:14" x14ac:dyDescent="0.5">
      <c r="B258" s="8" t="s">
        <v>109</v>
      </c>
      <c r="C258" s="29" t="s">
        <v>102</v>
      </c>
      <c r="D258" s="29" t="s">
        <v>217</v>
      </c>
      <c r="E258" s="51" t="s">
        <v>104</v>
      </c>
      <c r="F258" s="105">
        <f t="shared" ref="F258:M258" si="57">F113*F$247</f>
        <v>149.02000000000001</v>
      </c>
      <c r="G258" s="105">
        <f t="shared" si="57"/>
        <v>155.45066623969004</v>
      </c>
      <c r="H258" s="105">
        <f t="shared" si="57"/>
        <v>159.62630250740648</v>
      </c>
      <c r="I258" s="105">
        <f t="shared" si="57"/>
        <v>161.78135160633923</v>
      </c>
      <c r="J258" s="105">
        <f t="shared" si="57"/>
        <v>164.01598843799752</v>
      </c>
      <c r="K258" s="105">
        <f t="shared" si="57"/>
        <v>166.50373484001213</v>
      </c>
      <c r="L258" s="105">
        <f t="shared" si="57"/>
        <v>169.20342528761182</v>
      </c>
      <c r="M258" s="105">
        <f t="shared" si="57"/>
        <v>171.86368387681273</v>
      </c>
      <c r="N258" s="105">
        <f t="shared" si="53"/>
        <v>833.3681840487734</v>
      </c>
    </row>
    <row r="259" spans="2:14" x14ac:dyDescent="0.5">
      <c r="B259" s="8" t="s">
        <v>110</v>
      </c>
      <c r="C259" s="29" t="s">
        <v>102</v>
      </c>
      <c r="D259" s="29" t="s">
        <v>217</v>
      </c>
      <c r="E259" s="51" t="s">
        <v>104</v>
      </c>
      <c r="F259" s="105">
        <f t="shared" ref="F259:M259" si="58">F114*F$247</f>
        <v>0</v>
      </c>
      <c r="G259" s="105">
        <f t="shared" si="58"/>
        <v>0</v>
      </c>
      <c r="H259" s="105">
        <f t="shared" si="58"/>
        <v>0</v>
      </c>
      <c r="I259" s="105">
        <f t="shared" si="58"/>
        <v>0</v>
      </c>
      <c r="J259" s="105">
        <f t="shared" si="58"/>
        <v>0</v>
      </c>
      <c r="K259" s="105">
        <f t="shared" si="58"/>
        <v>0</v>
      </c>
      <c r="L259" s="105">
        <f t="shared" si="58"/>
        <v>0</v>
      </c>
      <c r="M259" s="105">
        <f t="shared" si="58"/>
        <v>0</v>
      </c>
      <c r="N259" s="105">
        <f t="shared" si="53"/>
        <v>0</v>
      </c>
    </row>
    <row r="260" spans="2:14" x14ac:dyDescent="0.5">
      <c r="B260" s="8" t="s">
        <v>111</v>
      </c>
      <c r="C260" s="29" t="s">
        <v>102</v>
      </c>
      <c r="D260" s="29" t="s">
        <v>217</v>
      </c>
      <c r="E260" s="51" t="s">
        <v>112</v>
      </c>
      <c r="F260" s="105">
        <f t="shared" ref="F260:M260" si="59">F115*F$247</f>
        <v>83.700355058898367</v>
      </c>
      <c r="G260" s="105">
        <f t="shared" si="59"/>
        <v>85.951843038164981</v>
      </c>
      <c r="H260" s="105">
        <f t="shared" si="59"/>
        <v>87.3180902892219</v>
      </c>
      <c r="I260" s="105">
        <f t="shared" si="59"/>
        <v>88.219631056093291</v>
      </c>
      <c r="J260" s="105">
        <f t="shared" si="59"/>
        <v>89.123353962090818</v>
      </c>
      <c r="K260" s="105">
        <f t="shared" si="59"/>
        <v>90.054032989660385</v>
      </c>
      <c r="L260" s="105">
        <f t="shared" si="59"/>
        <v>90.984934886436747</v>
      </c>
      <c r="M260" s="105">
        <f t="shared" si="59"/>
        <v>91.925459654201262</v>
      </c>
      <c r="N260" s="105">
        <f t="shared" si="53"/>
        <v>450.30741254848249</v>
      </c>
    </row>
    <row r="261" spans="2:14" x14ac:dyDescent="0.5">
      <c r="B261" s="8" t="s">
        <v>113</v>
      </c>
      <c r="C261" s="29" t="s">
        <v>102</v>
      </c>
      <c r="D261" s="29" t="s">
        <v>217</v>
      </c>
      <c r="E261" s="51" t="s">
        <v>112</v>
      </c>
      <c r="F261" s="105">
        <f t="shared" ref="F261:M261" si="60">F116*F$247</f>
        <v>78.455537278967029</v>
      </c>
      <c r="G261" s="105">
        <f t="shared" si="60"/>
        <v>80.565942891538199</v>
      </c>
      <c r="H261" s="105">
        <f t="shared" si="60"/>
        <v>81.846578583730349</v>
      </c>
      <c r="I261" s="105">
        <f t="shared" si="60"/>
        <v>82.691627152449271</v>
      </c>
      <c r="J261" s="105">
        <f t="shared" si="60"/>
        <v>83.538721123453968</v>
      </c>
      <c r="K261" s="105">
        <f t="shared" si="60"/>
        <v>84.411082096007277</v>
      </c>
      <c r="L261" s="105">
        <f t="shared" si="60"/>
        <v>85.283651972374074</v>
      </c>
      <c r="M261" s="105">
        <f t="shared" si="60"/>
        <v>86.165241732981613</v>
      </c>
      <c r="N261" s="105">
        <f t="shared" si="53"/>
        <v>422.09032407726619</v>
      </c>
    </row>
    <row r="262" spans="2:14" x14ac:dyDescent="0.5">
      <c r="B262" s="8" t="s">
        <v>114</v>
      </c>
      <c r="C262" s="29" t="s">
        <v>102</v>
      </c>
      <c r="D262" s="29" t="s">
        <v>217</v>
      </c>
      <c r="E262" s="51" t="s">
        <v>112</v>
      </c>
      <c r="F262" s="105">
        <f t="shared" ref="F262:M262" si="61">F117*F$247</f>
        <v>21.555553855777173</v>
      </c>
      <c r="G262" s="105">
        <f t="shared" si="61"/>
        <v>22.135384973083255</v>
      </c>
      <c r="H262" s="105">
        <f t="shared" si="61"/>
        <v>22.487237915400417</v>
      </c>
      <c r="I262" s="105">
        <f t="shared" si="61"/>
        <v>22.719413878570467</v>
      </c>
      <c r="J262" s="105">
        <f t="shared" si="61"/>
        <v>22.952151813280793</v>
      </c>
      <c r="K262" s="105">
        <f t="shared" si="61"/>
        <v>23.191831822847078</v>
      </c>
      <c r="L262" s="105">
        <f t="shared" si="61"/>
        <v>23.431569228456507</v>
      </c>
      <c r="M262" s="105">
        <f t="shared" si="61"/>
        <v>23.673784835188098</v>
      </c>
      <c r="N262" s="105">
        <f t="shared" si="53"/>
        <v>115.96875157834295</v>
      </c>
    </row>
    <row r="263" spans="2:14" x14ac:dyDescent="0.5">
      <c r="B263" s="8" t="s">
        <v>115</v>
      </c>
      <c r="C263" s="29" t="s">
        <v>102</v>
      </c>
      <c r="D263" s="29" t="s">
        <v>217</v>
      </c>
      <c r="E263" s="51" t="s">
        <v>112</v>
      </c>
      <c r="F263" s="105">
        <f t="shared" ref="F263:M263" si="62">F118*F$247</f>
        <v>51.708553806357429</v>
      </c>
      <c r="G263" s="105">
        <f t="shared" si="62"/>
        <v>52.958991334144841</v>
      </c>
      <c r="H263" s="105">
        <f t="shared" si="62"/>
        <v>53.72971482467068</v>
      </c>
      <c r="I263" s="105">
        <f t="shared" si="62"/>
        <v>54.264372065923183</v>
      </c>
      <c r="J263" s="105">
        <f t="shared" si="62"/>
        <v>54.814989014036044</v>
      </c>
      <c r="K263" s="105">
        <f t="shared" si="62"/>
        <v>55.37287443746682</v>
      </c>
      <c r="L263" s="105">
        <f t="shared" si="62"/>
        <v>55.91722592922968</v>
      </c>
      <c r="M263" s="105">
        <f t="shared" si="62"/>
        <v>56.466928751397447</v>
      </c>
      <c r="N263" s="105">
        <f t="shared" si="53"/>
        <v>276.83639019805321</v>
      </c>
    </row>
    <row r="264" spans="2:14" x14ac:dyDescent="0.5">
      <c r="B264" s="8" t="s">
        <v>116</v>
      </c>
      <c r="C264" s="29" t="s">
        <v>102</v>
      </c>
      <c r="D264" s="29" t="s">
        <v>217</v>
      </c>
      <c r="E264" s="51" t="s">
        <v>117</v>
      </c>
      <c r="F264" s="105">
        <f t="shared" ref="F264:M264" si="63">F119*F$247</f>
        <v>116.37</v>
      </c>
      <c r="G264" s="116"/>
      <c r="H264" s="116"/>
      <c r="I264" s="105">
        <f t="shared" si="63"/>
        <v>172.46274604072133</v>
      </c>
      <c r="J264" s="105">
        <f t="shared" si="63"/>
        <v>222.76506987947477</v>
      </c>
      <c r="K264" s="105">
        <f t="shared" si="63"/>
        <v>227.3055376039743</v>
      </c>
      <c r="L264" s="105">
        <f t="shared" si="63"/>
        <v>231.85888919817938</v>
      </c>
      <c r="M264" s="105">
        <f t="shared" si="63"/>
        <v>236.50345287175196</v>
      </c>
      <c r="N264" s="105">
        <f t="shared" si="53"/>
        <v>1090.8956955941019</v>
      </c>
    </row>
    <row r="265" spans="2:14" x14ac:dyDescent="0.5">
      <c r="B265" s="8" t="s">
        <v>118</v>
      </c>
      <c r="C265" s="29" t="s">
        <v>102</v>
      </c>
      <c r="D265" s="29" t="s">
        <v>217</v>
      </c>
      <c r="E265" s="51" t="s">
        <v>119</v>
      </c>
      <c r="F265" s="105">
        <f t="shared" ref="F265:M265" si="64">F120*F$247</f>
        <v>89.82459649628116</v>
      </c>
      <c r="G265" s="105">
        <f t="shared" si="64"/>
        <v>93.103603961442772</v>
      </c>
      <c r="H265" s="105">
        <f t="shared" si="64"/>
        <v>95.778223654695211</v>
      </c>
      <c r="I265" s="105">
        <f t="shared" si="64"/>
        <v>97.825437976817653</v>
      </c>
      <c r="J265" s="105">
        <f t="shared" si="64"/>
        <v>100.11832010206611</v>
      </c>
      <c r="K265" s="105">
        <f t="shared" si="64"/>
        <v>102.49548094875776</v>
      </c>
      <c r="L265" s="105">
        <f t="shared" si="64"/>
        <v>104.88065842023963</v>
      </c>
      <c r="M265" s="105">
        <f t="shared" si="64"/>
        <v>107.26940897735359</v>
      </c>
      <c r="N265" s="105">
        <f t="shared" si="53"/>
        <v>512.58930642523478</v>
      </c>
    </row>
    <row r="266" spans="2:14" x14ac:dyDescent="0.5">
      <c r="B266" s="8" t="s">
        <v>120</v>
      </c>
      <c r="C266" s="29" t="s">
        <v>102</v>
      </c>
      <c r="D266" s="29" t="s">
        <v>217</v>
      </c>
      <c r="E266" s="51" t="s">
        <v>119</v>
      </c>
      <c r="F266" s="105">
        <f t="shared" ref="F266:M266" si="65">F121*F$247</f>
        <v>5.1096001064851384</v>
      </c>
      <c r="G266" s="105">
        <f t="shared" si="65"/>
        <v>5.2961238154321535</v>
      </c>
      <c r="H266" s="105">
        <f t="shared" si="65"/>
        <v>5.4482674108672375</v>
      </c>
      <c r="I266" s="105">
        <f t="shared" si="65"/>
        <v>5.5647215551254625</v>
      </c>
      <c r="J266" s="105">
        <f t="shared" si="65"/>
        <v>5.6951503152681537</v>
      </c>
      <c r="K266" s="105">
        <f t="shared" si="65"/>
        <v>5.8303732028643243</v>
      </c>
      <c r="L266" s="105">
        <f t="shared" si="65"/>
        <v>5.9660521097300432</v>
      </c>
      <c r="M266" s="105">
        <f t="shared" si="65"/>
        <v>6.1019342687052989</v>
      </c>
      <c r="N266" s="105">
        <f t="shared" si="53"/>
        <v>29.158231451693283</v>
      </c>
    </row>
    <row r="267" spans="2:14" x14ac:dyDescent="0.5">
      <c r="B267" s="8" t="s">
        <v>121</v>
      </c>
      <c r="C267" s="29" t="s">
        <v>102</v>
      </c>
      <c r="D267" s="29" t="s">
        <v>217</v>
      </c>
      <c r="E267" s="51" t="s">
        <v>119</v>
      </c>
      <c r="F267" s="105">
        <f t="shared" ref="F267:M267" si="66">F122*F$247</f>
        <v>5.4366067539086433</v>
      </c>
      <c r="G267" s="105">
        <f t="shared" si="66"/>
        <v>5.635067696975085</v>
      </c>
      <c r="H267" s="105">
        <f t="shared" si="66"/>
        <v>5.7969482514741548</v>
      </c>
      <c r="I267" s="105">
        <f t="shared" si="66"/>
        <v>5.9208552841187183</v>
      </c>
      <c r="J267" s="105">
        <f t="shared" si="66"/>
        <v>6.0596312868426292</v>
      </c>
      <c r="K267" s="105">
        <f t="shared" si="66"/>
        <v>6.2035082338967262</v>
      </c>
      <c r="L267" s="105">
        <f t="shared" si="66"/>
        <v>6.3478703847611149</v>
      </c>
      <c r="M267" s="105">
        <f t="shared" si="66"/>
        <v>6.4924487955613959</v>
      </c>
      <c r="N267" s="105">
        <f t="shared" si="53"/>
        <v>31.024313985180584</v>
      </c>
    </row>
    <row r="268" spans="2:14" x14ac:dyDescent="0.5">
      <c r="B268" s="8" t="s">
        <v>122</v>
      </c>
      <c r="C268" s="29" t="s">
        <v>102</v>
      </c>
      <c r="D268" s="29" t="s">
        <v>217</v>
      </c>
      <c r="E268" s="51" t="s">
        <v>119</v>
      </c>
      <c r="F268" s="105">
        <f t="shared" ref="F268:M268" si="67">F123*F$247</f>
        <v>5.465301060181778</v>
      </c>
      <c r="G268" s="105">
        <f t="shared" si="67"/>
        <v>5.6648094763028984</v>
      </c>
      <c r="H268" s="105">
        <f t="shared" si="67"/>
        <v>5.827544433266727</v>
      </c>
      <c r="I268" s="105">
        <f t="shared" si="67"/>
        <v>5.9521054448553334</v>
      </c>
      <c r="J268" s="105">
        <f t="shared" si="67"/>
        <v>6.0916139046624549</v>
      </c>
      <c r="K268" s="105">
        <f t="shared" si="67"/>
        <v>6.236250231486193</v>
      </c>
      <c r="L268" s="105">
        <f t="shared" si="67"/>
        <v>6.3813743230166375</v>
      </c>
      <c r="M268" s="105">
        <f t="shared" si="67"/>
        <v>6.526715815898771</v>
      </c>
      <c r="N268" s="105">
        <f t="shared" si="53"/>
        <v>31.188059719919391</v>
      </c>
    </row>
    <row r="269" spans="2:14" x14ac:dyDescent="0.5">
      <c r="B269" s="8" t="s">
        <v>123</v>
      </c>
      <c r="C269" s="29" t="s">
        <v>102</v>
      </c>
      <c r="D269" s="29" t="s">
        <v>217</v>
      </c>
      <c r="E269" s="51" t="s">
        <v>119</v>
      </c>
      <c r="F269" s="105">
        <f t="shared" ref="F269:M269" si="68">F124*F$247</f>
        <v>3.5738955831432722</v>
      </c>
      <c r="G269" s="105">
        <f t="shared" si="68"/>
        <v>3.7043590725876152</v>
      </c>
      <c r="H269" s="105">
        <f t="shared" si="68"/>
        <v>3.8107754872574948</v>
      </c>
      <c r="I269" s="105">
        <f t="shared" si="68"/>
        <v>3.8922290145648399</v>
      </c>
      <c r="J269" s="105">
        <f t="shared" si="68"/>
        <v>3.983457048084956</v>
      </c>
      <c r="K269" s="105">
        <f t="shared" si="68"/>
        <v>4.0780383207184956</v>
      </c>
      <c r="L269" s="105">
        <f t="shared" si="68"/>
        <v>4.1729385547617932</v>
      </c>
      <c r="M269" s="105">
        <f t="shared" si="68"/>
        <v>4.2679809529278021</v>
      </c>
      <c r="N269" s="105">
        <f t="shared" si="53"/>
        <v>20.394643891057889</v>
      </c>
    </row>
    <row r="270" spans="2:14" x14ac:dyDescent="0.5">
      <c r="B270" s="8" t="s">
        <v>124</v>
      </c>
      <c r="C270" s="29" t="s">
        <v>102</v>
      </c>
      <c r="D270" s="29" t="s">
        <v>217</v>
      </c>
      <c r="E270" s="51" t="s">
        <v>124</v>
      </c>
      <c r="F270" s="105">
        <f t="shared" ref="F270:M270" si="69">F125*F$247</f>
        <v>33.119999999999997</v>
      </c>
      <c r="G270" s="105">
        <f t="shared" si="69"/>
        <v>34.553007609309532</v>
      </c>
      <c r="H270" s="105">
        <f t="shared" si="69"/>
        <v>35.83541246764932</v>
      </c>
      <c r="I270" s="105">
        <f t="shared" si="69"/>
        <v>36.956438562916972</v>
      </c>
      <c r="J270" s="105">
        <f t="shared" si="69"/>
        <v>38.017091745849477</v>
      </c>
      <c r="K270" s="105">
        <f t="shared" si="69"/>
        <v>39.121481550349088</v>
      </c>
      <c r="L270" s="105">
        <f t="shared" si="69"/>
        <v>40.025538928161346</v>
      </c>
      <c r="M270" s="105">
        <f t="shared" si="69"/>
        <v>40.950488146210404</v>
      </c>
      <c r="N270" s="105">
        <f t="shared" si="53"/>
        <v>195.07103893348727</v>
      </c>
    </row>
    <row r="271" spans="2:14" x14ac:dyDescent="0.5">
      <c r="B271" s="8" t="s">
        <v>125</v>
      </c>
      <c r="C271" s="29" t="s">
        <v>102</v>
      </c>
      <c r="D271" s="29" t="s">
        <v>217</v>
      </c>
      <c r="E271" s="51" t="s">
        <v>125</v>
      </c>
      <c r="F271" s="105">
        <f t="shared" ref="F271:M271" si="70">F126*F$247</f>
        <v>25.64</v>
      </c>
      <c r="G271" s="105">
        <f t="shared" si="70"/>
        <v>26.260037031639577</v>
      </c>
      <c r="H271" s="105">
        <f t="shared" si="70"/>
        <v>26.642204948597509</v>
      </c>
      <c r="I271" s="105">
        <f t="shared" si="70"/>
        <v>26.90731798419025</v>
      </c>
      <c r="J271" s="105">
        <f t="shared" si="70"/>
        <v>27.18034473722</v>
      </c>
      <c r="K271" s="105">
        <f t="shared" si="70"/>
        <v>27.456975607817011</v>
      </c>
      <c r="L271" s="105">
        <f t="shared" si="70"/>
        <v>27.726895596317711</v>
      </c>
      <c r="M271" s="105">
        <f t="shared" si="70"/>
        <v>27.999469074453714</v>
      </c>
      <c r="N271" s="105">
        <f t="shared" si="53"/>
        <v>137.2710029999987</v>
      </c>
    </row>
    <row r="272" spans="2:14" x14ac:dyDescent="0.5">
      <c r="B272" s="8" t="s">
        <v>126</v>
      </c>
      <c r="C272" s="29" t="s">
        <v>102</v>
      </c>
      <c r="D272" s="29" t="s">
        <v>217</v>
      </c>
      <c r="E272" s="51" t="s">
        <v>127</v>
      </c>
      <c r="F272" s="105">
        <f t="shared" ref="F272:M272" si="71">F127*F$247</f>
        <v>46.830990901617803</v>
      </c>
      <c r="G272" s="105">
        <f t="shared" si="71"/>
        <v>48.039854791496573</v>
      </c>
      <c r="H272" s="105">
        <f t="shared" si="71"/>
        <v>48.894592611173273</v>
      </c>
      <c r="I272" s="105">
        <f t="shared" si="71"/>
        <v>49.430434811545155</v>
      </c>
      <c r="J272" s="105">
        <f t="shared" si="71"/>
        <v>50.057933900406702</v>
      </c>
      <c r="K272" s="105">
        <f t="shared" si="71"/>
        <v>50.706250946393538</v>
      </c>
      <c r="L272" s="105">
        <f t="shared" si="71"/>
        <v>51.340267968705724</v>
      </c>
      <c r="M272" s="105">
        <f t="shared" si="71"/>
        <v>51.96123979073635</v>
      </c>
      <c r="N272" s="105">
        <f t="shared" si="53"/>
        <v>253.49612741778748</v>
      </c>
    </row>
    <row r="273" spans="2:14" x14ac:dyDescent="0.5">
      <c r="B273" s="8" t="s">
        <v>128</v>
      </c>
      <c r="C273" s="29" t="s">
        <v>102</v>
      </c>
      <c r="D273" s="29" t="s">
        <v>217</v>
      </c>
      <c r="E273" s="51" t="s">
        <v>127</v>
      </c>
      <c r="F273" s="105">
        <f t="shared" ref="F273:M273" si="72">F128*F$247</f>
        <v>41.886894598514523</v>
      </c>
      <c r="G273" s="105">
        <f t="shared" si="72"/>
        <v>42.968134891842446</v>
      </c>
      <c r="H273" s="105">
        <f t="shared" si="72"/>
        <v>43.732635327833115</v>
      </c>
      <c r="I273" s="105">
        <f t="shared" si="72"/>
        <v>44.211906966897196</v>
      </c>
      <c r="J273" s="105">
        <f t="shared" si="72"/>
        <v>44.773158985907962</v>
      </c>
      <c r="K273" s="105">
        <f t="shared" si="72"/>
        <v>45.353031144255404</v>
      </c>
      <c r="L273" s="105">
        <f t="shared" si="72"/>
        <v>45.920112977801175</v>
      </c>
      <c r="M273" s="105">
        <f t="shared" si="72"/>
        <v>46.47552683425122</v>
      </c>
      <c r="N273" s="105">
        <f t="shared" si="53"/>
        <v>226.73373690911296</v>
      </c>
    </row>
    <row r="274" spans="2:14" x14ac:dyDescent="0.5">
      <c r="B274" s="8" t="s">
        <v>129</v>
      </c>
      <c r="C274" s="29" t="s">
        <v>102</v>
      </c>
      <c r="D274" s="29" t="s">
        <v>217</v>
      </c>
      <c r="E274" s="51" t="s">
        <v>127</v>
      </c>
      <c r="F274" s="105">
        <f t="shared" ref="F274:M274" si="73">F129*F$247</f>
        <v>46.529227232190962</v>
      </c>
      <c r="G274" s="105">
        <f t="shared" si="73"/>
        <v>47.951886479211879</v>
      </c>
      <c r="H274" s="105">
        <f t="shared" si="73"/>
        <v>48.918057563648524</v>
      </c>
      <c r="I274" s="105">
        <f t="shared" si="73"/>
        <v>49.486198985838747</v>
      </c>
      <c r="J274" s="105">
        <f t="shared" si="73"/>
        <v>50.122834251985367</v>
      </c>
      <c r="K274" s="105">
        <f t="shared" si="73"/>
        <v>50.795299003110344</v>
      </c>
      <c r="L274" s="105">
        <f t="shared" si="73"/>
        <v>51.475571940899876</v>
      </c>
      <c r="M274" s="105">
        <f t="shared" si="73"/>
        <v>52.143908888073412</v>
      </c>
      <c r="N274" s="105">
        <f t="shared" si="53"/>
        <v>254.02381306990776</v>
      </c>
    </row>
    <row r="275" spans="2:14" x14ac:dyDescent="0.5">
      <c r="B275" s="8" t="s">
        <v>130</v>
      </c>
      <c r="C275" s="29" t="s">
        <v>102</v>
      </c>
      <c r="D275" s="29" t="s">
        <v>217</v>
      </c>
      <c r="E275" s="51" t="s">
        <v>127</v>
      </c>
      <c r="F275" s="105">
        <f t="shared" ref="F275:M275" si="74">F130*F$247</f>
        <v>15.365470678206</v>
      </c>
      <c r="G275" s="105">
        <f t="shared" si="74"/>
        <v>15.835279231786595</v>
      </c>
      <c r="H275" s="105">
        <f t="shared" si="74"/>
        <v>16.154340483200865</v>
      </c>
      <c r="I275" s="105">
        <f t="shared" si="74"/>
        <v>16.341959338768245</v>
      </c>
      <c r="J275" s="105">
        <f t="shared" si="74"/>
        <v>16.552197098915698</v>
      </c>
      <c r="K275" s="105">
        <f t="shared" si="74"/>
        <v>16.774266925349213</v>
      </c>
      <c r="L275" s="105">
        <f t="shared" si="74"/>
        <v>16.998915270068562</v>
      </c>
      <c r="M275" s="105">
        <f t="shared" si="74"/>
        <v>17.219621960805345</v>
      </c>
      <c r="N275" s="105">
        <f t="shared" si="53"/>
        <v>83.886960593907062</v>
      </c>
    </row>
    <row r="276" spans="2:14" x14ac:dyDescent="0.5">
      <c r="B276" s="8" t="s">
        <v>131</v>
      </c>
      <c r="C276" s="29" t="s">
        <v>102</v>
      </c>
      <c r="D276" s="29" t="s">
        <v>217</v>
      </c>
      <c r="E276" s="51" t="s">
        <v>127</v>
      </c>
      <c r="F276" s="105">
        <f t="shared" ref="F276:M276" si="75">F131*F$247</f>
        <v>19.939342353953492</v>
      </c>
      <c r="G276" s="105">
        <f t="shared" si="75"/>
        <v>20.548999798677659</v>
      </c>
      <c r="H276" s="105">
        <f t="shared" si="75"/>
        <v>20.963036677668519</v>
      </c>
      <c r="I276" s="105">
        <f t="shared" si="75"/>
        <v>21.20650442893767</v>
      </c>
      <c r="J276" s="105">
        <f t="shared" si="75"/>
        <v>21.479324101247112</v>
      </c>
      <c r="K276" s="105">
        <f t="shared" si="75"/>
        <v>21.767497915669946</v>
      </c>
      <c r="L276" s="105">
        <f t="shared" si="75"/>
        <v>22.059017801289944</v>
      </c>
      <c r="M276" s="105">
        <f t="shared" si="75"/>
        <v>22.345422712572663</v>
      </c>
      <c r="N276" s="105">
        <f t="shared" si="53"/>
        <v>108.85776695971734</v>
      </c>
    </row>
    <row r="277" spans="2:14" x14ac:dyDescent="0.5">
      <c r="B277" s="8" t="s">
        <v>132</v>
      </c>
      <c r="C277" s="29" t="s">
        <v>102</v>
      </c>
      <c r="D277" s="29" t="s">
        <v>217</v>
      </c>
      <c r="E277" s="51" t="s">
        <v>127</v>
      </c>
      <c r="F277" s="105">
        <f t="shared" ref="F277:M277" si="76">F132*F$247</f>
        <v>52.15</v>
      </c>
      <c r="G277" s="105">
        <f t="shared" si="76"/>
        <v>53.496165234675829</v>
      </c>
      <c r="H277" s="105">
        <f t="shared" si="76"/>
        <v>54.447983174846733</v>
      </c>
      <c r="I277" s="105">
        <f t="shared" si="76"/>
        <v>55.044685704761129</v>
      </c>
      <c r="J277" s="105">
        <f t="shared" si="76"/>
        <v>55.743455405211762</v>
      </c>
      <c r="K277" s="105">
        <f t="shared" si="76"/>
        <v>56.465407541976084</v>
      </c>
      <c r="L277" s="105">
        <f t="shared" si="76"/>
        <v>57.171435475124909</v>
      </c>
      <c r="M277" s="105">
        <f t="shared" si="76"/>
        <v>57.862936549422663</v>
      </c>
      <c r="N277" s="105">
        <f t="shared" si="53"/>
        <v>282.28792067649653</v>
      </c>
    </row>
    <row r="278" spans="2:14" x14ac:dyDescent="0.5">
      <c r="B278" s="8" t="s">
        <v>133</v>
      </c>
      <c r="C278" s="29" t="s">
        <v>102</v>
      </c>
      <c r="D278" s="29" t="s">
        <v>217</v>
      </c>
      <c r="E278" s="51" t="s">
        <v>127</v>
      </c>
      <c r="F278" s="105">
        <f t="shared" ref="F278:M278" si="77">F133*F$247</f>
        <v>40.697370387817642</v>
      </c>
      <c r="G278" s="105">
        <f t="shared" si="77"/>
        <v>41.941717086780379</v>
      </c>
      <c r="H278" s="105">
        <f t="shared" si="77"/>
        <v>42.786790706531235</v>
      </c>
      <c r="I278" s="105">
        <f t="shared" si="77"/>
        <v>43.283722705340367</v>
      </c>
      <c r="J278" s="105">
        <f t="shared" si="77"/>
        <v>43.84056370119491</v>
      </c>
      <c r="K278" s="105">
        <f t="shared" si="77"/>
        <v>44.428743404088216</v>
      </c>
      <c r="L278" s="105">
        <f t="shared" si="77"/>
        <v>45.023752635079184</v>
      </c>
      <c r="M278" s="105">
        <f t="shared" si="77"/>
        <v>45.608321902633371</v>
      </c>
      <c r="N278" s="105">
        <f t="shared" si="53"/>
        <v>222.18510434833604</v>
      </c>
    </row>
    <row r="279" spans="2:14" x14ac:dyDescent="0.5">
      <c r="B279" s="8" t="s">
        <v>134</v>
      </c>
      <c r="C279" s="29" t="s">
        <v>102</v>
      </c>
      <c r="D279" s="29" t="s">
        <v>217</v>
      </c>
      <c r="E279" s="51" t="s">
        <v>127</v>
      </c>
      <c r="F279" s="105">
        <f t="shared" ref="F279:M279" si="78">F134*F$247</f>
        <v>72.77</v>
      </c>
      <c r="G279" s="105">
        <f t="shared" si="78"/>
        <v>74.994986735521948</v>
      </c>
      <c r="H279" s="105">
        <f t="shared" si="78"/>
        <v>76.506042774849675</v>
      </c>
      <c r="I279" s="105">
        <f t="shared" si="78"/>
        <v>77.394595062349936</v>
      </c>
      <c r="J279" s="105">
        <f t="shared" si="78"/>
        <v>78.390269202526454</v>
      </c>
      <c r="K279" s="105">
        <f t="shared" si="78"/>
        <v>79.441979339365133</v>
      </c>
      <c r="L279" s="105">
        <f t="shared" si="78"/>
        <v>80.505901192954298</v>
      </c>
      <c r="M279" s="105">
        <f t="shared" si="78"/>
        <v>81.551155596237621</v>
      </c>
      <c r="N279" s="105">
        <f t="shared" si="53"/>
        <v>397.28390039343338</v>
      </c>
    </row>
    <row r="280" spans="2:14" x14ac:dyDescent="0.5">
      <c r="B280" s="8" t="s">
        <v>135</v>
      </c>
      <c r="C280" s="29" t="s">
        <v>102</v>
      </c>
      <c r="D280" s="29" t="s">
        <v>217</v>
      </c>
      <c r="E280" s="51" t="s">
        <v>127</v>
      </c>
      <c r="F280" s="105">
        <f t="shared" ref="F280:M280" si="79">F135*F$247</f>
        <v>9.1998842842854547</v>
      </c>
      <c r="G280" s="105">
        <f t="shared" si="79"/>
        <v>9.4811763071090347</v>
      </c>
      <c r="H280" s="105">
        <f t="shared" si="79"/>
        <v>9.6722102594092387</v>
      </c>
      <c r="I280" s="105">
        <f t="shared" si="79"/>
        <v>9.784544713518617</v>
      </c>
      <c r="J280" s="105">
        <f t="shared" si="79"/>
        <v>9.910421955163244</v>
      </c>
      <c r="K280" s="105">
        <f t="shared" si="79"/>
        <v>10.043383499199603</v>
      </c>
      <c r="L280" s="105">
        <f t="shared" si="79"/>
        <v>10.17788889895971</v>
      </c>
      <c r="M280" s="105">
        <f t="shared" si="79"/>
        <v>10.310034282467287</v>
      </c>
      <c r="N280" s="105">
        <f t="shared" si="53"/>
        <v>50.226273349308457</v>
      </c>
    </row>
    <row r="281" spans="2:14" x14ac:dyDescent="0.5">
      <c r="B281" s="8" t="s">
        <v>136</v>
      </c>
      <c r="C281" s="29" t="s">
        <v>102</v>
      </c>
      <c r="D281" s="29" t="s">
        <v>217</v>
      </c>
      <c r="E281" s="51" t="s">
        <v>127</v>
      </c>
      <c r="F281" s="105">
        <f t="shared" ref="F281:M281" si="80">F136*F$247</f>
        <v>36.398086173898001</v>
      </c>
      <c r="G281" s="105">
        <f t="shared" si="80"/>
        <v>37.510979659335796</v>
      </c>
      <c r="H281" s="105">
        <f t="shared" si="80"/>
        <v>38.266779411060952</v>
      </c>
      <c r="I281" s="105">
        <f t="shared" si="80"/>
        <v>38.711215342494896</v>
      </c>
      <c r="J281" s="105">
        <f t="shared" si="80"/>
        <v>39.209231463908488</v>
      </c>
      <c r="K281" s="105">
        <f t="shared" si="80"/>
        <v>39.735275660563914</v>
      </c>
      <c r="L281" s="105">
        <f t="shared" si="80"/>
        <v>40.267427911618356</v>
      </c>
      <c r="M281" s="105">
        <f t="shared" si="80"/>
        <v>40.790243080566455</v>
      </c>
      <c r="N281" s="105">
        <f t="shared" si="53"/>
        <v>198.71339345915212</v>
      </c>
    </row>
    <row r="282" spans="2:14" x14ac:dyDescent="0.5">
      <c r="B282" s="8" t="s">
        <v>137</v>
      </c>
      <c r="C282" s="29" t="s">
        <v>102</v>
      </c>
      <c r="D282" s="29" t="s">
        <v>217</v>
      </c>
      <c r="E282" s="51" t="s">
        <v>127</v>
      </c>
      <c r="F282" s="105">
        <f t="shared" ref="F282:M282" si="81">F137*F$247</f>
        <v>6.5094499466848186</v>
      </c>
      <c r="G282" s="105">
        <f t="shared" si="81"/>
        <v>6.7084803134144853</v>
      </c>
      <c r="H282" s="105">
        <f t="shared" si="81"/>
        <v>6.8436478777217511</v>
      </c>
      <c r="I282" s="105">
        <f t="shared" si="81"/>
        <v>6.9231309976955755</v>
      </c>
      <c r="J282" s="105">
        <f t="shared" si="81"/>
        <v>7.0121964227153297</v>
      </c>
      <c r="K282" s="105">
        <f t="shared" si="81"/>
        <v>7.106274401197842</v>
      </c>
      <c r="L282" s="105">
        <f t="shared" si="81"/>
        <v>7.2014447468502123</v>
      </c>
      <c r="M282" s="105">
        <f t="shared" si="81"/>
        <v>7.2949452445790106</v>
      </c>
      <c r="N282" s="105">
        <f t="shared" si="53"/>
        <v>35.537991813037969</v>
      </c>
    </row>
    <row r="283" spans="2:14" x14ac:dyDescent="0.5">
      <c r="B283" s="8" t="s">
        <v>138</v>
      </c>
      <c r="C283" s="29" t="s">
        <v>102</v>
      </c>
      <c r="D283" s="29" t="s">
        <v>217</v>
      </c>
      <c r="E283" s="51" t="s">
        <v>127</v>
      </c>
      <c r="F283" s="105">
        <f t="shared" ref="F283:M283" si="82">F138*F$247</f>
        <v>19.313214992805968</v>
      </c>
      <c r="G283" s="105">
        <f t="shared" si="82"/>
        <v>19.903728215002989</v>
      </c>
      <c r="H283" s="105">
        <f t="shared" si="82"/>
        <v>20.304763671285997</v>
      </c>
      <c r="I283" s="105">
        <f t="shared" si="82"/>
        <v>20.540586144294682</v>
      </c>
      <c r="J283" s="105">
        <f t="shared" si="82"/>
        <v>20.804838840900512</v>
      </c>
      <c r="K283" s="105">
        <f t="shared" si="82"/>
        <v>21.083963534907365</v>
      </c>
      <c r="L283" s="105">
        <f t="shared" si="82"/>
        <v>21.366329228103908</v>
      </c>
      <c r="M283" s="105">
        <f t="shared" si="82"/>
        <v>21.6437405653691</v>
      </c>
      <c r="N283" s="105">
        <f t="shared" si="53"/>
        <v>105.43945831357557</v>
      </c>
    </row>
    <row r="284" spans="2:14" x14ac:dyDescent="0.5">
      <c r="B284" s="8" t="s">
        <v>139</v>
      </c>
      <c r="C284" s="29" t="s">
        <v>102</v>
      </c>
      <c r="D284" s="29" t="s">
        <v>217</v>
      </c>
      <c r="E284" s="51" t="s">
        <v>127</v>
      </c>
      <c r="F284" s="105">
        <f t="shared" ref="F284:M284" si="83">F139*F$247</f>
        <v>26.563728097632794</v>
      </c>
      <c r="G284" s="105">
        <f t="shared" si="83"/>
        <v>27.511469846137015</v>
      </c>
      <c r="H284" s="105">
        <f t="shared" si="83"/>
        <v>28.135253293322265</v>
      </c>
      <c r="I284" s="105">
        <f t="shared" si="83"/>
        <v>28.481765583595426</v>
      </c>
      <c r="J284" s="105">
        <f t="shared" si="83"/>
        <v>28.853378184549179</v>
      </c>
      <c r="K284" s="105">
        <f t="shared" si="83"/>
        <v>29.254859971684738</v>
      </c>
      <c r="L284" s="105">
        <f t="shared" si="83"/>
        <v>29.674510179326802</v>
      </c>
      <c r="M284" s="105">
        <f t="shared" si="83"/>
        <v>30.08803587804578</v>
      </c>
      <c r="N284" s="105">
        <f t="shared" si="53"/>
        <v>146.35254979720193</v>
      </c>
    </row>
    <row r="285" spans="2:14" x14ac:dyDescent="0.5">
      <c r="B285" s="8" t="s">
        <v>140</v>
      </c>
      <c r="C285" s="29" t="s">
        <v>102</v>
      </c>
      <c r="D285" s="29" t="s">
        <v>217</v>
      </c>
      <c r="E285" s="51" t="s">
        <v>127</v>
      </c>
      <c r="F285" s="105">
        <f t="shared" ref="F285:M285" si="84">F140*F$247</f>
        <v>31.831154364883361</v>
      </c>
      <c r="G285" s="105">
        <f t="shared" si="84"/>
        <v>32.804411149797716</v>
      </c>
      <c r="H285" s="105">
        <f t="shared" si="84"/>
        <v>33.465379379038211</v>
      </c>
      <c r="I285" s="105">
        <f t="shared" si="84"/>
        <v>33.854051153460233</v>
      </c>
      <c r="J285" s="105">
        <f t="shared" si="84"/>
        <v>34.289580317306346</v>
      </c>
      <c r="K285" s="105">
        <f t="shared" si="84"/>
        <v>34.749620824559663</v>
      </c>
      <c r="L285" s="105">
        <f t="shared" si="84"/>
        <v>35.215002997897159</v>
      </c>
      <c r="M285" s="105">
        <f t="shared" si="84"/>
        <v>35.672219629221686</v>
      </c>
      <c r="N285" s="105">
        <f t="shared" si="53"/>
        <v>173.78047492244508</v>
      </c>
    </row>
    <row r="286" spans="2:14" x14ac:dyDescent="0.5">
      <c r="B286" s="8" t="s">
        <v>141</v>
      </c>
      <c r="C286" s="29" t="s">
        <v>102</v>
      </c>
      <c r="D286" s="29" t="s">
        <v>217</v>
      </c>
      <c r="E286" s="51" t="s">
        <v>127</v>
      </c>
      <c r="F286" s="105">
        <f t="shared" ref="F286:M286" si="85">F141*F$247</f>
        <v>11.440617504831115</v>
      </c>
      <c r="G286" s="105">
        <f t="shared" si="85"/>
        <v>11.7359379563791</v>
      </c>
      <c r="H286" s="105">
        <f t="shared" si="85"/>
        <v>11.944746872730615</v>
      </c>
      <c r="I286" s="105">
        <f t="shared" si="85"/>
        <v>12.075650907417396</v>
      </c>
      <c r="J286" s="105">
        <f t="shared" si="85"/>
        <v>12.228946341105241</v>
      </c>
      <c r="K286" s="105">
        <f t="shared" si="85"/>
        <v>12.387327515669307</v>
      </c>
      <c r="L286" s="105">
        <f t="shared" si="85"/>
        <v>12.542215253557748</v>
      </c>
      <c r="M286" s="105">
        <f t="shared" si="85"/>
        <v>12.69391610293877</v>
      </c>
      <c r="N286" s="105">
        <f t="shared" si="53"/>
        <v>61.928056120688467</v>
      </c>
    </row>
    <row r="287" spans="2:14" x14ac:dyDescent="0.5">
      <c r="B287" s="8" t="s">
        <v>142</v>
      </c>
      <c r="C287" s="29" t="s">
        <v>102</v>
      </c>
      <c r="D287" s="29" t="s">
        <v>217</v>
      </c>
      <c r="E287" s="51" t="s">
        <v>127</v>
      </c>
      <c r="F287" s="105">
        <f t="shared" ref="F287:M287" si="86">F142*F$247</f>
        <v>76.80292391608404</v>
      </c>
      <c r="G287" s="105">
        <f t="shared" si="86"/>
        <v>78.78546324680859</v>
      </c>
      <c r="H287" s="105">
        <f t="shared" si="86"/>
        <v>80.187235075013959</v>
      </c>
      <c r="I287" s="105">
        <f t="shared" si="86"/>
        <v>81.066017414525945</v>
      </c>
      <c r="J287" s="105">
        <f t="shared" si="86"/>
        <v>82.095117244604069</v>
      </c>
      <c r="K287" s="105">
        <f t="shared" si="86"/>
        <v>83.158358568304266</v>
      </c>
      <c r="L287" s="105">
        <f t="shared" si="86"/>
        <v>84.198147822997626</v>
      </c>
      <c r="M287" s="105">
        <f t="shared" si="86"/>
        <v>85.216542921697169</v>
      </c>
      <c r="N287" s="105">
        <f t="shared" si="53"/>
        <v>415.73418397212907</v>
      </c>
    </row>
    <row r="288" spans="2:14" ht="17" thickBot="1" x14ac:dyDescent="0.55000000000000004">
      <c r="B288" s="48" t="s">
        <v>191</v>
      </c>
      <c r="C288" s="37" t="s">
        <v>102</v>
      </c>
      <c r="D288" s="37" t="s">
        <v>217</v>
      </c>
      <c r="E288" s="52" t="s">
        <v>127</v>
      </c>
      <c r="F288" s="121"/>
      <c r="G288" s="106">
        <f t="shared" ref="G288:M288" si="87">G143*G$247</f>
        <v>0</v>
      </c>
      <c r="H288" s="106">
        <f t="shared" si="87"/>
        <v>0</v>
      </c>
      <c r="I288" s="106">
        <f t="shared" si="87"/>
        <v>8.1603696948344933</v>
      </c>
      <c r="J288" s="106">
        <f t="shared" si="87"/>
        <v>8.9590357807542365</v>
      </c>
      <c r="K288" s="106">
        <f t="shared" si="87"/>
        <v>9.1416336639004872</v>
      </c>
      <c r="L288" s="106">
        <f t="shared" si="87"/>
        <v>3.6292095576759058</v>
      </c>
      <c r="M288" s="106">
        <f t="shared" si="87"/>
        <v>3.7019061172026899</v>
      </c>
      <c r="N288" s="106">
        <f t="shared" si="53"/>
        <v>33.592154814367809</v>
      </c>
    </row>
    <row r="289" spans="1:14" x14ac:dyDescent="0.5">
      <c r="B289" s="35" t="s">
        <v>192</v>
      </c>
      <c r="C289" s="29" t="s">
        <v>102</v>
      </c>
      <c r="D289" s="29" t="s">
        <v>217</v>
      </c>
      <c r="E289" s="51"/>
      <c r="F289" s="105">
        <f t="shared" ref="F289:M289" si="88">F144*F$247</f>
        <v>1519.6983554334063</v>
      </c>
      <c r="G289" s="105">
        <f t="shared" si="88"/>
        <v>1450.7829533493925</v>
      </c>
      <c r="H289" s="105">
        <f t="shared" si="88"/>
        <v>1482.9630817369612</v>
      </c>
      <c r="I289" s="105">
        <f t="shared" si="88"/>
        <v>1683.0355562929838</v>
      </c>
      <c r="J289" s="105">
        <f t="shared" si="88"/>
        <v>1755.0043658438738</v>
      </c>
      <c r="K289" s="105">
        <f t="shared" si="88"/>
        <v>1781.9299920573881</v>
      </c>
      <c r="L289" s="105">
        <f t="shared" si="88"/>
        <v>1803.5950936257382</v>
      </c>
      <c r="M289" s="105">
        <f t="shared" si="88"/>
        <v>1830.7264798193657</v>
      </c>
      <c r="N289" s="105">
        <f t="shared" si="53"/>
        <v>8854.2914876393497</v>
      </c>
    </row>
    <row r="290" spans="1:14" x14ac:dyDescent="0.5">
      <c r="F290" s="119"/>
    </row>
    <row r="291" spans="1:14" ht="19" thickBot="1" x14ac:dyDescent="0.55000000000000004">
      <c r="A291" s="14" t="s">
        <v>193</v>
      </c>
    </row>
    <row r="292" spans="1:14" ht="17" thickTop="1" x14ac:dyDescent="0.5"/>
    <row r="293" spans="1:14" ht="17" thickBot="1" x14ac:dyDescent="0.55000000000000004">
      <c r="B293" s="27" t="s">
        <v>143</v>
      </c>
      <c r="C293" s="27" t="s">
        <v>96</v>
      </c>
      <c r="D293" s="27" t="s">
        <v>97</v>
      </c>
      <c r="E293" s="50" t="s">
        <v>144</v>
      </c>
      <c r="F293" s="11">
        <v>2024</v>
      </c>
      <c r="G293" s="11">
        <v>2025</v>
      </c>
      <c r="H293" s="11">
        <f>G293+1</f>
        <v>2026</v>
      </c>
      <c r="I293" s="11">
        <f t="shared" ref="I293" si="89">H293+1</f>
        <v>2027</v>
      </c>
      <c r="J293" s="11">
        <f t="shared" ref="J293" si="90">I293+1</f>
        <v>2028</v>
      </c>
      <c r="K293" s="11">
        <f t="shared" ref="K293" si="91">J293+1</f>
        <v>2029</v>
      </c>
      <c r="L293" s="11">
        <f t="shared" ref="L293" si="92">K293+1</f>
        <v>2030</v>
      </c>
      <c r="M293" s="11">
        <f>L293+1</f>
        <v>2031</v>
      </c>
      <c r="N293" s="27" t="s">
        <v>190</v>
      </c>
    </row>
    <row r="294" spans="1:14" x14ac:dyDescent="0.5">
      <c r="B294" s="8" t="s">
        <v>146</v>
      </c>
      <c r="C294" s="29" t="s">
        <v>102</v>
      </c>
      <c r="D294" s="29" t="s">
        <v>217</v>
      </c>
      <c r="E294" s="51" t="s">
        <v>147</v>
      </c>
      <c r="F294" s="105">
        <f t="shared" ref="F294:M294" si="93">F149*F$247</f>
        <v>97.046192679115435</v>
      </c>
      <c r="G294" s="105">
        <f t="shared" si="93"/>
        <v>101.03646658555368</v>
      </c>
      <c r="H294" s="105">
        <f t="shared" si="93"/>
        <v>104.8645668341847</v>
      </c>
      <c r="I294" s="105">
        <f t="shared" si="93"/>
        <v>107.40503485136389</v>
      </c>
      <c r="J294" s="105">
        <f t="shared" si="93"/>
        <v>110.69635471689021</v>
      </c>
      <c r="K294" s="105">
        <f t="shared" si="93"/>
        <v>114.19307551091903</v>
      </c>
      <c r="L294" s="105">
        <f t="shared" si="93"/>
        <v>117.71379135698253</v>
      </c>
      <c r="M294" s="105">
        <f t="shared" si="93"/>
        <v>121.14876553343854</v>
      </c>
      <c r="N294" s="105">
        <f t="shared" ref="N294:N344" si="94">SUM(I294:M294)</f>
        <v>571.15702196959421</v>
      </c>
    </row>
    <row r="295" spans="1:14" x14ac:dyDescent="0.5">
      <c r="B295" s="8" t="s">
        <v>148</v>
      </c>
      <c r="C295" s="29" t="s">
        <v>102</v>
      </c>
      <c r="D295" s="29" t="s">
        <v>217</v>
      </c>
      <c r="E295" s="51" t="s">
        <v>147</v>
      </c>
      <c r="F295" s="105">
        <f t="shared" ref="F295:M295" si="95">F150*F$247</f>
        <v>4.0457150051446771</v>
      </c>
      <c r="G295" s="105">
        <f t="shared" si="95"/>
        <v>4.2120637363235822</v>
      </c>
      <c r="H295" s="105">
        <f t="shared" si="95"/>
        <v>4.3716516829449805</v>
      </c>
      <c r="I295" s="105">
        <f t="shared" si="95"/>
        <v>4.4775601095761663</v>
      </c>
      <c r="J295" s="105">
        <f t="shared" si="95"/>
        <v>4.6147704606377404</v>
      </c>
      <c r="K295" s="105">
        <f t="shared" si="95"/>
        <v>4.7605436784699959</v>
      </c>
      <c r="L295" s="105">
        <f t="shared" si="95"/>
        <v>4.9073172152162243</v>
      </c>
      <c r="M295" s="105">
        <f t="shared" si="95"/>
        <v>5.0505163061267044</v>
      </c>
      <c r="N295" s="105">
        <f t="shared" si="94"/>
        <v>23.810707770026831</v>
      </c>
    </row>
    <row r="296" spans="1:14" x14ac:dyDescent="0.5">
      <c r="B296" s="8" t="s">
        <v>149</v>
      </c>
      <c r="C296" s="29" t="s">
        <v>102</v>
      </c>
      <c r="D296" s="29" t="s">
        <v>217</v>
      </c>
      <c r="E296" s="51" t="s">
        <v>147</v>
      </c>
      <c r="F296" s="105">
        <f t="shared" ref="F296:M296" si="96">F151*F$247</f>
        <v>31.773368892252169</v>
      </c>
      <c r="G296" s="105">
        <f t="shared" si="96"/>
        <v>33.07980288322392</v>
      </c>
      <c r="H296" s="105">
        <f t="shared" si="96"/>
        <v>34.333140474307498</v>
      </c>
      <c r="I296" s="105">
        <f t="shared" si="96"/>
        <v>35.164901363018529</v>
      </c>
      <c r="J296" s="105">
        <f t="shared" si="96"/>
        <v>36.242494593033733</v>
      </c>
      <c r="K296" s="105">
        <f t="shared" si="96"/>
        <v>37.387337029761248</v>
      </c>
      <c r="L296" s="105">
        <f t="shared" si="96"/>
        <v>38.540035556654068</v>
      </c>
      <c r="M296" s="105">
        <f t="shared" si="96"/>
        <v>39.664661867392212</v>
      </c>
      <c r="N296" s="105">
        <f t="shared" si="94"/>
        <v>186.99943040985977</v>
      </c>
    </row>
    <row r="297" spans="1:14" x14ac:dyDescent="0.5">
      <c r="B297" s="8" t="s">
        <v>150</v>
      </c>
      <c r="C297" s="29" t="s">
        <v>102</v>
      </c>
      <c r="D297" s="29" t="s">
        <v>217</v>
      </c>
      <c r="E297" s="51" t="s">
        <v>147</v>
      </c>
      <c r="F297" s="105">
        <f t="shared" ref="F297:M297" si="97">F152*F$247</f>
        <v>21.492998587765491</v>
      </c>
      <c r="G297" s="105">
        <f t="shared" si="97"/>
        <v>22.376731880831926</v>
      </c>
      <c r="H297" s="105">
        <f t="shared" si="97"/>
        <v>23.22454827595525</v>
      </c>
      <c r="I297" s="105">
        <f t="shared" si="97"/>
        <v>23.787190395116376</v>
      </c>
      <c r="J297" s="105">
        <f t="shared" si="97"/>
        <v>24.516125052610313</v>
      </c>
      <c r="K297" s="105">
        <f t="shared" si="97"/>
        <v>25.290550231106216</v>
      </c>
      <c r="L297" s="105">
        <f t="shared" si="97"/>
        <v>26.070289637860409</v>
      </c>
      <c r="M297" s="105">
        <f t="shared" si="97"/>
        <v>26.831039679520394</v>
      </c>
      <c r="N297" s="105">
        <f t="shared" si="94"/>
        <v>126.49519499621371</v>
      </c>
    </row>
    <row r="298" spans="1:14" x14ac:dyDescent="0.5">
      <c r="B298" s="8" t="s">
        <v>151</v>
      </c>
      <c r="C298" s="29" t="s">
        <v>102</v>
      </c>
      <c r="D298" s="29" t="s">
        <v>217</v>
      </c>
      <c r="E298" s="51" t="s">
        <v>147</v>
      </c>
      <c r="F298" s="105">
        <f t="shared" ref="F298:M298" si="98">F153*F$247</f>
        <v>13.805119977119022</v>
      </c>
      <c r="G298" s="105">
        <f t="shared" si="98"/>
        <v>14.372748737188886</v>
      </c>
      <c r="H298" s="105">
        <f t="shared" si="98"/>
        <v>14.917307794662999</v>
      </c>
      <c r="I298" s="105">
        <f t="shared" si="98"/>
        <v>15.278697199100089</v>
      </c>
      <c r="J298" s="105">
        <f t="shared" si="98"/>
        <v>15.746897592874467</v>
      </c>
      <c r="K298" s="105">
        <f t="shared" si="98"/>
        <v>16.244316901715042</v>
      </c>
      <c r="L298" s="105">
        <f t="shared" si="98"/>
        <v>16.745149580653411</v>
      </c>
      <c r="M298" s="105">
        <f t="shared" si="98"/>
        <v>17.2337852428589</v>
      </c>
      <c r="N298" s="105">
        <f t="shared" si="94"/>
        <v>81.248846517201898</v>
      </c>
    </row>
    <row r="299" spans="1:14" x14ac:dyDescent="0.5">
      <c r="B299" s="8" t="s">
        <v>152</v>
      </c>
      <c r="C299" s="29" t="s">
        <v>102</v>
      </c>
      <c r="D299" s="29" t="s">
        <v>217</v>
      </c>
      <c r="E299" s="51" t="s">
        <v>147</v>
      </c>
      <c r="F299" s="105">
        <f t="shared" ref="F299:M299" si="99">F154*F$247</f>
        <v>28.297472712854272</v>
      </c>
      <c r="G299" s="105">
        <f t="shared" si="99"/>
        <v>29.460987363630984</v>
      </c>
      <c r="H299" s="105">
        <f t="shared" si="99"/>
        <v>30.577214176215861</v>
      </c>
      <c r="I299" s="105">
        <f t="shared" si="99"/>
        <v>31.317983313153658</v>
      </c>
      <c r="J299" s="105">
        <f t="shared" si="99"/>
        <v>32.277691587253209</v>
      </c>
      <c r="K299" s="105">
        <f t="shared" si="99"/>
        <v>33.29729223846757</v>
      </c>
      <c r="L299" s="105">
        <f t="shared" si="99"/>
        <v>34.323889550874405</v>
      </c>
      <c r="M299" s="105">
        <f t="shared" si="99"/>
        <v>35.325485650053899</v>
      </c>
      <c r="N299" s="105">
        <f t="shared" si="94"/>
        <v>166.54234233980276</v>
      </c>
    </row>
    <row r="300" spans="1:14" x14ac:dyDescent="0.5">
      <c r="B300" s="8" t="s">
        <v>153</v>
      </c>
      <c r="C300" s="29" t="s">
        <v>102</v>
      </c>
      <c r="D300" s="29" t="s">
        <v>217</v>
      </c>
      <c r="E300" s="51" t="s">
        <v>147</v>
      </c>
      <c r="F300" s="105">
        <f t="shared" ref="F300:M300" si="100">F155*F$247</f>
        <v>6.2041357650564439</v>
      </c>
      <c r="G300" s="105">
        <f t="shared" si="100"/>
        <v>6.4592328520401834</v>
      </c>
      <c r="H300" s="105">
        <f t="shared" si="100"/>
        <v>6.7039622227562816</v>
      </c>
      <c r="I300" s="105">
        <f t="shared" si="100"/>
        <v>6.8663736275754159</v>
      </c>
      <c r="J300" s="105">
        <f t="shared" si="100"/>
        <v>7.0767867795830472</v>
      </c>
      <c r="K300" s="105">
        <f t="shared" si="100"/>
        <v>7.30033115509897</v>
      </c>
      <c r="L300" s="105">
        <f t="shared" si="100"/>
        <v>7.5254095275332986</v>
      </c>
      <c r="M300" s="105">
        <f t="shared" si="100"/>
        <v>7.7450064591786374</v>
      </c>
      <c r="N300" s="105">
        <f t="shared" si="94"/>
        <v>36.513907548969371</v>
      </c>
    </row>
    <row r="301" spans="1:14" x14ac:dyDescent="0.5">
      <c r="B301" s="8" t="s">
        <v>154</v>
      </c>
      <c r="C301" s="29" t="s">
        <v>102</v>
      </c>
      <c r="D301" s="29" t="s">
        <v>217</v>
      </c>
      <c r="E301" s="51" t="s">
        <v>147</v>
      </c>
      <c r="F301" s="105">
        <f t="shared" ref="F301:M301" si="101">F156*F$247</f>
        <v>31.882183617403307</v>
      </c>
      <c r="G301" s="105">
        <f t="shared" si="101"/>
        <v>33.193091772135837</v>
      </c>
      <c r="H301" s="105">
        <f t="shared" si="101"/>
        <v>34.45072168695625</v>
      </c>
      <c r="I301" s="105">
        <f t="shared" si="101"/>
        <v>35.2853311194526</v>
      </c>
      <c r="J301" s="105">
        <f t="shared" si="101"/>
        <v>36.366614798898773</v>
      </c>
      <c r="K301" s="105">
        <f t="shared" si="101"/>
        <v>37.515377994407537</v>
      </c>
      <c r="L301" s="105">
        <f t="shared" si="101"/>
        <v>38.672024184949471</v>
      </c>
      <c r="M301" s="105">
        <f t="shared" si="101"/>
        <v>39.800502020003961</v>
      </c>
      <c r="N301" s="105">
        <f t="shared" si="94"/>
        <v>187.63985011771234</v>
      </c>
    </row>
    <row r="302" spans="1:14" x14ac:dyDescent="0.5">
      <c r="B302" s="8" t="s">
        <v>155</v>
      </c>
      <c r="C302" s="29" t="s">
        <v>102</v>
      </c>
      <c r="D302" s="29" t="s">
        <v>217</v>
      </c>
      <c r="E302" s="51" t="s">
        <v>147</v>
      </c>
      <c r="F302" s="105">
        <f t="shared" ref="F302:M302" si="102">F157*F$247</f>
        <v>17.310878015719418</v>
      </c>
      <c r="G302" s="105">
        <f t="shared" si="102"/>
        <v>18.022653953927097</v>
      </c>
      <c r="H302" s="105">
        <f t="shared" si="102"/>
        <v>18.705501725762019</v>
      </c>
      <c r="I302" s="105">
        <f t="shared" si="102"/>
        <v>19.158664603502508</v>
      </c>
      <c r="J302" s="105">
        <f t="shared" si="102"/>
        <v>19.745762717606077</v>
      </c>
      <c r="K302" s="105">
        <f t="shared" si="102"/>
        <v>20.369499779817367</v>
      </c>
      <c r="L302" s="105">
        <f t="shared" si="102"/>
        <v>20.997517024561184</v>
      </c>
      <c r="M302" s="105">
        <f t="shared" si="102"/>
        <v>21.610239866274199</v>
      </c>
      <c r="N302" s="105">
        <f t="shared" si="94"/>
        <v>101.88168399176134</v>
      </c>
    </row>
    <row r="303" spans="1:14" x14ac:dyDescent="0.5">
      <c r="B303" s="8" t="s">
        <v>156</v>
      </c>
      <c r="C303" s="29" t="s">
        <v>102</v>
      </c>
      <c r="D303" s="29" t="s">
        <v>217</v>
      </c>
      <c r="E303" s="51" t="s">
        <v>147</v>
      </c>
      <c r="F303" s="105">
        <f t="shared" ref="F303:M303" si="103">F158*F$247</f>
        <v>62.149696279688989</v>
      </c>
      <c r="G303" s="105">
        <f t="shared" si="103"/>
        <v>64.705121737521239</v>
      </c>
      <c r="H303" s="105">
        <f t="shared" si="103"/>
        <v>67.15668898825605</v>
      </c>
      <c r="I303" s="105">
        <f t="shared" si="103"/>
        <v>68.783639117026311</v>
      </c>
      <c r="J303" s="105">
        <f t="shared" si="103"/>
        <v>70.891444939745497</v>
      </c>
      <c r="K303" s="105">
        <f t="shared" si="103"/>
        <v>73.130792299227565</v>
      </c>
      <c r="L303" s="105">
        <f t="shared" si="103"/>
        <v>75.385506415044944</v>
      </c>
      <c r="M303" s="105">
        <f t="shared" si="103"/>
        <v>77.585310404277166</v>
      </c>
      <c r="N303" s="105">
        <f t="shared" si="94"/>
        <v>365.7766931753215</v>
      </c>
    </row>
    <row r="304" spans="1:14" x14ac:dyDescent="0.5">
      <c r="B304" s="8" t="s">
        <v>157</v>
      </c>
      <c r="C304" s="29" t="s">
        <v>102</v>
      </c>
      <c r="D304" s="29" t="s">
        <v>217</v>
      </c>
      <c r="E304" s="51" t="s">
        <v>147</v>
      </c>
      <c r="F304" s="105">
        <f t="shared" ref="F304:M304" si="104">F159*F$247</f>
        <v>70.7010370305142</v>
      </c>
      <c r="G304" s="105">
        <f t="shared" si="104"/>
        <v>73.608070221953312</v>
      </c>
      <c r="H304" s="105">
        <f t="shared" si="104"/>
        <v>76.396955081454124</v>
      </c>
      <c r="I304" s="105">
        <f t="shared" si="104"/>
        <v>78.247761572661034</v>
      </c>
      <c r="J304" s="105">
        <f t="shared" si="104"/>
        <v>80.645585961931687</v>
      </c>
      <c r="K304" s="105">
        <f t="shared" si="104"/>
        <v>83.19305103520297</v>
      </c>
      <c r="L304" s="105">
        <f t="shared" si="104"/>
        <v>85.757997217373187</v>
      </c>
      <c r="M304" s="105">
        <f t="shared" si="104"/>
        <v>88.260478043710023</v>
      </c>
      <c r="N304" s="105">
        <f t="shared" si="94"/>
        <v>416.10487383087889</v>
      </c>
    </row>
    <row r="305" spans="2:14" x14ac:dyDescent="0.5">
      <c r="B305" s="8" t="s">
        <v>158</v>
      </c>
      <c r="C305" s="29" t="s">
        <v>102</v>
      </c>
      <c r="D305" s="29" t="s">
        <v>217</v>
      </c>
      <c r="E305" s="51" t="s">
        <v>147</v>
      </c>
      <c r="F305" s="105">
        <f t="shared" ref="F305:M305" si="105">F160*F$247</f>
        <v>22.976572000000001</v>
      </c>
      <c r="G305" s="105">
        <f t="shared" si="105"/>
        <v>21.52917519519897</v>
      </c>
      <c r="H305" s="105">
        <f t="shared" si="105"/>
        <v>20.110391195312776</v>
      </c>
      <c r="I305" s="105">
        <f t="shared" si="105"/>
        <v>18.537830262153982</v>
      </c>
      <c r="J305" s="105">
        <f t="shared" si="105"/>
        <v>17.195313175947973</v>
      </c>
      <c r="K305" s="105">
        <f t="shared" si="105"/>
        <v>15.964637054771861</v>
      </c>
      <c r="L305" s="105">
        <f t="shared" si="105"/>
        <v>14.81116216769297</v>
      </c>
      <c r="M305" s="105">
        <f t="shared" si="105"/>
        <v>13.719026401596064</v>
      </c>
      <c r="N305" s="105">
        <f t="shared" si="94"/>
        <v>80.227969062162856</v>
      </c>
    </row>
    <row r="306" spans="2:14" x14ac:dyDescent="0.5">
      <c r="B306" s="8" t="s">
        <v>159</v>
      </c>
      <c r="C306" s="29" t="s">
        <v>102</v>
      </c>
      <c r="D306" s="29" t="s">
        <v>217</v>
      </c>
      <c r="E306" s="51" t="s">
        <v>147</v>
      </c>
      <c r="F306" s="105">
        <f t="shared" ref="F306:M306" si="106">F161*F$247</f>
        <v>3.7439850000000003</v>
      </c>
      <c r="G306" s="105">
        <f t="shared" si="106"/>
        <v>3.897927418957063</v>
      </c>
      <c r="H306" s="105">
        <f t="shared" si="106"/>
        <v>4.0456132736382546</v>
      </c>
      <c r="I306" s="105">
        <f t="shared" si="106"/>
        <v>4.1436230346264935</v>
      </c>
      <c r="J306" s="105">
        <f t="shared" si="106"/>
        <v>4.2706002180331373</v>
      </c>
      <c r="K306" s="105">
        <f t="shared" si="106"/>
        <v>4.4055016483789915</v>
      </c>
      <c r="L306" s="105">
        <f t="shared" si="106"/>
        <v>4.5413287937107913</v>
      </c>
      <c r="M306" s="105">
        <f t="shared" si="106"/>
        <v>4.6738480758897643</v>
      </c>
      <c r="N306" s="105">
        <f t="shared" si="94"/>
        <v>22.034901770639181</v>
      </c>
    </row>
    <row r="307" spans="2:14" x14ac:dyDescent="0.5">
      <c r="B307" s="8" t="s">
        <v>160</v>
      </c>
      <c r="C307" s="29" t="s">
        <v>102</v>
      </c>
      <c r="D307" s="29" t="s">
        <v>217</v>
      </c>
      <c r="E307" s="51" t="s">
        <v>147</v>
      </c>
      <c r="F307" s="105">
        <f t="shared" ref="F307:M307" si="107">F162*F$247</f>
        <v>51.545229593399867</v>
      </c>
      <c r="G307" s="105">
        <f t="shared" si="107"/>
        <v>53.664628396895374</v>
      </c>
      <c r="H307" s="105">
        <f t="shared" si="107"/>
        <v>55.697890091918062</v>
      </c>
      <c r="I307" s="105">
        <f t="shared" si="107"/>
        <v>57.047237280150121</v>
      </c>
      <c r="J307" s="105">
        <f t="shared" si="107"/>
        <v>58.795392807434204</v>
      </c>
      <c r="K307" s="105">
        <f t="shared" si="107"/>
        <v>60.652645226889703</v>
      </c>
      <c r="L307" s="105">
        <f t="shared" si="107"/>
        <v>62.522642406671061</v>
      </c>
      <c r="M307" s="105">
        <f t="shared" si="107"/>
        <v>64.347098654617483</v>
      </c>
      <c r="N307" s="105">
        <f t="shared" si="94"/>
        <v>303.36501637576259</v>
      </c>
    </row>
    <row r="308" spans="2:14" x14ac:dyDescent="0.5">
      <c r="B308" s="53" t="s">
        <v>161</v>
      </c>
      <c r="C308" s="29" t="s">
        <v>102</v>
      </c>
      <c r="D308" s="29" t="s">
        <v>217</v>
      </c>
      <c r="E308" s="51" t="s">
        <v>147</v>
      </c>
      <c r="F308" s="105">
        <f t="shared" ref="F308:M308" si="108">F163*F$247</f>
        <v>0</v>
      </c>
      <c r="G308" s="105">
        <f t="shared" si="108"/>
        <v>0</v>
      </c>
      <c r="H308" s="105">
        <f t="shared" si="108"/>
        <v>0</v>
      </c>
      <c r="I308" s="105">
        <f t="shared" si="108"/>
        <v>0</v>
      </c>
      <c r="J308" s="105">
        <f t="shared" si="108"/>
        <v>0</v>
      </c>
      <c r="K308" s="105">
        <f t="shared" si="108"/>
        <v>0</v>
      </c>
      <c r="L308" s="105">
        <f t="shared" si="108"/>
        <v>0</v>
      </c>
      <c r="M308" s="105">
        <f t="shared" si="108"/>
        <v>0</v>
      </c>
      <c r="N308" s="105">
        <f t="shared" si="94"/>
        <v>0</v>
      </c>
    </row>
    <row r="309" spans="2:14" x14ac:dyDescent="0.5">
      <c r="B309" s="53" t="s">
        <v>161</v>
      </c>
      <c r="C309" s="29" t="s">
        <v>102</v>
      </c>
      <c r="D309" s="29" t="s">
        <v>217</v>
      </c>
      <c r="E309" s="51" t="s">
        <v>147</v>
      </c>
      <c r="F309" s="105">
        <f t="shared" ref="F309:M309" si="109">F164*F$247</f>
        <v>0</v>
      </c>
      <c r="G309" s="105">
        <f t="shared" si="109"/>
        <v>0</v>
      </c>
      <c r="H309" s="105">
        <f t="shared" si="109"/>
        <v>0</v>
      </c>
      <c r="I309" s="105">
        <f t="shared" si="109"/>
        <v>0</v>
      </c>
      <c r="J309" s="105">
        <f t="shared" si="109"/>
        <v>0</v>
      </c>
      <c r="K309" s="105">
        <f t="shared" si="109"/>
        <v>0</v>
      </c>
      <c r="L309" s="105">
        <f t="shared" si="109"/>
        <v>0</v>
      </c>
      <c r="M309" s="105">
        <f t="shared" si="109"/>
        <v>0</v>
      </c>
      <c r="N309" s="105">
        <f t="shared" si="94"/>
        <v>0</v>
      </c>
    </row>
    <row r="310" spans="2:14" x14ac:dyDescent="0.5">
      <c r="B310" s="8" t="s">
        <v>163</v>
      </c>
      <c r="C310" s="29" t="s">
        <v>102</v>
      </c>
      <c r="D310" s="29" t="s">
        <v>217</v>
      </c>
      <c r="E310" s="51" t="s">
        <v>162</v>
      </c>
      <c r="F310" s="105">
        <f t="shared" ref="F310:M310" si="110">F165*F$247</f>
        <v>175.62</v>
      </c>
      <c r="G310" s="105">
        <f t="shared" si="110"/>
        <v>188.07877506060984</v>
      </c>
      <c r="H310" s="105">
        <f t="shared" si="110"/>
        <v>194.02330282524082</v>
      </c>
      <c r="I310" s="105">
        <f t="shared" si="110"/>
        <v>199.85748417463989</v>
      </c>
      <c r="J310" s="105">
        <f t="shared" si="110"/>
        <v>208.38861174519425</v>
      </c>
      <c r="K310" s="105">
        <f t="shared" si="110"/>
        <v>217.46397181484261</v>
      </c>
      <c r="L310" s="105">
        <f t="shared" si="110"/>
        <v>226.6897056291894</v>
      </c>
      <c r="M310" s="105">
        <f t="shared" si="110"/>
        <v>236.01340493646862</v>
      </c>
      <c r="N310" s="105">
        <f t="shared" si="94"/>
        <v>1088.4131783003347</v>
      </c>
    </row>
    <row r="311" spans="2:14" x14ac:dyDescent="0.5">
      <c r="B311" s="8" t="s">
        <v>164</v>
      </c>
      <c r="C311" s="29" t="s">
        <v>102</v>
      </c>
      <c r="D311" s="29" t="s">
        <v>217</v>
      </c>
      <c r="E311" s="51" t="s">
        <v>162</v>
      </c>
      <c r="F311" s="105">
        <f t="shared" ref="F311:M311" si="111">F166*F$247</f>
        <v>27.275317000000001</v>
      </c>
      <c r="G311" s="105">
        <f t="shared" si="111"/>
        <v>29.210273378600551</v>
      </c>
      <c r="H311" s="105">
        <f t="shared" si="111"/>
        <v>30.133510362973691</v>
      </c>
      <c r="I311" s="105">
        <f t="shared" si="111"/>
        <v>31.039609587095928</v>
      </c>
      <c r="J311" s="105">
        <f t="shared" si="111"/>
        <v>32.364568070493661</v>
      </c>
      <c r="K311" s="105">
        <f t="shared" si="111"/>
        <v>33.774050605448679</v>
      </c>
      <c r="L311" s="105">
        <f t="shared" si="111"/>
        <v>35.206887493866446</v>
      </c>
      <c r="M311" s="105">
        <f t="shared" si="111"/>
        <v>36.654939277369003</v>
      </c>
      <c r="N311" s="105">
        <f t="shared" si="94"/>
        <v>169.04005503427373</v>
      </c>
    </row>
    <row r="312" spans="2:14" x14ac:dyDescent="0.5">
      <c r="B312" s="53" t="s">
        <v>165</v>
      </c>
      <c r="C312" s="29" t="s">
        <v>102</v>
      </c>
      <c r="D312" s="29" t="s">
        <v>217</v>
      </c>
      <c r="E312" s="51" t="s">
        <v>162</v>
      </c>
      <c r="F312" s="105">
        <f t="shared" ref="F312:M312" si="112">F167*F$247</f>
        <v>0</v>
      </c>
      <c r="G312" s="105">
        <f t="shared" si="112"/>
        <v>0</v>
      </c>
      <c r="H312" s="105">
        <f t="shared" si="112"/>
        <v>0</v>
      </c>
      <c r="I312" s="105">
        <f t="shared" si="112"/>
        <v>0</v>
      </c>
      <c r="J312" s="105">
        <f t="shared" si="112"/>
        <v>0</v>
      </c>
      <c r="K312" s="105">
        <f t="shared" si="112"/>
        <v>0</v>
      </c>
      <c r="L312" s="105">
        <f t="shared" si="112"/>
        <v>0</v>
      </c>
      <c r="M312" s="105">
        <f t="shared" si="112"/>
        <v>0</v>
      </c>
      <c r="N312" s="105">
        <f t="shared" si="94"/>
        <v>0</v>
      </c>
    </row>
    <row r="313" spans="2:14" x14ac:dyDescent="0.5">
      <c r="B313" s="53" t="s">
        <v>161</v>
      </c>
      <c r="C313" s="29" t="s">
        <v>102</v>
      </c>
      <c r="D313" s="29" t="s">
        <v>217</v>
      </c>
      <c r="E313" s="51" t="s">
        <v>162</v>
      </c>
      <c r="F313" s="105">
        <f t="shared" ref="F313:M313" si="113">F168*F$247</f>
        <v>0</v>
      </c>
      <c r="G313" s="105">
        <f t="shared" si="113"/>
        <v>0</v>
      </c>
      <c r="H313" s="105">
        <f t="shared" si="113"/>
        <v>0</v>
      </c>
      <c r="I313" s="105">
        <f t="shared" si="113"/>
        <v>0</v>
      </c>
      <c r="J313" s="105">
        <f t="shared" si="113"/>
        <v>0</v>
      </c>
      <c r="K313" s="105">
        <f t="shared" si="113"/>
        <v>0</v>
      </c>
      <c r="L313" s="105">
        <f t="shared" si="113"/>
        <v>0</v>
      </c>
      <c r="M313" s="105">
        <f t="shared" si="113"/>
        <v>0</v>
      </c>
      <c r="N313" s="105">
        <f t="shared" si="94"/>
        <v>0</v>
      </c>
    </row>
    <row r="314" spans="2:14" x14ac:dyDescent="0.5">
      <c r="B314" s="8" t="s">
        <v>166</v>
      </c>
      <c r="C314" s="29" t="s">
        <v>102</v>
      </c>
      <c r="D314" s="29" t="s">
        <v>217</v>
      </c>
      <c r="E314" s="51" t="s">
        <v>166</v>
      </c>
      <c r="F314" s="105">
        <f t="shared" ref="F314:M314" si="114">F169*F$247</f>
        <v>53.079143000000002</v>
      </c>
      <c r="G314" s="105">
        <f t="shared" si="114"/>
        <v>53.183959261074904</v>
      </c>
      <c r="H314" s="105">
        <f t="shared" si="114"/>
        <v>53.664456624533365</v>
      </c>
      <c r="I314" s="105">
        <f t="shared" si="114"/>
        <v>53.697083160961199</v>
      </c>
      <c r="J314" s="105">
        <f t="shared" si="114"/>
        <v>54.329227748217257</v>
      </c>
      <c r="K314" s="105">
        <f t="shared" si="114"/>
        <v>55.012698661974113</v>
      </c>
      <c r="L314" s="105">
        <f t="shared" si="114"/>
        <v>55.663781183693935</v>
      </c>
      <c r="M314" s="105">
        <f t="shared" si="114"/>
        <v>56.252632036553379</v>
      </c>
      <c r="N314" s="105">
        <f t="shared" si="94"/>
        <v>274.95542279139988</v>
      </c>
    </row>
    <row r="315" spans="2:14" x14ac:dyDescent="0.5">
      <c r="B315" s="8" t="s">
        <v>167</v>
      </c>
      <c r="C315" s="29" t="s">
        <v>102</v>
      </c>
      <c r="D315" s="29" t="s">
        <v>217</v>
      </c>
      <c r="E315" s="51" t="s">
        <v>168</v>
      </c>
      <c r="F315" s="105">
        <f t="shared" ref="F315:M315" si="115">F170*F$247</f>
        <v>15.786951989364759</v>
      </c>
      <c r="G315" s="105">
        <f t="shared" si="115"/>
        <v>16.55840110028613</v>
      </c>
      <c r="H315" s="105">
        <f t="shared" si="115"/>
        <v>17.270081289256183</v>
      </c>
      <c r="I315" s="105">
        <f t="shared" si="115"/>
        <v>17.836930808748647</v>
      </c>
      <c r="J315" s="105">
        <f t="shared" si="115"/>
        <v>18.493184323426217</v>
      </c>
      <c r="K315" s="105">
        <f t="shared" si="115"/>
        <v>19.184397878092806</v>
      </c>
      <c r="L315" s="105">
        <f t="shared" si="115"/>
        <v>19.889928078071712</v>
      </c>
      <c r="M315" s="105">
        <f t="shared" si="115"/>
        <v>20.601510744792602</v>
      </c>
      <c r="N315" s="105">
        <f t="shared" si="94"/>
        <v>96.005951833131988</v>
      </c>
    </row>
    <row r="316" spans="2:14" x14ac:dyDescent="0.5">
      <c r="B316" s="8" t="s">
        <v>169</v>
      </c>
      <c r="C316" s="29" t="s">
        <v>102</v>
      </c>
      <c r="D316" s="29" t="s">
        <v>217</v>
      </c>
      <c r="E316" s="51" t="s">
        <v>168</v>
      </c>
      <c r="F316" s="105">
        <f t="shared" ref="F316:M316" si="116">F171*F$247</f>
        <v>32.277898107214718</v>
      </c>
      <c r="G316" s="105">
        <f t="shared" si="116"/>
        <v>33.855197880723644</v>
      </c>
      <c r="H316" s="105">
        <f t="shared" si="116"/>
        <v>35.310294509887648</v>
      </c>
      <c r="I316" s="105">
        <f t="shared" si="116"/>
        <v>36.469271305701525</v>
      </c>
      <c r="J316" s="105">
        <f t="shared" si="116"/>
        <v>37.811042921497538</v>
      </c>
      <c r="K316" s="105">
        <f t="shared" si="116"/>
        <v>39.224293604902677</v>
      </c>
      <c r="L316" s="105">
        <f t="shared" si="116"/>
        <v>40.6668160070626</v>
      </c>
      <c r="M316" s="105">
        <f t="shared" si="116"/>
        <v>42.121713242877981</v>
      </c>
      <c r="N316" s="105">
        <f t="shared" si="94"/>
        <v>196.29313708204231</v>
      </c>
    </row>
    <row r="317" spans="2:14" x14ac:dyDescent="0.5">
      <c r="B317" s="8" t="s">
        <v>170</v>
      </c>
      <c r="C317" s="29" t="s">
        <v>102</v>
      </c>
      <c r="D317" s="29" t="s">
        <v>217</v>
      </c>
      <c r="E317" s="51" t="s">
        <v>168</v>
      </c>
      <c r="F317" s="105">
        <f t="shared" ref="F317:M317" si="117">F172*F$247</f>
        <v>21.6776817119862</v>
      </c>
      <c r="G317" s="105">
        <f t="shared" si="117"/>
        <v>22.736988682376314</v>
      </c>
      <c r="H317" s="105">
        <f t="shared" si="117"/>
        <v>23.714224606550406</v>
      </c>
      <c r="I317" s="105">
        <f t="shared" si="117"/>
        <v>24.492587869479699</v>
      </c>
      <c r="J317" s="105">
        <f t="shared" si="117"/>
        <v>25.393715257663075</v>
      </c>
      <c r="K317" s="105">
        <f t="shared" si="117"/>
        <v>26.342847645166824</v>
      </c>
      <c r="L317" s="105">
        <f t="shared" si="117"/>
        <v>27.311638778733325</v>
      </c>
      <c r="M317" s="105">
        <f t="shared" si="117"/>
        <v>28.288740791289868</v>
      </c>
      <c r="N317" s="105">
        <f t="shared" si="94"/>
        <v>131.82953034233279</v>
      </c>
    </row>
    <row r="318" spans="2:14" x14ac:dyDescent="0.5">
      <c r="B318" s="8" t="s">
        <v>171</v>
      </c>
      <c r="C318" s="29" t="s">
        <v>102</v>
      </c>
      <c r="D318" s="29" t="s">
        <v>217</v>
      </c>
      <c r="E318" s="51" t="s">
        <v>172</v>
      </c>
      <c r="F318" s="105">
        <f t="shared" ref="F318:M318" si="118">F173*F$247</f>
        <v>19.10447923227176</v>
      </c>
      <c r="G318" s="105">
        <f t="shared" si="118"/>
        <v>19.931075370911294</v>
      </c>
      <c r="H318" s="105">
        <f t="shared" si="118"/>
        <v>20.670799917515069</v>
      </c>
      <c r="I318" s="105">
        <f t="shared" si="118"/>
        <v>21.31743698743885</v>
      </c>
      <c r="J318" s="105">
        <f t="shared" si="118"/>
        <v>21.929249387981635</v>
      </c>
      <c r="K318" s="105">
        <f t="shared" si="118"/>
        <v>22.566290211785844</v>
      </c>
      <c r="L318" s="105">
        <f t="shared" si="118"/>
        <v>23.087774070457233</v>
      </c>
      <c r="M318" s="105">
        <f t="shared" si="118"/>
        <v>23.621308887097456</v>
      </c>
      <c r="N318" s="105">
        <f t="shared" si="94"/>
        <v>112.52205954476101</v>
      </c>
    </row>
    <row r="319" spans="2:14" x14ac:dyDescent="0.5">
      <c r="B319" s="8" t="s">
        <v>173</v>
      </c>
      <c r="C319" s="29" t="s">
        <v>102</v>
      </c>
      <c r="D319" s="29" t="s">
        <v>217</v>
      </c>
      <c r="E319" s="51" t="s">
        <v>172</v>
      </c>
      <c r="F319" s="105">
        <f t="shared" ref="F319:M319" si="119">F174*F$247</f>
        <v>97.417655878726109</v>
      </c>
      <c r="G319" s="105">
        <f t="shared" si="119"/>
        <v>100.18595231943702</v>
      </c>
      <c r="H319" s="105">
        <f t="shared" si="119"/>
        <v>102.27376448554135</v>
      </c>
      <c r="I319" s="105">
        <f t="shared" si="119"/>
        <v>102.66415229342338</v>
      </c>
      <c r="J319" s="105">
        <f t="shared" si="119"/>
        <v>105.98661381121573</v>
      </c>
      <c r="K319" s="105">
        <f t="shared" si="119"/>
        <v>109.52754340474502</v>
      </c>
      <c r="L319" s="105">
        <f t="shared" si="119"/>
        <v>113.04372395825534</v>
      </c>
      <c r="M319" s="105">
        <f t="shared" si="119"/>
        <v>116.52790915462829</v>
      </c>
      <c r="N319" s="105">
        <f t="shared" si="94"/>
        <v>547.74994262226778</v>
      </c>
    </row>
    <row r="320" spans="2:14" x14ac:dyDescent="0.5">
      <c r="B320" s="8" t="s">
        <v>174</v>
      </c>
      <c r="C320" s="29" t="s">
        <v>102</v>
      </c>
      <c r="D320" s="29" t="s">
        <v>217</v>
      </c>
      <c r="E320" s="51" t="s">
        <v>172</v>
      </c>
      <c r="F320" s="105">
        <f t="shared" ref="F320:M320" si="120">F175*F$247</f>
        <v>4.7173109431847129</v>
      </c>
      <c r="G320" s="105">
        <f t="shared" si="120"/>
        <v>4.9214154865742916</v>
      </c>
      <c r="H320" s="105">
        <f t="shared" si="120"/>
        <v>5.1040695467143751</v>
      </c>
      <c r="I320" s="105">
        <f t="shared" si="120"/>
        <v>5.2637382866540401</v>
      </c>
      <c r="J320" s="105">
        <f t="shared" si="120"/>
        <v>5.41480805920148</v>
      </c>
      <c r="K320" s="105">
        <f t="shared" si="120"/>
        <v>5.5721072775078699</v>
      </c>
      <c r="L320" s="105">
        <f t="shared" si="120"/>
        <v>5.7008729707935171</v>
      </c>
      <c r="M320" s="105">
        <f t="shared" si="120"/>
        <v>5.8326143073935466</v>
      </c>
      <c r="N320" s="105">
        <f t="shared" si="94"/>
        <v>27.784140901550458</v>
      </c>
    </row>
    <row r="321" spans="2:14" x14ac:dyDescent="0.5">
      <c r="B321" s="53" t="s">
        <v>161</v>
      </c>
      <c r="C321" s="29" t="s">
        <v>102</v>
      </c>
      <c r="D321" s="29" t="s">
        <v>217</v>
      </c>
      <c r="E321" s="51" t="s">
        <v>172</v>
      </c>
      <c r="F321" s="105">
        <f t="shared" ref="F321:M321" si="121">F176*F$247</f>
        <v>0</v>
      </c>
      <c r="G321" s="105">
        <f t="shared" si="121"/>
        <v>0</v>
      </c>
      <c r="H321" s="105">
        <f t="shared" si="121"/>
        <v>0</v>
      </c>
      <c r="I321" s="105">
        <f t="shared" si="121"/>
        <v>0</v>
      </c>
      <c r="J321" s="105">
        <f t="shared" si="121"/>
        <v>0</v>
      </c>
      <c r="K321" s="105">
        <f t="shared" si="121"/>
        <v>0</v>
      </c>
      <c r="L321" s="105">
        <f t="shared" si="121"/>
        <v>0</v>
      </c>
      <c r="M321" s="105">
        <f t="shared" si="121"/>
        <v>0</v>
      </c>
      <c r="N321" s="105">
        <f t="shared" si="94"/>
        <v>0</v>
      </c>
    </row>
    <row r="322" spans="2:14" x14ac:dyDescent="0.5">
      <c r="B322" s="53" t="s">
        <v>161</v>
      </c>
      <c r="C322" s="29" t="s">
        <v>102</v>
      </c>
      <c r="D322" s="29" t="s">
        <v>217</v>
      </c>
      <c r="E322" s="51" t="s">
        <v>172</v>
      </c>
      <c r="F322" s="105">
        <f t="shared" ref="F322:M322" si="122">F177*F$247</f>
        <v>0</v>
      </c>
      <c r="G322" s="105">
        <f t="shared" si="122"/>
        <v>0</v>
      </c>
      <c r="H322" s="105">
        <f t="shared" si="122"/>
        <v>0</v>
      </c>
      <c r="I322" s="105">
        <f t="shared" si="122"/>
        <v>0</v>
      </c>
      <c r="J322" s="105">
        <f t="shared" si="122"/>
        <v>0</v>
      </c>
      <c r="K322" s="105">
        <f t="shared" si="122"/>
        <v>0</v>
      </c>
      <c r="L322" s="105">
        <f t="shared" si="122"/>
        <v>0</v>
      </c>
      <c r="M322" s="105">
        <f t="shared" si="122"/>
        <v>0</v>
      </c>
      <c r="N322" s="105">
        <f t="shared" si="94"/>
        <v>0</v>
      </c>
    </row>
    <row r="323" spans="2:14" x14ac:dyDescent="0.5">
      <c r="B323" s="53" t="s">
        <v>161</v>
      </c>
      <c r="C323" s="29" t="s">
        <v>102</v>
      </c>
      <c r="D323" s="29" t="s">
        <v>217</v>
      </c>
      <c r="E323" s="51" t="s">
        <v>172</v>
      </c>
      <c r="F323" s="105">
        <f t="shared" ref="F323:M323" si="123">F178*F$247</f>
        <v>0</v>
      </c>
      <c r="G323" s="105">
        <f t="shared" si="123"/>
        <v>0</v>
      </c>
      <c r="H323" s="105">
        <f t="shared" si="123"/>
        <v>0</v>
      </c>
      <c r="I323" s="105">
        <f t="shared" si="123"/>
        <v>0</v>
      </c>
      <c r="J323" s="105">
        <f t="shared" si="123"/>
        <v>0</v>
      </c>
      <c r="K323" s="105">
        <f t="shared" si="123"/>
        <v>0</v>
      </c>
      <c r="L323" s="105">
        <f t="shared" si="123"/>
        <v>0</v>
      </c>
      <c r="M323" s="105">
        <f t="shared" si="123"/>
        <v>0</v>
      </c>
      <c r="N323" s="105">
        <f t="shared" si="94"/>
        <v>0</v>
      </c>
    </row>
    <row r="324" spans="2:14" x14ac:dyDescent="0.5">
      <c r="B324" s="8" t="s">
        <v>175</v>
      </c>
      <c r="C324" s="29" t="s">
        <v>102</v>
      </c>
      <c r="D324" s="29" t="s">
        <v>217</v>
      </c>
      <c r="E324" s="51" t="s">
        <v>176</v>
      </c>
      <c r="F324" s="105">
        <f t="shared" ref="F324:M324" si="124">F179*F$247</f>
        <v>0</v>
      </c>
      <c r="G324" s="105">
        <f t="shared" si="124"/>
        <v>0</v>
      </c>
      <c r="H324" s="105">
        <f t="shared" si="124"/>
        <v>0</v>
      </c>
      <c r="I324" s="105">
        <f t="shared" si="124"/>
        <v>0</v>
      </c>
      <c r="J324" s="105">
        <f t="shared" si="124"/>
        <v>0</v>
      </c>
      <c r="K324" s="105">
        <f t="shared" si="124"/>
        <v>0</v>
      </c>
      <c r="L324" s="105">
        <f t="shared" si="124"/>
        <v>0</v>
      </c>
      <c r="M324" s="105">
        <f t="shared" si="124"/>
        <v>0</v>
      </c>
      <c r="N324" s="105">
        <f t="shared" si="94"/>
        <v>0</v>
      </c>
    </row>
    <row r="325" spans="2:14" x14ac:dyDescent="0.5">
      <c r="B325" s="8" t="s">
        <v>177</v>
      </c>
      <c r="C325" s="29" t="s">
        <v>102</v>
      </c>
      <c r="D325" s="29" t="s">
        <v>217</v>
      </c>
      <c r="E325" s="51" t="s">
        <v>176</v>
      </c>
      <c r="F325" s="105">
        <f t="shared" ref="F325:M325" si="125">F180*F$247</f>
        <v>0</v>
      </c>
      <c r="G325" s="105">
        <f t="shared" si="125"/>
        <v>0</v>
      </c>
      <c r="H325" s="105">
        <f t="shared" si="125"/>
        <v>0</v>
      </c>
      <c r="I325" s="105">
        <f t="shared" si="125"/>
        <v>0</v>
      </c>
      <c r="J325" s="105">
        <f t="shared" si="125"/>
        <v>0</v>
      </c>
      <c r="K325" s="105">
        <f t="shared" si="125"/>
        <v>0</v>
      </c>
      <c r="L325" s="105">
        <f t="shared" si="125"/>
        <v>0</v>
      </c>
      <c r="M325" s="105">
        <f t="shared" si="125"/>
        <v>0</v>
      </c>
      <c r="N325" s="105">
        <f t="shared" si="94"/>
        <v>0</v>
      </c>
    </row>
    <row r="326" spans="2:14" x14ac:dyDescent="0.5">
      <c r="B326" s="8" t="s">
        <v>178</v>
      </c>
      <c r="C326" s="29" t="s">
        <v>102</v>
      </c>
      <c r="D326" s="29" t="s">
        <v>217</v>
      </c>
      <c r="E326" s="51" t="s">
        <v>176</v>
      </c>
      <c r="F326" s="105">
        <f t="shared" ref="F326:M326" si="126">F181*F$247</f>
        <v>0</v>
      </c>
      <c r="G326" s="105">
        <f t="shared" si="126"/>
        <v>0</v>
      </c>
      <c r="H326" s="105">
        <f t="shared" si="126"/>
        <v>0</v>
      </c>
      <c r="I326" s="105">
        <f t="shared" si="126"/>
        <v>0</v>
      </c>
      <c r="J326" s="105">
        <f t="shared" si="126"/>
        <v>0</v>
      </c>
      <c r="K326" s="105">
        <f t="shared" si="126"/>
        <v>0</v>
      </c>
      <c r="L326" s="105">
        <f t="shared" si="126"/>
        <v>0</v>
      </c>
      <c r="M326" s="105">
        <f t="shared" si="126"/>
        <v>0</v>
      </c>
      <c r="N326" s="105">
        <f t="shared" si="94"/>
        <v>0</v>
      </c>
    </row>
    <row r="327" spans="2:14" x14ac:dyDescent="0.5">
      <c r="B327" s="8" t="s">
        <v>179</v>
      </c>
      <c r="C327" s="29" t="s">
        <v>102</v>
      </c>
      <c r="D327" s="29" t="s">
        <v>217</v>
      </c>
      <c r="E327" s="51" t="s">
        <v>176</v>
      </c>
      <c r="F327" s="105">
        <f t="shared" ref="F327:M327" si="127">F182*F$247</f>
        <v>90.056985525012379</v>
      </c>
      <c r="G327" s="105">
        <f t="shared" si="127"/>
        <v>93.463163708912532</v>
      </c>
      <c r="H327" s="105">
        <f t="shared" si="127"/>
        <v>96.392744532940512</v>
      </c>
      <c r="I327" s="105">
        <f t="shared" si="127"/>
        <v>98.531630719516485</v>
      </c>
      <c r="J327" s="105">
        <f t="shared" si="127"/>
        <v>101.04391324567773</v>
      </c>
      <c r="K327" s="105">
        <f t="shared" si="127"/>
        <v>103.66953033428143</v>
      </c>
      <c r="L327" s="105">
        <f t="shared" si="127"/>
        <v>106.30596142674642</v>
      </c>
      <c r="M327" s="105">
        <f t="shared" si="127"/>
        <v>108.92170946984871</v>
      </c>
      <c r="N327" s="105">
        <f t="shared" si="94"/>
        <v>518.47274519607072</v>
      </c>
    </row>
    <row r="328" spans="2:14" x14ac:dyDescent="0.5">
      <c r="B328" s="53" t="s">
        <v>180</v>
      </c>
      <c r="C328" s="29" t="s">
        <v>102</v>
      </c>
      <c r="D328" s="29" t="s">
        <v>217</v>
      </c>
      <c r="E328" s="51" t="s">
        <v>176</v>
      </c>
      <c r="F328" s="105">
        <f t="shared" ref="F328:M328" si="128">F183*F$247</f>
        <v>43.748973129880007</v>
      </c>
      <c r="G328" s="105">
        <f t="shared" si="128"/>
        <v>45.403667621087941</v>
      </c>
      <c r="H328" s="105">
        <f t="shared" si="128"/>
        <v>46.826834874633363</v>
      </c>
      <c r="I328" s="105">
        <f t="shared" si="128"/>
        <v>47.865888910906818</v>
      </c>
      <c r="J328" s="105">
        <f t="shared" si="128"/>
        <v>49.086335943315753</v>
      </c>
      <c r="K328" s="105">
        <f t="shared" si="128"/>
        <v>50.361840012089779</v>
      </c>
      <c r="L328" s="105">
        <f t="shared" si="128"/>
        <v>51.64259743863051</v>
      </c>
      <c r="M328" s="105">
        <f t="shared" si="128"/>
        <v>52.913307202954506</v>
      </c>
      <c r="N328" s="105">
        <f t="shared" si="94"/>
        <v>251.86996950789737</v>
      </c>
    </row>
    <row r="329" spans="2:14" x14ac:dyDescent="0.5">
      <c r="B329" s="53" t="s">
        <v>181</v>
      </c>
      <c r="C329" s="29" t="s">
        <v>102</v>
      </c>
      <c r="D329" s="29" t="s">
        <v>217</v>
      </c>
      <c r="E329" s="51" t="s">
        <v>176</v>
      </c>
      <c r="F329" s="105">
        <f t="shared" ref="F329:M329" si="129">F184*F$247</f>
        <v>12.620755707126646</v>
      </c>
      <c r="G329" s="105">
        <f t="shared" si="129"/>
        <v>13.098103938397484</v>
      </c>
      <c r="H329" s="105">
        <f t="shared" si="129"/>
        <v>13.50866091727916</v>
      </c>
      <c r="I329" s="105">
        <f t="shared" si="129"/>
        <v>13.808408459224429</v>
      </c>
      <c r="J329" s="105">
        <f t="shared" si="129"/>
        <v>14.160484468043956</v>
      </c>
      <c r="K329" s="105">
        <f t="shared" si="129"/>
        <v>14.528443396077595</v>
      </c>
      <c r="L329" s="105">
        <f t="shared" si="129"/>
        <v>14.897917818996538</v>
      </c>
      <c r="M329" s="105">
        <f t="shared" si="129"/>
        <v>15.26449368039065</v>
      </c>
      <c r="N329" s="105">
        <f t="shared" si="94"/>
        <v>72.659747822733166</v>
      </c>
    </row>
    <row r="330" spans="2:14" x14ac:dyDescent="0.5">
      <c r="B330" s="53" t="s">
        <v>161</v>
      </c>
      <c r="C330" s="29" t="s">
        <v>102</v>
      </c>
      <c r="D330" s="29" t="s">
        <v>217</v>
      </c>
      <c r="E330" s="51" t="s">
        <v>176</v>
      </c>
      <c r="F330" s="105">
        <f t="shared" ref="F330:M330" si="130">F185*F$247</f>
        <v>0</v>
      </c>
      <c r="G330" s="105">
        <f t="shared" si="130"/>
        <v>0</v>
      </c>
      <c r="H330" s="105">
        <f t="shared" si="130"/>
        <v>0</v>
      </c>
      <c r="I330" s="105">
        <f t="shared" si="130"/>
        <v>0</v>
      </c>
      <c r="J330" s="105">
        <f t="shared" si="130"/>
        <v>0</v>
      </c>
      <c r="K330" s="105">
        <f t="shared" si="130"/>
        <v>0</v>
      </c>
      <c r="L330" s="105">
        <f t="shared" si="130"/>
        <v>0</v>
      </c>
      <c r="M330" s="105">
        <f t="shared" si="130"/>
        <v>0</v>
      </c>
      <c r="N330" s="105">
        <f t="shared" si="94"/>
        <v>0</v>
      </c>
    </row>
    <row r="331" spans="2:14" x14ac:dyDescent="0.5">
      <c r="B331" s="53" t="s">
        <v>161</v>
      </c>
      <c r="C331" s="29" t="s">
        <v>102</v>
      </c>
      <c r="D331" s="29" t="s">
        <v>217</v>
      </c>
      <c r="E331" s="51" t="s">
        <v>176</v>
      </c>
      <c r="F331" s="105">
        <f t="shared" ref="F331:M331" si="131">F186*F$247</f>
        <v>0</v>
      </c>
      <c r="G331" s="105">
        <f t="shared" si="131"/>
        <v>0</v>
      </c>
      <c r="H331" s="105">
        <f t="shared" si="131"/>
        <v>0</v>
      </c>
      <c r="I331" s="105">
        <f t="shared" si="131"/>
        <v>0</v>
      </c>
      <c r="J331" s="105">
        <f t="shared" si="131"/>
        <v>0</v>
      </c>
      <c r="K331" s="105">
        <f t="shared" si="131"/>
        <v>0</v>
      </c>
      <c r="L331" s="105">
        <f t="shared" si="131"/>
        <v>0</v>
      </c>
      <c r="M331" s="105">
        <f t="shared" si="131"/>
        <v>0</v>
      </c>
      <c r="N331" s="105">
        <f t="shared" si="94"/>
        <v>0</v>
      </c>
    </row>
    <row r="332" spans="2:14" x14ac:dyDescent="0.5">
      <c r="B332" s="53" t="s">
        <v>161</v>
      </c>
      <c r="C332" s="29" t="s">
        <v>102</v>
      </c>
      <c r="D332" s="29" t="s">
        <v>217</v>
      </c>
      <c r="E332" s="51" t="s">
        <v>176</v>
      </c>
      <c r="F332" s="105">
        <f t="shared" ref="F332:M332" si="132">F187*F$247</f>
        <v>0</v>
      </c>
      <c r="G332" s="105">
        <f t="shared" si="132"/>
        <v>0</v>
      </c>
      <c r="H332" s="105">
        <f t="shared" si="132"/>
        <v>0</v>
      </c>
      <c r="I332" s="105">
        <f t="shared" si="132"/>
        <v>0</v>
      </c>
      <c r="J332" s="105">
        <f t="shared" si="132"/>
        <v>0</v>
      </c>
      <c r="K332" s="105">
        <f t="shared" si="132"/>
        <v>0</v>
      </c>
      <c r="L332" s="105">
        <f t="shared" si="132"/>
        <v>0</v>
      </c>
      <c r="M332" s="105">
        <f t="shared" si="132"/>
        <v>0</v>
      </c>
      <c r="N332" s="105">
        <f t="shared" si="94"/>
        <v>0</v>
      </c>
    </row>
    <row r="333" spans="2:14" x14ac:dyDescent="0.5">
      <c r="B333" s="8" t="s">
        <v>182</v>
      </c>
      <c r="C333" s="29" t="s">
        <v>102</v>
      </c>
      <c r="D333" s="29" t="s">
        <v>217</v>
      </c>
      <c r="E333" s="51" t="s">
        <v>182</v>
      </c>
      <c r="F333" s="105">
        <f t="shared" ref="F333:M333" si="133">F188*F$247</f>
        <v>0</v>
      </c>
      <c r="G333" s="105">
        <f t="shared" si="133"/>
        <v>0</v>
      </c>
      <c r="H333" s="105">
        <f t="shared" si="133"/>
        <v>0</v>
      </c>
      <c r="I333" s="105">
        <f t="shared" si="133"/>
        <v>0</v>
      </c>
      <c r="J333" s="105">
        <f t="shared" si="133"/>
        <v>0</v>
      </c>
      <c r="K333" s="105">
        <f t="shared" si="133"/>
        <v>0</v>
      </c>
      <c r="L333" s="105">
        <f t="shared" si="133"/>
        <v>0</v>
      </c>
      <c r="M333" s="105">
        <f t="shared" si="133"/>
        <v>0</v>
      </c>
      <c r="N333" s="105">
        <f t="shared" si="94"/>
        <v>0</v>
      </c>
    </row>
    <row r="334" spans="2:14" x14ac:dyDescent="0.5">
      <c r="B334" s="8" t="s">
        <v>183</v>
      </c>
      <c r="C334" s="29" t="s">
        <v>102</v>
      </c>
      <c r="D334" s="29" t="s">
        <v>217</v>
      </c>
      <c r="E334" s="51" t="s">
        <v>184</v>
      </c>
      <c r="F334" s="105">
        <f t="shared" ref="F334:M334" si="134">F189*F$247</f>
        <v>0</v>
      </c>
      <c r="G334" s="105">
        <f t="shared" si="134"/>
        <v>0</v>
      </c>
      <c r="H334" s="105">
        <f t="shared" si="134"/>
        <v>0</v>
      </c>
      <c r="I334" s="105">
        <f t="shared" si="134"/>
        <v>0</v>
      </c>
      <c r="J334" s="105">
        <f t="shared" si="134"/>
        <v>0</v>
      </c>
      <c r="K334" s="105">
        <f t="shared" si="134"/>
        <v>0</v>
      </c>
      <c r="L334" s="105">
        <f t="shared" si="134"/>
        <v>0</v>
      </c>
      <c r="M334" s="105">
        <f t="shared" si="134"/>
        <v>0</v>
      </c>
      <c r="N334" s="105">
        <f t="shared" si="94"/>
        <v>0</v>
      </c>
    </row>
    <row r="335" spans="2:14" x14ac:dyDescent="0.5">
      <c r="B335" s="8" t="s">
        <v>185</v>
      </c>
      <c r="C335" s="29" t="s">
        <v>102</v>
      </c>
      <c r="D335" s="29" t="s">
        <v>217</v>
      </c>
      <c r="E335" s="51" t="s">
        <v>184</v>
      </c>
      <c r="F335" s="105">
        <f t="shared" ref="F335:M335" si="135">F190*F$247</f>
        <v>0</v>
      </c>
      <c r="G335" s="105">
        <f t="shared" si="135"/>
        <v>0</v>
      </c>
      <c r="H335" s="105">
        <f t="shared" si="135"/>
        <v>0</v>
      </c>
      <c r="I335" s="105">
        <f t="shared" si="135"/>
        <v>0</v>
      </c>
      <c r="J335" s="105">
        <f t="shared" si="135"/>
        <v>0</v>
      </c>
      <c r="K335" s="105">
        <f t="shared" si="135"/>
        <v>0</v>
      </c>
      <c r="L335" s="105">
        <f t="shared" si="135"/>
        <v>0</v>
      </c>
      <c r="M335" s="105">
        <f t="shared" si="135"/>
        <v>0</v>
      </c>
      <c r="N335" s="105">
        <f t="shared" si="94"/>
        <v>0</v>
      </c>
    </row>
    <row r="336" spans="2:14" x14ac:dyDescent="0.5">
      <c r="B336" s="8" t="s">
        <v>186</v>
      </c>
      <c r="C336" s="29" t="s">
        <v>102</v>
      </c>
      <c r="D336" s="29" t="s">
        <v>217</v>
      </c>
      <c r="E336" s="51" t="s">
        <v>184</v>
      </c>
      <c r="F336" s="105">
        <f t="shared" ref="F336:M336" si="136">F191*F$247</f>
        <v>7.3246539999999998</v>
      </c>
      <c r="G336" s="105">
        <f t="shared" si="136"/>
        <v>7.6415708151437043</v>
      </c>
      <c r="H336" s="105">
        <f t="shared" si="136"/>
        <v>7.9251810770778226</v>
      </c>
      <c r="I336" s="105">
        <f t="shared" si="136"/>
        <v>8.1731016167157033</v>
      </c>
      <c r="J336" s="105">
        <f t="shared" si="136"/>
        <v>8.4076703841969636</v>
      </c>
      <c r="K336" s="105">
        <f t="shared" si="136"/>
        <v>8.651911724749116</v>
      </c>
      <c r="L336" s="105">
        <f t="shared" si="136"/>
        <v>8.851848545057754</v>
      </c>
      <c r="M336" s="105">
        <f t="shared" si="136"/>
        <v>9.0564057005462768</v>
      </c>
      <c r="N336" s="105">
        <f t="shared" si="94"/>
        <v>43.140937971265814</v>
      </c>
    </row>
    <row r="337" spans="1:14" x14ac:dyDescent="0.5">
      <c r="B337" s="53" t="s">
        <v>161</v>
      </c>
      <c r="C337" s="29" t="s">
        <v>102</v>
      </c>
      <c r="D337" s="29" t="s">
        <v>217</v>
      </c>
      <c r="E337" s="51" t="s">
        <v>184</v>
      </c>
      <c r="F337" s="105">
        <f t="shared" ref="F337:M337" si="137">F192*F$247</f>
        <v>0</v>
      </c>
      <c r="G337" s="105">
        <f t="shared" si="137"/>
        <v>0</v>
      </c>
      <c r="H337" s="105">
        <f t="shared" si="137"/>
        <v>0</v>
      </c>
      <c r="I337" s="105">
        <f t="shared" si="137"/>
        <v>0</v>
      </c>
      <c r="J337" s="105">
        <f t="shared" si="137"/>
        <v>0</v>
      </c>
      <c r="K337" s="105">
        <f t="shared" si="137"/>
        <v>0</v>
      </c>
      <c r="L337" s="105">
        <f t="shared" si="137"/>
        <v>0</v>
      </c>
      <c r="M337" s="105">
        <f t="shared" si="137"/>
        <v>0</v>
      </c>
      <c r="N337" s="105">
        <f t="shared" si="94"/>
        <v>0</v>
      </c>
    </row>
    <row r="338" spans="1:14" x14ac:dyDescent="0.5">
      <c r="B338" s="53" t="s">
        <v>161</v>
      </c>
      <c r="C338" s="29" t="s">
        <v>102</v>
      </c>
      <c r="D338" s="29" t="s">
        <v>217</v>
      </c>
      <c r="E338" s="51" t="s">
        <v>184</v>
      </c>
      <c r="F338" s="105">
        <f t="shared" ref="F338:M338" si="138">F193*F$247</f>
        <v>0</v>
      </c>
      <c r="G338" s="105">
        <f t="shared" si="138"/>
        <v>0</v>
      </c>
      <c r="H338" s="105">
        <f t="shared" si="138"/>
        <v>0</v>
      </c>
      <c r="I338" s="105">
        <f t="shared" si="138"/>
        <v>0</v>
      </c>
      <c r="J338" s="105">
        <f t="shared" si="138"/>
        <v>0</v>
      </c>
      <c r="K338" s="105">
        <f t="shared" si="138"/>
        <v>0</v>
      </c>
      <c r="L338" s="105">
        <f t="shared" si="138"/>
        <v>0</v>
      </c>
      <c r="M338" s="105">
        <f t="shared" si="138"/>
        <v>0</v>
      </c>
      <c r="N338" s="105">
        <f t="shared" si="94"/>
        <v>0</v>
      </c>
    </row>
    <row r="339" spans="1:14" x14ac:dyDescent="0.5">
      <c r="B339" s="53" t="s">
        <v>161</v>
      </c>
      <c r="C339" s="29" t="s">
        <v>102</v>
      </c>
      <c r="D339" s="29" t="s">
        <v>217</v>
      </c>
      <c r="E339" s="51" t="s">
        <v>184</v>
      </c>
      <c r="F339" s="105">
        <f t="shared" ref="F339:M339" si="139">F194*F$247</f>
        <v>0</v>
      </c>
      <c r="G339" s="105">
        <f t="shared" si="139"/>
        <v>0</v>
      </c>
      <c r="H339" s="105">
        <f t="shared" si="139"/>
        <v>0</v>
      </c>
      <c r="I339" s="105">
        <f t="shared" si="139"/>
        <v>0</v>
      </c>
      <c r="J339" s="105">
        <f t="shared" si="139"/>
        <v>0</v>
      </c>
      <c r="K339" s="105">
        <f t="shared" si="139"/>
        <v>0</v>
      </c>
      <c r="L339" s="105">
        <f t="shared" si="139"/>
        <v>0</v>
      </c>
      <c r="M339" s="105">
        <f t="shared" si="139"/>
        <v>0</v>
      </c>
      <c r="N339" s="105">
        <f t="shared" si="94"/>
        <v>0</v>
      </c>
    </row>
    <row r="340" spans="1:14" x14ac:dyDescent="0.5">
      <c r="B340" s="8" t="s">
        <v>187</v>
      </c>
      <c r="C340" s="29" t="s">
        <v>102</v>
      </c>
      <c r="D340" s="29" t="s">
        <v>217</v>
      </c>
      <c r="E340" s="51" t="s">
        <v>187</v>
      </c>
      <c r="F340" s="105">
        <f t="shared" ref="F340:M340" si="140">F195*F$247</f>
        <v>21.38965614999999</v>
      </c>
      <c r="G340" s="105">
        <f t="shared" si="140"/>
        <v>21.611736838258611</v>
      </c>
      <c r="H340" s="105">
        <f t="shared" si="140"/>
        <v>21.731303990173195</v>
      </c>
      <c r="I340" s="105">
        <f t="shared" si="140"/>
        <v>21.166684997546614</v>
      </c>
      <c r="J340" s="105">
        <f t="shared" si="140"/>
        <v>20.689089627636026</v>
      </c>
      <c r="K340" s="105">
        <f t="shared" si="140"/>
        <v>20.278277121604713</v>
      </c>
      <c r="L340" s="105">
        <f t="shared" si="140"/>
        <v>19.9143696743911</v>
      </c>
      <c r="M340" s="105">
        <f t="shared" si="140"/>
        <v>19.595090690101149</v>
      </c>
      <c r="N340" s="105">
        <f t="shared" si="94"/>
        <v>101.64351211127959</v>
      </c>
    </row>
    <row r="341" spans="1:14" x14ac:dyDescent="0.5">
      <c r="B341" s="53" t="s">
        <v>161</v>
      </c>
      <c r="C341" s="29" t="s">
        <v>102</v>
      </c>
      <c r="D341" s="29" t="s">
        <v>217</v>
      </c>
      <c r="E341" s="51" t="s">
        <v>187</v>
      </c>
      <c r="F341" s="105">
        <f t="shared" ref="F341:M341" si="141">F196*F$247</f>
        <v>0</v>
      </c>
      <c r="G341" s="105">
        <f t="shared" si="141"/>
        <v>0</v>
      </c>
      <c r="H341" s="105">
        <f t="shared" si="141"/>
        <v>0</v>
      </c>
      <c r="I341" s="105">
        <f t="shared" si="141"/>
        <v>0</v>
      </c>
      <c r="J341" s="105">
        <f t="shared" si="141"/>
        <v>0</v>
      </c>
      <c r="K341" s="105">
        <f t="shared" si="141"/>
        <v>0</v>
      </c>
      <c r="L341" s="105">
        <f t="shared" si="141"/>
        <v>0</v>
      </c>
      <c r="M341" s="105">
        <f t="shared" si="141"/>
        <v>0</v>
      </c>
      <c r="N341" s="105">
        <f t="shared" si="94"/>
        <v>0</v>
      </c>
    </row>
    <row r="342" spans="1:14" x14ac:dyDescent="0.5">
      <c r="B342" s="53" t="s">
        <v>161</v>
      </c>
      <c r="C342" s="29" t="s">
        <v>102</v>
      </c>
      <c r="D342" s="29" t="s">
        <v>217</v>
      </c>
      <c r="E342" s="51" t="s">
        <v>187</v>
      </c>
      <c r="F342" s="105">
        <f t="shared" ref="F342:M342" si="142">F197*F$247</f>
        <v>0</v>
      </c>
      <c r="G342" s="105">
        <f t="shared" si="142"/>
        <v>0</v>
      </c>
      <c r="H342" s="105">
        <f t="shared" si="142"/>
        <v>0</v>
      </c>
      <c r="I342" s="105">
        <f t="shared" si="142"/>
        <v>0</v>
      </c>
      <c r="J342" s="105">
        <f t="shared" si="142"/>
        <v>0</v>
      </c>
      <c r="K342" s="105">
        <f t="shared" si="142"/>
        <v>0</v>
      </c>
      <c r="L342" s="105">
        <f t="shared" si="142"/>
        <v>0</v>
      </c>
      <c r="M342" s="105">
        <f t="shared" si="142"/>
        <v>0</v>
      </c>
      <c r="N342" s="105">
        <f t="shared" si="94"/>
        <v>0</v>
      </c>
    </row>
    <row r="343" spans="1:14" ht="17" thickBot="1" x14ac:dyDescent="0.55000000000000004">
      <c r="B343" s="54" t="s">
        <v>194</v>
      </c>
      <c r="C343" s="37" t="s">
        <v>102</v>
      </c>
      <c r="D343" s="37" t="s">
        <v>217</v>
      </c>
      <c r="E343" s="52" t="s">
        <v>184</v>
      </c>
      <c r="F343" s="121"/>
      <c r="G343" s="106">
        <f t="shared" ref="G343:M343" si="143">G198*G$247</f>
        <v>0</v>
      </c>
      <c r="H343" s="106">
        <f t="shared" si="143"/>
        <v>-15.521335686784882</v>
      </c>
      <c r="I343" s="106">
        <f t="shared" si="143"/>
        <v>-19.349366389692413</v>
      </c>
      <c r="J343" s="106">
        <f t="shared" si="143"/>
        <v>-20.639940968991841</v>
      </c>
      <c r="K343" s="106">
        <f t="shared" si="143"/>
        <v>-21.819443293039757</v>
      </c>
      <c r="L343" s="106">
        <f t="shared" si="143"/>
        <v>3.5252456362702387</v>
      </c>
      <c r="M343" s="106">
        <f t="shared" si="143"/>
        <v>3.6134864616429567</v>
      </c>
      <c r="N343" s="106">
        <f t="shared" si="94"/>
        <v>-54.670018553810813</v>
      </c>
    </row>
    <row r="344" spans="1:14" x14ac:dyDescent="0.5">
      <c r="B344" s="53" t="s">
        <v>195</v>
      </c>
      <c r="C344" s="29" t="s">
        <v>102</v>
      </c>
      <c r="D344" s="29" t="s">
        <v>217</v>
      </c>
      <c r="E344" s="51"/>
      <c r="F344" s="105">
        <f t="shared" ref="F344:M344" si="144">F199*F$247</f>
        <v>1085.0720475308005</v>
      </c>
      <c r="G344" s="105">
        <f t="shared" si="144"/>
        <v>1129.4989841977761</v>
      </c>
      <c r="H344" s="105">
        <f t="shared" si="144"/>
        <v>1148.5840473778571</v>
      </c>
      <c r="I344" s="105">
        <f t="shared" si="144"/>
        <v>1168.3364706368382</v>
      </c>
      <c r="J344" s="105">
        <f t="shared" si="144"/>
        <v>1201.9404094272495</v>
      </c>
      <c r="K344" s="105">
        <f t="shared" si="144"/>
        <v>1238.0437121844632</v>
      </c>
      <c r="L344" s="105">
        <f t="shared" si="144"/>
        <v>1300.9131293459941</v>
      </c>
      <c r="M344" s="105">
        <f t="shared" si="144"/>
        <v>1338.275030788893</v>
      </c>
      <c r="N344" s="105">
        <f t="shared" si="94"/>
        <v>6247.5087523834381</v>
      </c>
    </row>
    <row r="346" spans="1:14" ht="19" thickBot="1" x14ac:dyDescent="0.55000000000000004">
      <c r="A346" s="14" t="s">
        <v>38</v>
      </c>
    </row>
    <row r="347" spans="1:14" ht="17" thickTop="1" x14ac:dyDescent="0.5"/>
    <row r="348" spans="1:14" ht="17" thickBot="1" x14ac:dyDescent="0.55000000000000004">
      <c r="B348" s="27" t="s">
        <v>196</v>
      </c>
      <c r="C348" s="27" t="s">
        <v>96</v>
      </c>
      <c r="D348" s="27" t="s">
        <v>97</v>
      </c>
      <c r="E348" s="50"/>
      <c r="F348" s="11">
        <v>2024</v>
      </c>
      <c r="G348" s="11">
        <v>2025</v>
      </c>
      <c r="H348" s="11">
        <f>G348+1</f>
        <v>2026</v>
      </c>
      <c r="I348" s="11">
        <f t="shared" ref="I348" si="145">H348+1</f>
        <v>2027</v>
      </c>
      <c r="J348" s="11">
        <f t="shared" ref="J348" si="146">I348+1</f>
        <v>2028</v>
      </c>
      <c r="K348" s="11">
        <f t="shared" ref="K348" si="147">J348+1</f>
        <v>2029</v>
      </c>
      <c r="L348" s="11">
        <f t="shared" ref="L348" si="148">K348+1</f>
        <v>2030</v>
      </c>
      <c r="M348" s="11">
        <f>L348+1</f>
        <v>2031</v>
      </c>
      <c r="N348" s="27" t="s">
        <v>190</v>
      </c>
    </row>
    <row r="349" spans="1:14" x14ac:dyDescent="0.5">
      <c r="B349" s="8" t="s">
        <v>197</v>
      </c>
      <c r="C349" s="29" t="s">
        <v>102</v>
      </c>
      <c r="D349" s="29" t="s">
        <v>217</v>
      </c>
      <c r="E349" s="118"/>
      <c r="F349" s="105">
        <f t="shared" ref="F349:M349" si="149">F204*F$247</f>
        <v>19.432707488019066</v>
      </c>
      <c r="G349" s="105">
        <f>G204*G$247</f>
        <v>13.996463469714605</v>
      </c>
      <c r="H349" s="105">
        <f t="shared" si="149"/>
        <v>14.306922033063094</v>
      </c>
      <c r="I349" s="105">
        <f t="shared" si="149"/>
        <v>14.573287553612525</v>
      </c>
      <c r="J349" s="105">
        <f t="shared" si="149"/>
        <v>14.78231549613618</v>
      </c>
      <c r="K349" s="105">
        <f t="shared" si="149"/>
        <v>14.99827685157665</v>
      </c>
      <c r="L349" s="105">
        <f t="shared" si="149"/>
        <v>15.163362871413788</v>
      </c>
      <c r="M349" s="105">
        <f t="shared" si="149"/>
        <v>15.380305033041255</v>
      </c>
      <c r="N349" s="105">
        <f t="shared" ref="N349:N363" si="150">SUM(I349:M349)</f>
        <v>74.897547805780405</v>
      </c>
    </row>
    <row r="350" spans="1:14" x14ac:dyDescent="0.5">
      <c r="B350" s="8" t="s">
        <v>198</v>
      </c>
      <c r="C350" s="29" t="s">
        <v>102</v>
      </c>
      <c r="D350" s="29" t="s">
        <v>217</v>
      </c>
      <c r="E350" s="118"/>
      <c r="F350" s="105">
        <f t="shared" ref="F350:M350" si="151">F205*F$247</f>
        <v>2.9244294529702164</v>
      </c>
      <c r="G350" s="105">
        <f t="shared" si="151"/>
        <v>2.6278093133354798</v>
      </c>
      <c r="H350" s="105">
        <f t="shared" si="151"/>
        <v>2.6860973162968844</v>
      </c>
      <c r="I350" s="105">
        <f t="shared" si="151"/>
        <v>2.7361069345955213</v>
      </c>
      <c r="J350" s="105">
        <f t="shared" si="151"/>
        <v>2.7753515320111148</v>
      </c>
      <c r="K350" s="105">
        <f t="shared" si="151"/>
        <v>2.8158978644739534</v>
      </c>
      <c r="L350" s="105">
        <f t="shared" si="151"/>
        <v>2.8468924497395958</v>
      </c>
      <c r="M350" s="105">
        <f t="shared" si="151"/>
        <v>2.8876229266928148</v>
      </c>
      <c r="N350" s="105">
        <f t="shared" si="150"/>
        <v>14.061871707513001</v>
      </c>
    </row>
    <row r="351" spans="1:14" x14ac:dyDescent="0.5">
      <c r="B351" s="8" t="s">
        <v>199</v>
      </c>
      <c r="C351" s="29" t="s">
        <v>102</v>
      </c>
      <c r="D351" s="29" t="s">
        <v>217</v>
      </c>
      <c r="E351" s="118"/>
      <c r="F351" s="105">
        <f t="shared" ref="F351:M351" si="152">F206*F$247</f>
        <v>1.47049400145982</v>
      </c>
      <c r="G351" s="105">
        <f t="shared" si="152"/>
        <v>1.2941203055647206</v>
      </c>
      <c r="H351" s="105">
        <f t="shared" si="152"/>
        <v>1.3228254661029579</v>
      </c>
      <c r="I351" s="105">
        <f t="shared" si="152"/>
        <v>1.3474537609283768</v>
      </c>
      <c r="J351" s="105">
        <f t="shared" si="152"/>
        <v>1.3667805934125679</v>
      </c>
      <c r="K351" s="105">
        <f t="shared" si="152"/>
        <v>1.3867484928678502</v>
      </c>
      <c r="L351" s="105">
        <f t="shared" si="152"/>
        <v>1.402012432283573</v>
      </c>
      <c r="M351" s="105">
        <f t="shared" si="152"/>
        <v>1.4220710175899749</v>
      </c>
      <c r="N351" s="105">
        <f t="shared" si="150"/>
        <v>6.925066297082342</v>
      </c>
    </row>
    <row r="352" spans="1:14" x14ac:dyDescent="0.5">
      <c r="B352" s="8" t="s">
        <v>118</v>
      </c>
      <c r="C352" s="29" t="s">
        <v>102</v>
      </c>
      <c r="D352" s="29" t="s">
        <v>217</v>
      </c>
      <c r="E352" s="118"/>
      <c r="F352" s="105">
        <f t="shared" ref="F352:M352" si="153">F207*F$247</f>
        <v>39.620419593077692</v>
      </c>
      <c r="G352" s="105">
        <f t="shared" si="153"/>
        <v>25.140604361591585</v>
      </c>
      <c r="H352" s="105">
        <f t="shared" si="153"/>
        <v>25.698253508370776</v>
      </c>
      <c r="I352" s="105">
        <f t="shared" si="153"/>
        <v>26.176702238094009</v>
      </c>
      <c r="J352" s="105">
        <f t="shared" si="153"/>
        <v>26.552160568326904</v>
      </c>
      <c r="K352" s="105">
        <f t="shared" si="153"/>
        <v>26.940072772454037</v>
      </c>
      <c r="L352" s="105">
        <f t="shared" si="153"/>
        <v>27.236602129268771</v>
      </c>
      <c r="M352" s="105">
        <f t="shared" si="153"/>
        <v>27.626276068448188</v>
      </c>
      <c r="N352" s="105">
        <f t="shared" si="150"/>
        <v>134.53181377659192</v>
      </c>
    </row>
    <row r="353" spans="1:14" x14ac:dyDescent="0.5">
      <c r="B353" s="8" t="s">
        <v>200</v>
      </c>
      <c r="C353" s="29" t="s">
        <v>102</v>
      </c>
      <c r="D353" s="29" t="s">
        <v>217</v>
      </c>
      <c r="E353" s="118"/>
      <c r="F353" s="105">
        <f t="shared" ref="F353:M353" si="154">F208*F$247</f>
        <v>4.9154627389823693</v>
      </c>
      <c r="G353" s="105">
        <f t="shared" si="154"/>
        <v>1.1987971888075222</v>
      </c>
      <c r="H353" s="105">
        <f t="shared" si="154"/>
        <v>1.2253879668128875</v>
      </c>
      <c r="I353" s="105">
        <f t="shared" si="154"/>
        <v>1.2482021754107129</v>
      </c>
      <c r="J353" s="105">
        <f t="shared" si="154"/>
        <v>1.266105420071179</v>
      </c>
      <c r="K353" s="105">
        <f t="shared" si="154"/>
        <v>1.2846025115938546</v>
      </c>
      <c r="L353" s="105">
        <f t="shared" si="154"/>
        <v>1.2987421302854198</v>
      </c>
      <c r="M353" s="105">
        <f t="shared" si="154"/>
        <v>1.3173232278645024</v>
      </c>
      <c r="N353" s="105">
        <f t="shared" si="150"/>
        <v>6.4149754652256687</v>
      </c>
    </row>
    <row r="354" spans="1:14" x14ac:dyDescent="0.5">
      <c r="B354" s="8" t="s">
        <v>201</v>
      </c>
      <c r="C354" s="29" t="s">
        <v>102</v>
      </c>
      <c r="D354" s="29" t="s">
        <v>217</v>
      </c>
      <c r="E354" s="118"/>
      <c r="F354" s="105">
        <f t="shared" ref="F354:M354" si="155">F209*F$247</f>
        <v>3.0799448867157535</v>
      </c>
      <c r="G354" s="105">
        <f t="shared" si="155"/>
        <v>2.8604465585532934</v>
      </c>
      <c r="H354" s="105">
        <f t="shared" si="155"/>
        <v>2.9238947382327631</v>
      </c>
      <c r="I354" s="105">
        <f t="shared" si="155"/>
        <v>2.9783316564029509</v>
      </c>
      <c r="J354" s="105">
        <f t="shared" si="155"/>
        <v>3.0210505375065253</v>
      </c>
      <c r="K354" s="105">
        <f t="shared" si="155"/>
        <v>3.0651863949169971</v>
      </c>
      <c r="L354" s="105">
        <f t="shared" si="155"/>
        <v>3.0989248988133697</v>
      </c>
      <c r="M354" s="105">
        <f t="shared" si="155"/>
        <v>3.1432612028358209</v>
      </c>
      <c r="N354" s="105">
        <f t="shared" si="150"/>
        <v>15.306754690475664</v>
      </c>
    </row>
    <row r="355" spans="1:14" x14ac:dyDescent="0.5">
      <c r="B355" s="8" t="s">
        <v>202</v>
      </c>
      <c r="C355" s="29" t="s">
        <v>102</v>
      </c>
      <c r="D355" s="29" t="s">
        <v>217</v>
      </c>
      <c r="E355" s="118"/>
      <c r="F355" s="105">
        <f t="shared" ref="F355:M355" si="156">F210*F$247</f>
        <v>2.1593937642123624</v>
      </c>
      <c r="G355" s="105">
        <f t="shared" si="156"/>
        <v>1.1099474651975907</v>
      </c>
      <c r="H355" s="105">
        <f t="shared" si="156"/>
        <v>1.1345674483942865</v>
      </c>
      <c r="I355" s="105">
        <f t="shared" si="156"/>
        <v>1.1556907653657205</v>
      </c>
      <c r="J355" s="105">
        <f t="shared" si="156"/>
        <v>1.172267098055876</v>
      </c>
      <c r="K355" s="105">
        <f t="shared" si="156"/>
        <v>1.1893932642170966</v>
      </c>
      <c r="L355" s="105">
        <f t="shared" si="156"/>
        <v>1.2024849148082817</v>
      </c>
      <c r="M355" s="105">
        <f t="shared" si="156"/>
        <v>1.2196888608560759</v>
      </c>
      <c r="N355" s="105">
        <f t="shared" si="150"/>
        <v>5.9395249033030506</v>
      </c>
    </row>
    <row r="356" spans="1:14" x14ac:dyDescent="0.5">
      <c r="B356" s="8" t="s">
        <v>203</v>
      </c>
      <c r="C356" s="29" t="s">
        <v>102</v>
      </c>
      <c r="D356" s="29" t="s">
        <v>217</v>
      </c>
      <c r="E356" s="118"/>
      <c r="F356" s="105">
        <f t="shared" ref="F356:M356" si="157">F211*F$247</f>
        <v>123.395</v>
      </c>
      <c r="G356" s="105">
        <f t="shared" si="157"/>
        <v>123.89076977630167</v>
      </c>
      <c r="H356" s="105">
        <f t="shared" si="157"/>
        <v>126.63881755852285</v>
      </c>
      <c r="I356" s="105">
        <f t="shared" si="157"/>
        <v>128.9965723909589</v>
      </c>
      <c r="J356" s="105">
        <f t="shared" si="157"/>
        <v>130.84679925434099</v>
      </c>
      <c r="K356" s="105">
        <f t="shared" si="157"/>
        <v>132.75839775387246</v>
      </c>
      <c r="L356" s="105">
        <f t="shared" si="157"/>
        <v>134.21966931873482</v>
      </c>
      <c r="M356" s="105">
        <f t="shared" si="157"/>
        <v>136.13994949944748</v>
      </c>
      <c r="N356" s="105">
        <f t="shared" si="150"/>
        <v>662.96138821735462</v>
      </c>
    </row>
    <row r="357" spans="1:14" x14ac:dyDescent="0.5">
      <c r="B357" s="8" t="s">
        <v>204</v>
      </c>
      <c r="C357" s="29" t="s">
        <v>102</v>
      </c>
      <c r="D357" s="29" t="s">
        <v>217</v>
      </c>
      <c r="E357" s="118"/>
      <c r="F357" s="105">
        <f t="shared" ref="F357:M357" si="158">F212*F$247</f>
        <v>11.02</v>
      </c>
      <c r="G357" s="105">
        <f t="shared" si="158"/>
        <v>11.064275561690867</v>
      </c>
      <c r="H357" s="105">
        <f t="shared" si="158"/>
        <v>11.309694635073722</v>
      </c>
      <c r="I357" s="105">
        <f t="shared" si="158"/>
        <v>11.520257933857671</v>
      </c>
      <c r="J357" s="105">
        <f t="shared" si="158"/>
        <v>11.68549558558157</v>
      </c>
      <c r="K357" s="105">
        <f t="shared" si="158"/>
        <v>11.856214135480974</v>
      </c>
      <c r="L357" s="105">
        <f t="shared" si="158"/>
        <v>11.986715473823558</v>
      </c>
      <c r="M357" s="105">
        <f t="shared" si="158"/>
        <v>12.158209356002361</v>
      </c>
      <c r="N357" s="105">
        <f t="shared" si="150"/>
        <v>59.206892484746135</v>
      </c>
    </row>
    <row r="358" spans="1:14" x14ac:dyDescent="0.5">
      <c r="B358" s="8" t="s">
        <v>205</v>
      </c>
      <c r="C358" s="29" t="s">
        <v>102</v>
      </c>
      <c r="D358" s="29" t="s">
        <v>217</v>
      </c>
      <c r="E358" s="118"/>
      <c r="F358" s="105">
        <f t="shared" ref="F358:M358" si="159">F213*F$247</f>
        <v>65.749736999999996</v>
      </c>
      <c r="G358" s="105">
        <f t="shared" si="159"/>
        <v>66.013902747432098</v>
      </c>
      <c r="H358" s="105">
        <f t="shared" si="159"/>
        <v>67.478171307296563</v>
      </c>
      <c r="I358" s="105">
        <f t="shared" si="159"/>
        <v>68.734476345127504</v>
      </c>
      <c r="J358" s="105">
        <f t="shared" si="159"/>
        <v>69.720350405322066</v>
      </c>
      <c r="K358" s="105">
        <f t="shared" si="159"/>
        <v>70.738925700867171</v>
      </c>
      <c r="L358" s="105">
        <f t="shared" si="159"/>
        <v>71.517548992534415</v>
      </c>
      <c r="M358" s="105">
        <f t="shared" si="159"/>
        <v>72.54075023122455</v>
      </c>
      <c r="N358" s="105">
        <f t="shared" si="150"/>
        <v>353.25205167507573</v>
      </c>
    </row>
    <row r="359" spans="1:14" x14ac:dyDescent="0.5">
      <c r="B359" s="8" t="s">
        <v>206</v>
      </c>
      <c r="C359" s="29" t="s">
        <v>102</v>
      </c>
      <c r="D359" s="29" t="s">
        <v>217</v>
      </c>
      <c r="E359" s="118"/>
      <c r="F359" s="105">
        <f t="shared" ref="F359:M359" si="160">F214*F$247</f>
        <v>0.61050000000000004</v>
      </c>
      <c r="G359" s="105">
        <f t="shared" si="160"/>
        <v>0.61295283397570544</v>
      </c>
      <c r="H359" s="105">
        <f t="shared" si="160"/>
        <v>0.62654887247844893</v>
      </c>
      <c r="I359" s="105">
        <f t="shared" si="160"/>
        <v>0.63821392637206065</v>
      </c>
      <c r="J359" s="105">
        <f t="shared" si="160"/>
        <v>0.6473679723228265</v>
      </c>
      <c r="K359" s="105">
        <f t="shared" si="160"/>
        <v>0.65682565605364196</v>
      </c>
      <c r="L359" s="105">
        <f t="shared" si="160"/>
        <v>0.66405533546000739</v>
      </c>
      <c r="M359" s="105">
        <f t="shared" si="160"/>
        <v>0.67355597203624695</v>
      </c>
      <c r="N359" s="105">
        <f t="shared" si="150"/>
        <v>3.2800188622447837</v>
      </c>
    </row>
    <row r="360" spans="1:14" x14ac:dyDescent="0.5">
      <c r="B360" s="8" t="s">
        <v>207</v>
      </c>
      <c r="C360" s="29" t="s">
        <v>102</v>
      </c>
      <c r="D360" s="29" t="s">
        <v>217</v>
      </c>
      <c r="E360" s="118"/>
      <c r="F360" s="105">
        <f t="shared" ref="F360:M360" si="161">F215*F$247</f>
        <v>9.5380000000000003</v>
      </c>
      <c r="G360" s="105">
        <f t="shared" si="161"/>
        <v>9.576321262015199</v>
      </c>
      <c r="H360" s="105">
        <f t="shared" si="161"/>
        <v>9.7887357013913956</v>
      </c>
      <c r="I360" s="105">
        <f t="shared" si="161"/>
        <v>9.9709818668906038</v>
      </c>
      <c r="J360" s="105">
        <f t="shared" si="161"/>
        <v>10.113997903382669</v>
      </c>
      <c r="K360" s="105">
        <f t="shared" si="161"/>
        <v>10.261757751743877</v>
      </c>
      <c r="L360" s="105">
        <f t="shared" si="161"/>
        <v>10.374708910102459</v>
      </c>
      <c r="M360" s="105">
        <f t="shared" si="161"/>
        <v>10.523139821919285</v>
      </c>
      <c r="N360" s="105">
        <f t="shared" si="150"/>
        <v>51.244586254038893</v>
      </c>
    </row>
    <row r="361" spans="1:14" x14ac:dyDescent="0.5">
      <c r="B361" s="8" t="s">
        <v>208</v>
      </c>
      <c r="C361" s="29" t="s">
        <v>102</v>
      </c>
      <c r="D361" s="29" t="s">
        <v>217</v>
      </c>
      <c r="E361" s="118"/>
      <c r="F361" s="105">
        <f t="shared" ref="F361:M361" si="162">F216*F$247</f>
        <v>0.97799999999999998</v>
      </c>
      <c r="G361" s="105">
        <f t="shared" si="162"/>
        <v>0.98192935565641259</v>
      </c>
      <c r="H361" s="105">
        <f t="shared" si="162"/>
        <v>1.0037097416608074</v>
      </c>
      <c r="I361" s="105">
        <f t="shared" si="162"/>
        <v>1.0223967567434482</v>
      </c>
      <c r="J361" s="105">
        <f t="shared" si="162"/>
        <v>1.037061223475388</v>
      </c>
      <c r="K361" s="105">
        <f t="shared" si="162"/>
        <v>1.0522121074864237</v>
      </c>
      <c r="L361" s="105">
        <f t="shared" si="162"/>
        <v>1.0637938052086604</v>
      </c>
      <c r="M361" s="105">
        <f t="shared" si="162"/>
        <v>1.0790134982005724</v>
      </c>
      <c r="N361" s="105">
        <f t="shared" si="150"/>
        <v>5.2544773911144924</v>
      </c>
    </row>
    <row r="362" spans="1:14" ht="17" thickBot="1" x14ac:dyDescent="0.55000000000000004">
      <c r="B362" s="48" t="s">
        <v>209</v>
      </c>
      <c r="C362" s="37" t="s">
        <v>102</v>
      </c>
      <c r="D362" s="37" t="s">
        <v>217</v>
      </c>
      <c r="E362" s="37"/>
      <c r="F362" s="156"/>
      <c r="G362" s="106">
        <f t="shared" ref="G362:M362" si="163">G217*G$247</f>
        <v>0</v>
      </c>
      <c r="H362" s="106">
        <f t="shared" si="163"/>
        <v>0</v>
      </c>
      <c r="I362" s="106">
        <f t="shared" si="163"/>
        <v>14.330064072671682</v>
      </c>
      <c r="J362" s="106">
        <f t="shared" si="163"/>
        <v>15.25428613769701</v>
      </c>
      <c r="K362" s="106">
        <f t="shared" si="163"/>
        <v>15.565190170878154</v>
      </c>
      <c r="L362" s="106">
        <f t="shared" si="163"/>
        <v>16.562542245522454</v>
      </c>
      <c r="M362" s="106">
        <f t="shared" si="163"/>
        <v>16.894305903457258</v>
      </c>
      <c r="N362" s="106">
        <f t="shared" si="150"/>
        <v>78.606388530226553</v>
      </c>
    </row>
    <row r="363" spans="1:14" x14ac:dyDescent="0.5">
      <c r="B363" s="8" t="s">
        <v>210</v>
      </c>
      <c r="C363" s="29" t="s">
        <v>102</v>
      </c>
      <c r="D363" s="29" t="s">
        <v>217</v>
      </c>
      <c r="E363" s="118"/>
      <c r="F363" s="105">
        <f t="shared" ref="F363:M363" si="164">F218*F$247</f>
        <v>284.8940889254373</v>
      </c>
      <c r="G363" s="105">
        <f t="shared" si="164"/>
        <v>260.36834019983672</v>
      </c>
      <c r="H363" s="105">
        <f t="shared" si="164"/>
        <v>266.14362629369742</v>
      </c>
      <c r="I363" s="105">
        <f t="shared" si="164"/>
        <v>285.42873837703166</v>
      </c>
      <c r="J363" s="105">
        <f t="shared" si="164"/>
        <v>290.24138972764291</v>
      </c>
      <c r="K363" s="105">
        <f t="shared" si="164"/>
        <v>294.56970142848314</v>
      </c>
      <c r="L363" s="105">
        <f t="shared" si="164"/>
        <v>298.63805590799922</v>
      </c>
      <c r="M363" s="105">
        <f t="shared" si="164"/>
        <v>303.00547261961634</v>
      </c>
      <c r="N363" s="105">
        <f t="shared" si="150"/>
        <v>1471.8833580607732</v>
      </c>
    </row>
    <row r="364" spans="1:14" x14ac:dyDescent="0.5">
      <c r="B364" s="101"/>
      <c r="C364" s="101"/>
      <c r="D364" s="101"/>
      <c r="E364" s="117"/>
      <c r="F364" s="42"/>
      <c r="G364" s="42"/>
      <c r="H364" s="42"/>
      <c r="I364" s="42"/>
      <c r="J364" s="42"/>
      <c r="K364" s="42"/>
      <c r="L364" s="42"/>
      <c r="M364" s="42"/>
    </row>
    <row r="365" spans="1:14" ht="23" thickBot="1" x14ac:dyDescent="0.7">
      <c r="A365" s="13" t="s">
        <v>211</v>
      </c>
    </row>
    <row r="366" spans="1:14" ht="17" thickTop="1" x14ac:dyDescent="0.5"/>
    <row r="367" spans="1:14" ht="17" thickBot="1" x14ac:dyDescent="0.55000000000000004">
      <c r="B367" s="27" t="s">
        <v>98</v>
      </c>
      <c r="C367" s="27" t="s">
        <v>96</v>
      </c>
      <c r="D367" s="27" t="s">
        <v>97</v>
      </c>
      <c r="E367" s="50"/>
      <c r="F367" s="11">
        <v>2024</v>
      </c>
      <c r="G367" s="11">
        <v>2025</v>
      </c>
      <c r="H367" s="11">
        <f>G367+1</f>
        <v>2026</v>
      </c>
      <c r="I367" s="11">
        <f t="shared" ref="I367" si="165">H367+1</f>
        <v>2027</v>
      </c>
      <c r="J367" s="11">
        <f t="shared" ref="J367" si="166">I367+1</f>
        <v>2028</v>
      </c>
      <c r="K367" s="11">
        <f t="shared" ref="K367" si="167">J367+1</f>
        <v>2029</v>
      </c>
      <c r="L367" s="11">
        <f t="shared" ref="L367" si="168">K367+1</f>
        <v>2030</v>
      </c>
      <c r="M367" s="11">
        <f>L367+1</f>
        <v>2031</v>
      </c>
      <c r="N367" s="27" t="s">
        <v>190</v>
      </c>
    </row>
    <row r="368" spans="1:14" x14ac:dyDescent="0.5">
      <c r="B368" s="8" t="s">
        <v>104</v>
      </c>
      <c r="C368" s="29" t="s">
        <v>102</v>
      </c>
      <c r="D368" s="29" t="s">
        <v>217</v>
      </c>
      <c r="E368" s="62"/>
      <c r="F368" s="105">
        <f t="shared" ref="F368:M368" si="169">F223*F$247</f>
        <v>445.51</v>
      </c>
      <c r="G368" s="105">
        <f t="shared" si="169"/>
        <v>464.73511150479334</v>
      </c>
      <c r="H368" s="105">
        <f t="shared" si="169"/>
        <v>477.21858831079487</v>
      </c>
      <c r="I368" s="105">
        <f t="shared" si="169"/>
        <v>483.66132032036103</v>
      </c>
      <c r="J368" s="105">
        <f t="shared" si="169"/>
        <v>490.34198771314107</v>
      </c>
      <c r="K368" s="105">
        <f t="shared" si="169"/>
        <v>497.77935115134744</v>
      </c>
      <c r="L368" s="105">
        <f t="shared" si="169"/>
        <v>505.8503422351626</v>
      </c>
      <c r="M368" s="105">
        <f t="shared" si="169"/>
        <v>513.80344788591344</v>
      </c>
      <c r="N368" s="105">
        <f t="shared" ref="N368:N374" si="170">SUM(I368:M368)</f>
        <v>2491.4364493059256</v>
      </c>
    </row>
    <row r="369" spans="2:14" x14ac:dyDescent="0.5">
      <c r="B369" s="8" t="s">
        <v>112</v>
      </c>
      <c r="C369" s="29" t="s">
        <v>102</v>
      </c>
      <c r="D369" s="29" t="s">
        <v>217</v>
      </c>
      <c r="E369" s="62"/>
      <c r="F369" s="105">
        <f t="shared" ref="F369:M369" si="171">F224*F$247</f>
        <v>235.42</v>
      </c>
      <c r="G369" s="105">
        <f t="shared" si="171"/>
        <v>241.61216223693125</v>
      </c>
      <c r="H369" s="105">
        <f t="shared" si="171"/>
        <v>245.38162161302333</v>
      </c>
      <c r="I369" s="105">
        <f t="shared" si="171"/>
        <v>247.8950441530362</v>
      </c>
      <c r="J369" s="105">
        <f t="shared" si="171"/>
        <v>250.42921591286162</v>
      </c>
      <c r="K369" s="105">
        <f t="shared" si="171"/>
        <v>253.02982134598156</v>
      </c>
      <c r="L369" s="105">
        <f t="shared" si="171"/>
        <v>255.61738201649698</v>
      </c>
      <c r="M369" s="105">
        <f t="shared" si="171"/>
        <v>258.23141497376844</v>
      </c>
      <c r="N369" s="105">
        <f t="shared" si="170"/>
        <v>1265.202878402145</v>
      </c>
    </row>
    <row r="370" spans="2:14" x14ac:dyDescent="0.5">
      <c r="B370" s="8" t="s">
        <v>117</v>
      </c>
      <c r="C370" s="29" t="s">
        <v>102</v>
      </c>
      <c r="D370" s="29" t="s">
        <v>217</v>
      </c>
      <c r="E370" s="62"/>
      <c r="F370" s="105">
        <f t="shared" ref="F370:M370" si="172">F225*F$247</f>
        <v>116.37</v>
      </c>
      <c r="G370" s="116"/>
      <c r="H370" s="116"/>
      <c r="I370" s="105">
        <f t="shared" si="172"/>
        <v>172.46274604072133</v>
      </c>
      <c r="J370" s="105">
        <f t="shared" si="172"/>
        <v>222.76506987947477</v>
      </c>
      <c r="K370" s="105">
        <f t="shared" si="172"/>
        <v>227.3055376039743</v>
      </c>
      <c r="L370" s="105">
        <f t="shared" si="172"/>
        <v>231.85888919817938</v>
      </c>
      <c r="M370" s="105">
        <f t="shared" si="172"/>
        <v>236.50345287175196</v>
      </c>
      <c r="N370" s="105">
        <f t="shared" si="170"/>
        <v>1090.8956955941019</v>
      </c>
    </row>
    <row r="371" spans="2:14" x14ac:dyDescent="0.5">
      <c r="B371" s="8" t="s">
        <v>119</v>
      </c>
      <c r="C371" s="29" t="s">
        <v>102</v>
      </c>
      <c r="D371" s="29" t="s">
        <v>217</v>
      </c>
      <c r="E371" s="62"/>
      <c r="F371" s="105">
        <f t="shared" ref="F371:M371" si="173">F226*F$247</f>
        <v>109.40999999999998</v>
      </c>
      <c r="G371" s="105">
        <f t="shared" si="173"/>
        <v>113.40396402274054</v>
      </c>
      <c r="H371" s="105">
        <f t="shared" si="173"/>
        <v>116.66175923756083</v>
      </c>
      <c r="I371" s="105">
        <f t="shared" si="173"/>
        <v>119.155349275482</v>
      </c>
      <c r="J371" s="105">
        <f t="shared" si="173"/>
        <v>121.94817265692431</v>
      </c>
      <c r="K371" s="105">
        <f t="shared" si="173"/>
        <v>124.84365093772351</v>
      </c>
      <c r="L371" s="105">
        <f t="shared" si="173"/>
        <v>127.74889379250921</v>
      </c>
      <c r="M371" s="105">
        <f t="shared" si="173"/>
        <v>130.65848881044687</v>
      </c>
      <c r="N371" s="105">
        <f t="shared" si="170"/>
        <v>624.35455547308584</v>
      </c>
    </row>
    <row r="372" spans="2:14" x14ac:dyDescent="0.5">
      <c r="B372" s="8" t="s">
        <v>124</v>
      </c>
      <c r="C372" s="29" t="s">
        <v>102</v>
      </c>
      <c r="D372" s="29" t="s">
        <v>217</v>
      </c>
      <c r="E372" s="62"/>
      <c r="F372" s="105">
        <f t="shared" ref="F372:M372" si="174">F227*F$247</f>
        <v>33.119999999999997</v>
      </c>
      <c r="G372" s="105">
        <f t="shared" si="174"/>
        <v>34.553007609309532</v>
      </c>
      <c r="H372" s="105">
        <f t="shared" si="174"/>
        <v>35.83541246764932</v>
      </c>
      <c r="I372" s="105">
        <f t="shared" si="174"/>
        <v>36.956438562916972</v>
      </c>
      <c r="J372" s="105">
        <f t="shared" si="174"/>
        <v>38.017091745849477</v>
      </c>
      <c r="K372" s="105">
        <f t="shared" si="174"/>
        <v>39.121481550349088</v>
      </c>
      <c r="L372" s="105">
        <f t="shared" si="174"/>
        <v>40.025538928161346</v>
      </c>
      <c r="M372" s="105">
        <f t="shared" si="174"/>
        <v>40.950488146210404</v>
      </c>
      <c r="N372" s="105">
        <f t="shared" si="170"/>
        <v>195.07103893348727</v>
      </c>
    </row>
    <row r="373" spans="2:14" x14ac:dyDescent="0.5">
      <c r="B373" s="8" t="s">
        <v>125</v>
      </c>
      <c r="C373" s="29" t="s">
        <v>102</v>
      </c>
      <c r="D373" s="29" t="s">
        <v>217</v>
      </c>
      <c r="E373" s="62"/>
      <c r="F373" s="105">
        <f t="shared" ref="F373:M373" si="175">F228*F$247</f>
        <v>25.64</v>
      </c>
      <c r="G373" s="105">
        <f t="shared" si="175"/>
        <v>26.260037031639577</v>
      </c>
      <c r="H373" s="105">
        <f t="shared" si="175"/>
        <v>26.642204948597509</v>
      </c>
      <c r="I373" s="105">
        <f t="shared" si="175"/>
        <v>26.90731798419025</v>
      </c>
      <c r="J373" s="105">
        <f t="shared" si="175"/>
        <v>27.18034473722</v>
      </c>
      <c r="K373" s="105">
        <f t="shared" si="175"/>
        <v>27.456975607817011</v>
      </c>
      <c r="L373" s="105">
        <f t="shared" si="175"/>
        <v>27.726895596317711</v>
      </c>
      <c r="M373" s="105">
        <f t="shared" si="175"/>
        <v>27.999469074453714</v>
      </c>
      <c r="N373" s="105">
        <f t="shared" si="170"/>
        <v>137.2710029999987</v>
      </c>
    </row>
    <row r="374" spans="2:14" x14ac:dyDescent="0.5">
      <c r="B374" s="8" t="s">
        <v>127</v>
      </c>
      <c r="C374" s="29" t="s">
        <v>102</v>
      </c>
      <c r="D374" s="29" t="s">
        <v>217</v>
      </c>
      <c r="E374" s="62"/>
      <c r="F374" s="105">
        <f t="shared" ref="F374:M374" si="176">F229*F$247</f>
        <v>554.22835543340591</v>
      </c>
      <c r="G374" s="105">
        <f t="shared" si="176"/>
        <v>570.21867094397805</v>
      </c>
      <c r="H374" s="105">
        <f t="shared" si="176"/>
        <v>581.2234951593349</v>
      </c>
      <c r="I374" s="105">
        <f t="shared" si="176"/>
        <v>595.9973399562756</v>
      </c>
      <c r="J374" s="105">
        <f t="shared" si="176"/>
        <v>604.32248319840244</v>
      </c>
      <c r="K374" s="105">
        <f t="shared" si="176"/>
        <v>612.39317386019513</v>
      </c>
      <c r="L374" s="105">
        <f t="shared" si="176"/>
        <v>614.76715185891112</v>
      </c>
      <c r="M374" s="105">
        <f t="shared" si="176"/>
        <v>622.57971805682052</v>
      </c>
      <c r="N374" s="105">
        <f t="shared" si="170"/>
        <v>3050.0598669306046</v>
      </c>
    </row>
    <row r="375" spans="2:14" x14ac:dyDescent="0.5">
      <c r="F375" s="157"/>
      <c r="G375" s="157"/>
      <c r="H375" s="157"/>
      <c r="I375" s="157"/>
      <c r="J375" s="157"/>
      <c r="K375" s="49"/>
      <c r="L375" s="49"/>
      <c r="M375" s="49"/>
    </row>
    <row r="376" spans="2:14" ht="17" thickBot="1" x14ac:dyDescent="0.55000000000000004">
      <c r="B376" s="27" t="s">
        <v>144</v>
      </c>
      <c r="C376" s="27" t="s">
        <v>96</v>
      </c>
      <c r="D376" s="27" t="s">
        <v>97</v>
      </c>
      <c r="E376" s="50"/>
      <c r="F376" s="11">
        <v>2024</v>
      </c>
      <c r="G376" s="11">
        <v>2025</v>
      </c>
      <c r="H376" s="11">
        <f>G376+1</f>
        <v>2026</v>
      </c>
      <c r="I376" s="11">
        <f t="shared" ref="I376" si="177">H376+1</f>
        <v>2027</v>
      </c>
      <c r="J376" s="11">
        <f t="shared" ref="J376" si="178">I376+1</f>
        <v>2028</v>
      </c>
      <c r="K376" s="11">
        <f t="shared" ref="K376" si="179">J376+1</f>
        <v>2029</v>
      </c>
      <c r="L376" s="11">
        <f t="shared" ref="L376" si="180">K376+1</f>
        <v>2030</v>
      </c>
      <c r="M376" s="11">
        <f>L376+1</f>
        <v>2031</v>
      </c>
      <c r="N376" s="27" t="s">
        <v>190</v>
      </c>
    </row>
    <row r="377" spans="2:14" x14ac:dyDescent="0.5">
      <c r="B377" s="8" t="s">
        <v>147</v>
      </c>
      <c r="C377" s="29" t="s">
        <v>102</v>
      </c>
      <c r="D377" s="29" t="s">
        <v>217</v>
      </c>
      <c r="E377" s="62"/>
      <c r="F377" s="105">
        <f t="shared" ref="F377:M377" si="181">F232*F$247</f>
        <v>462.97458515603336</v>
      </c>
      <c r="G377" s="105">
        <f t="shared" si="181"/>
        <v>479.61870273538199</v>
      </c>
      <c r="H377" s="105">
        <f t="shared" si="181"/>
        <v>495.55615350432515</v>
      </c>
      <c r="I377" s="105">
        <f t="shared" si="181"/>
        <v>505.50182784847715</v>
      </c>
      <c r="J377" s="105">
        <f t="shared" si="181"/>
        <v>519.08183540248012</v>
      </c>
      <c r="K377" s="105">
        <f t="shared" si="181"/>
        <v>533.70495178423403</v>
      </c>
      <c r="L377" s="105">
        <f t="shared" si="181"/>
        <v>548.51406063577792</v>
      </c>
      <c r="M377" s="105">
        <f t="shared" si="181"/>
        <v>562.99576420493804</v>
      </c>
      <c r="N377" s="105">
        <f t="shared" ref="N377:N385" si="182">SUM(I377:M377)</f>
        <v>2669.7984398759072</v>
      </c>
    </row>
    <row r="378" spans="2:14" x14ac:dyDescent="0.5">
      <c r="B378" s="8" t="s">
        <v>162</v>
      </c>
      <c r="C378" s="29" t="s">
        <v>102</v>
      </c>
      <c r="D378" s="29" t="s">
        <v>217</v>
      </c>
      <c r="E378" s="62"/>
      <c r="F378" s="105">
        <f t="shared" ref="F378:M378" si="183">F233*F$247</f>
        <v>202.89531700000001</v>
      </c>
      <c r="G378" s="105">
        <f t="shared" si="183"/>
        <v>217.28904843921043</v>
      </c>
      <c r="H378" s="105">
        <f t="shared" si="183"/>
        <v>224.15681318821453</v>
      </c>
      <c r="I378" s="105">
        <f t="shared" si="183"/>
        <v>230.89709376173582</v>
      </c>
      <c r="J378" s="105">
        <f t="shared" si="183"/>
        <v>240.7531798156879</v>
      </c>
      <c r="K378" s="105">
        <f t="shared" si="183"/>
        <v>251.23802242029129</v>
      </c>
      <c r="L378" s="105">
        <f t="shared" si="183"/>
        <v>261.89659312305588</v>
      </c>
      <c r="M378" s="105">
        <f t="shared" si="183"/>
        <v>272.6683442138376</v>
      </c>
      <c r="N378" s="105">
        <f t="shared" si="182"/>
        <v>1257.4532333346085</v>
      </c>
    </row>
    <row r="379" spans="2:14" x14ac:dyDescent="0.5">
      <c r="B379" s="8" t="s">
        <v>166</v>
      </c>
      <c r="C379" s="29" t="s">
        <v>102</v>
      </c>
      <c r="D379" s="29" t="s">
        <v>217</v>
      </c>
      <c r="E379" s="62"/>
      <c r="F379" s="105">
        <f t="shared" ref="F379:M379" si="184">F234*F$247</f>
        <v>53.079143000000002</v>
      </c>
      <c r="G379" s="105">
        <f t="shared" si="184"/>
        <v>53.183959261074904</v>
      </c>
      <c r="H379" s="105">
        <f t="shared" si="184"/>
        <v>53.664456624533365</v>
      </c>
      <c r="I379" s="105">
        <f t="shared" si="184"/>
        <v>53.697083160961199</v>
      </c>
      <c r="J379" s="105">
        <f t="shared" si="184"/>
        <v>54.329227748217257</v>
      </c>
      <c r="K379" s="105">
        <f t="shared" si="184"/>
        <v>55.012698661974113</v>
      </c>
      <c r="L379" s="105">
        <f t="shared" si="184"/>
        <v>55.663781183693935</v>
      </c>
      <c r="M379" s="105">
        <f t="shared" si="184"/>
        <v>56.252632036553379</v>
      </c>
      <c r="N379" s="105">
        <f t="shared" si="182"/>
        <v>274.95542279139988</v>
      </c>
    </row>
    <row r="380" spans="2:14" x14ac:dyDescent="0.5">
      <c r="B380" s="8" t="s">
        <v>168</v>
      </c>
      <c r="C380" s="29" t="s">
        <v>102</v>
      </c>
      <c r="D380" s="29" t="s">
        <v>217</v>
      </c>
      <c r="E380" s="62"/>
      <c r="F380" s="105">
        <f t="shared" ref="F380:M380" si="185">F235*F$247</f>
        <v>69.742531808565673</v>
      </c>
      <c r="G380" s="105">
        <f t="shared" si="185"/>
        <v>73.150587663386077</v>
      </c>
      <c r="H380" s="105">
        <f t="shared" si="185"/>
        <v>76.294600405694226</v>
      </c>
      <c r="I380" s="105">
        <f t="shared" si="185"/>
        <v>78.798789983929879</v>
      </c>
      <c r="J380" s="105">
        <f t="shared" si="185"/>
        <v>81.697942502586827</v>
      </c>
      <c r="K380" s="105">
        <f t="shared" si="185"/>
        <v>84.751539128162307</v>
      </c>
      <c r="L380" s="105">
        <f t="shared" si="185"/>
        <v>87.868382863867637</v>
      </c>
      <c r="M380" s="105">
        <f t="shared" si="185"/>
        <v>91.011964778960461</v>
      </c>
      <c r="N380" s="105">
        <f t="shared" si="182"/>
        <v>424.12861925750713</v>
      </c>
    </row>
    <row r="381" spans="2:14" x14ac:dyDescent="0.5">
      <c r="B381" s="8" t="s">
        <v>172</v>
      </c>
      <c r="C381" s="29" t="s">
        <v>102</v>
      </c>
      <c r="D381" s="29" t="s">
        <v>217</v>
      </c>
      <c r="E381" s="62"/>
      <c r="F381" s="105">
        <f t="shared" ref="F381:M381" si="186">F236*F$247</f>
        <v>121.23944605418258</v>
      </c>
      <c r="G381" s="105">
        <f t="shared" si="186"/>
        <v>125.03844317692261</v>
      </c>
      <c r="H381" s="105">
        <f t="shared" si="186"/>
        <v>128.04863394977082</v>
      </c>
      <c r="I381" s="105">
        <f t="shared" si="186"/>
        <v>129.24532756751626</v>
      </c>
      <c r="J381" s="105">
        <f t="shared" si="186"/>
        <v>133.33067125839887</v>
      </c>
      <c r="K381" s="105">
        <f t="shared" si="186"/>
        <v>137.66594089403873</v>
      </c>
      <c r="L381" s="105">
        <f t="shared" si="186"/>
        <v>141.83237099950608</v>
      </c>
      <c r="M381" s="105">
        <f t="shared" si="186"/>
        <v>145.98183234911929</v>
      </c>
      <c r="N381" s="105">
        <f t="shared" si="182"/>
        <v>688.05614306857922</v>
      </c>
    </row>
    <row r="382" spans="2:14" x14ac:dyDescent="0.5">
      <c r="B382" s="8" t="s">
        <v>176</v>
      </c>
      <c r="C382" s="29" t="s">
        <v>102</v>
      </c>
      <c r="D382" s="29" t="s">
        <v>217</v>
      </c>
      <c r="E382" s="62"/>
      <c r="F382" s="105">
        <f t="shared" ref="F382:M382" si="187">F237*F$247</f>
        <v>146.42671436201903</v>
      </c>
      <c r="G382" s="105">
        <f t="shared" si="187"/>
        <v>151.96493526839797</v>
      </c>
      <c r="H382" s="105">
        <f t="shared" si="187"/>
        <v>156.72824032485303</v>
      </c>
      <c r="I382" s="105">
        <f t="shared" si="187"/>
        <v>160.20592808964776</v>
      </c>
      <c r="J382" s="105">
        <f t="shared" si="187"/>
        <v>164.29073365703744</v>
      </c>
      <c r="K382" s="105">
        <f t="shared" si="187"/>
        <v>168.55981374244882</v>
      </c>
      <c r="L382" s="105">
        <f t="shared" si="187"/>
        <v>172.84647668437347</v>
      </c>
      <c r="M382" s="105">
        <f t="shared" si="187"/>
        <v>177.09951035319389</v>
      </c>
      <c r="N382" s="105">
        <f t="shared" si="182"/>
        <v>843.00246252670127</v>
      </c>
    </row>
    <row r="383" spans="2:14" x14ac:dyDescent="0.5">
      <c r="B383" s="8" t="s">
        <v>182</v>
      </c>
      <c r="C383" s="29" t="s">
        <v>102</v>
      </c>
      <c r="D383" s="29" t="s">
        <v>217</v>
      </c>
      <c r="E383" s="62"/>
      <c r="F383" s="105">
        <f t="shared" ref="F383:M383" si="188">F238*F$247</f>
        <v>0</v>
      </c>
      <c r="G383" s="105">
        <f t="shared" si="188"/>
        <v>0</v>
      </c>
      <c r="H383" s="105">
        <f t="shared" si="188"/>
        <v>0</v>
      </c>
      <c r="I383" s="105">
        <f t="shared" si="188"/>
        <v>0</v>
      </c>
      <c r="J383" s="105">
        <f t="shared" si="188"/>
        <v>0</v>
      </c>
      <c r="K383" s="105">
        <f t="shared" si="188"/>
        <v>0</v>
      </c>
      <c r="L383" s="105">
        <f t="shared" si="188"/>
        <v>0</v>
      </c>
      <c r="M383" s="105">
        <f t="shared" si="188"/>
        <v>0</v>
      </c>
      <c r="N383" s="105">
        <f t="shared" si="182"/>
        <v>0</v>
      </c>
    </row>
    <row r="384" spans="2:14" x14ac:dyDescent="0.5">
      <c r="B384" s="8" t="s">
        <v>184</v>
      </c>
      <c r="C384" s="29" t="s">
        <v>102</v>
      </c>
      <c r="D384" s="29" t="s">
        <v>217</v>
      </c>
      <c r="E384" s="62"/>
      <c r="F384" s="105">
        <f t="shared" ref="F384:M384" si="189">F239*F$247</f>
        <v>7.3246539999999998</v>
      </c>
      <c r="G384" s="105">
        <f t="shared" si="189"/>
        <v>7.6415708151437043</v>
      </c>
      <c r="H384" s="105">
        <f t="shared" si="189"/>
        <v>-7.5961546097070594</v>
      </c>
      <c r="I384" s="105">
        <f t="shared" si="189"/>
        <v>-11.176264772976708</v>
      </c>
      <c r="J384" s="105">
        <f t="shared" si="189"/>
        <v>-12.232270584794875</v>
      </c>
      <c r="K384" s="105">
        <f t="shared" si="189"/>
        <v>-13.167531568290642</v>
      </c>
      <c r="L384" s="105">
        <f t="shared" si="189"/>
        <v>12.377094181327992</v>
      </c>
      <c r="M384" s="105">
        <f t="shared" si="189"/>
        <v>12.669892162189234</v>
      </c>
      <c r="N384" s="105">
        <f t="shared" si="182"/>
        <v>-11.529080582545001</v>
      </c>
    </row>
    <row r="385" spans="1:14" x14ac:dyDescent="0.5">
      <c r="B385" s="8" t="s">
        <v>187</v>
      </c>
      <c r="C385" s="29" t="s">
        <v>102</v>
      </c>
      <c r="D385" s="29" t="s">
        <v>217</v>
      </c>
      <c r="E385" s="62"/>
      <c r="F385" s="105">
        <f t="shared" ref="F385:M385" si="190">F240*F$247</f>
        <v>21.38965614999999</v>
      </c>
      <c r="G385" s="105">
        <f t="shared" si="190"/>
        <v>21.611736838258611</v>
      </c>
      <c r="H385" s="105">
        <f t="shared" si="190"/>
        <v>21.731303990173195</v>
      </c>
      <c r="I385" s="105">
        <f t="shared" si="190"/>
        <v>21.166684997546614</v>
      </c>
      <c r="J385" s="105">
        <f t="shared" si="190"/>
        <v>20.689089627636026</v>
      </c>
      <c r="K385" s="105">
        <f t="shared" si="190"/>
        <v>20.278277121604713</v>
      </c>
      <c r="L385" s="105">
        <f t="shared" si="190"/>
        <v>19.9143696743911</v>
      </c>
      <c r="M385" s="105">
        <f t="shared" si="190"/>
        <v>19.595090690101149</v>
      </c>
      <c r="N385" s="105">
        <f t="shared" si="182"/>
        <v>101.64351211127959</v>
      </c>
    </row>
    <row r="386" spans="1:14" x14ac:dyDescent="0.5">
      <c r="G386" s="119"/>
    </row>
    <row r="387" spans="1:14" ht="30" thickBot="1" x14ac:dyDescent="0.85">
      <c r="A387" s="16" t="s">
        <v>218</v>
      </c>
      <c r="E387"/>
    </row>
    <row r="388" spans="1:14" ht="17" thickTop="1" x14ac:dyDescent="0.5">
      <c r="A388" t="s">
        <v>219</v>
      </c>
    </row>
    <row r="389" spans="1:14" ht="19" thickBot="1" x14ac:dyDescent="0.55000000000000004">
      <c r="A389" s="14" t="s">
        <v>213</v>
      </c>
    </row>
    <row r="390" spans="1:14" ht="17" thickTop="1" x14ac:dyDescent="0.5"/>
    <row r="391" spans="1:14" ht="17" thickBot="1" x14ac:dyDescent="0.55000000000000004">
      <c r="B391" s="27" t="s">
        <v>24</v>
      </c>
      <c r="C391" s="27" t="s">
        <v>214</v>
      </c>
      <c r="D391" s="27"/>
      <c r="E391" s="27" t="s">
        <v>91</v>
      </c>
      <c r="F391" s="11">
        <v>2024</v>
      </c>
      <c r="G391" s="11">
        <v>2025</v>
      </c>
      <c r="H391" s="11">
        <f t="shared" ref="H391:M391" si="191">G391+1</f>
        <v>2026</v>
      </c>
      <c r="I391" s="11">
        <f t="shared" si="191"/>
        <v>2027</v>
      </c>
      <c r="J391" s="11">
        <f t="shared" si="191"/>
        <v>2028</v>
      </c>
      <c r="K391" s="11">
        <f t="shared" si="191"/>
        <v>2029</v>
      </c>
      <c r="L391" s="11">
        <f t="shared" si="191"/>
        <v>2030</v>
      </c>
      <c r="M391" s="11">
        <f t="shared" si="191"/>
        <v>2031</v>
      </c>
    </row>
    <row r="392" spans="1:14" x14ac:dyDescent="0.5">
      <c r="B392" s="64" t="s">
        <v>220</v>
      </c>
      <c r="C392" s="64" t="s">
        <v>24</v>
      </c>
      <c r="D392" s="64"/>
      <c r="E392" s="64" t="s">
        <v>221</v>
      </c>
      <c r="F392" s="141">
        <v>1</v>
      </c>
      <c r="G392" s="141">
        <v>1.0392547625619473</v>
      </c>
      <c r="H392" s="141">
        <v>1.0670001800388937</v>
      </c>
      <c r="I392" s="141">
        <v>1.0899203644689797</v>
      </c>
      <c r="J392" s="141">
        <v>1.1126266288187694</v>
      </c>
      <c r="K392" s="141">
        <v>1.1360906354682896</v>
      </c>
      <c r="L392" s="141">
        <v>1.1602517765510321</v>
      </c>
      <c r="M392" s="141">
        <v>1.1849267505272034</v>
      </c>
    </row>
    <row r="395" spans="1:14" ht="19" thickBot="1" x14ac:dyDescent="0.55000000000000004">
      <c r="A395" s="14" t="s">
        <v>189</v>
      </c>
    </row>
    <row r="396" spans="1:14" ht="17" thickTop="1" x14ac:dyDescent="0.5"/>
    <row r="397" spans="1:14" ht="17" thickBot="1" x14ac:dyDescent="0.55000000000000004">
      <c r="B397" s="27" t="s">
        <v>95</v>
      </c>
      <c r="C397" s="27" t="s">
        <v>96</v>
      </c>
      <c r="D397" s="27" t="s">
        <v>97</v>
      </c>
      <c r="E397" s="50" t="s">
        <v>98</v>
      </c>
      <c r="F397" s="11">
        <v>2024</v>
      </c>
      <c r="G397" s="11">
        <v>2025</v>
      </c>
      <c r="H397" s="11">
        <f t="shared" ref="H397:M397" si="192">G397+1</f>
        <v>2026</v>
      </c>
      <c r="I397" s="11">
        <f t="shared" si="192"/>
        <v>2027</v>
      </c>
      <c r="J397" s="11">
        <f t="shared" si="192"/>
        <v>2028</v>
      </c>
      <c r="K397" s="11">
        <f t="shared" si="192"/>
        <v>2029</v>
      </c>
      <c r="L397" s="11">
        <f t="shared" si="192"/>
        <v>2030</v>
      </c>
      <c r="M397" s="11">
        <f t="shared" si="192"/>
        <v>2031</v>
      </c>
      <c r="N397" s="27" t="s">
        <v>190</v>
      </c>
    </row>
    <row r="398" spans="1:14" x14ac:dyDescent="0.5">
      <c r="B398" s="8" t="s">
        <v>101</v>
      </c>
      <c r="C398" s="29" t="s">
        <v>102</v>
      </c>
      <c r="D398" s="29" t="s">
        <v>222</v>
      </c>
      <c r="E398" s="51" t="s">
        <v>104</v>
      </c>
      <c r="F398" s="105">
        <f t="shared" ref="F398:M407" si="193">F253/F$392</f>
        <v>173.62</v>
      </c>
      <c r="G398" s="105">
        <f t="shared" si="193"/>
        <v>174.27125434898207</v>
      </c>
      <c r="H398" s="105">
        <f t="shared" si="193"/>
        <v>174.29910381689103</v>
      </c>
      <c r="I398" s="105">
        <f t="shared" si="193"/>
        <v>172.93738395703377</v>
      </c>
      <c r="J398" s="105">
        <f t="shared" si="193"/>
        <v>171.74809496735739</v>
      </c>
      <c r="K398" s="105">
        <f t="shared" si="193"/>
        <v>170.75215456579687</v>
      </c>
      <c r="L398" s="105">
        <f t="shared" si="193"/>
        <v>169.90732451740681</v>
      </c>
      <c r="M398" s="105">
        <f t="shared" si="193"/>
        <v>168.98486353897962</v>
      </c>
      <c r="N398" s="105">
        <f>SUM(I398:M398)</f>
        <v>854.32982154657452</v>
      </c>
    </row>
    <row r="399" spans="1:14" x14ac:dyDescent="0.5">
      <c r="B399" s="8" t="s">
        <v>105</v>
      </c>
      <c r="C399" s="29" t="s">
        <v>102</v>
      </c>
      <c r="D399" s="29" t="s">
        <v>222</v>
      </c>
      <c r="E399" s="51" t="s">
        <v>104</v>
      </c>
      <c r="F399" s="105">
        <f t="shared" si="193"/>
        <v>25.84083912086221</v>
      </c>
      <c r="G399" s="105">
        <f t="shared" si="193"/>
        <v>25.937768961081119</v>
      </c>
      <c r="H399" s="105">
        <f t="shared" si="193"/>
        <v>25.941913953707761</v>
      </c>
      <c r="I399" s="105">
        <f t="shared" si="193"/>
        <v>25.739241543695936</v>
      </c>
      <c r="J399" s="105">
        <f t="shared" si="193"/>
        <v>25.562232987939456</v>
      </c>
      <c r="K399" s="105">
        <f t="shared" si="193"/>
        <v>25.414001587808752</v>
      </c>
      <c r="L399" s="105">
        <f t="shared" si="193"/>
        <v>25.288260789715693</v>
      </c>
      <c r="M399" s="105">
        <f t="shared" si="193"/>
        <v>25.150965744566459</v>
      </c>
      <c r="N399" s="105">
        <f t="shared" ref="N399:N434" si="194">SUM(I399:M399)</f>
        <v>127.1547026537263</v>
      </c>
    </row>
    <row r="400" spans="1:14" x14ac:dyDescent="0.5">
      <c r="B400" s="8" t="s">
        <v>106</v>
      </c>
      <c r="C400" s="29" t="s">
        <v>102</v>
      </c>
      <c r="D400" s="29" t="s">
        <v>222</v>
      </c>
      <c r="E400" s="51" t="s">
        <v>104</v>
      </c>
      <c r="F400" s="105">
        <f t="shared" si="193"/>
        <v>20.355502456178893</v>
      </c>
      <c r="G400" s="105">
        <f t="shared" si="193"/>
        <v>20.431856617567568</v>
      </c>
      <c r="H400" s="105">
        <f t="shared" si="193"/>
        <v>20.435121736289055</v>
      </c>
      <c r="I400" s="105">
        <f t="shared" si="193"/>
        <v>20.2754713967432</v>
      </c>
      <c r="J400" s="105">
        <f t="shared" si="193"/>
        <v>20.136037144062268</v>
      </c>
      <c r="K400" s="105">
        <f t="shared" si="193"/>
        <v>20.019271406876612</v>
      </c>
      <c r="L400" s="105">
        <f t="shared" si="193"/>
        <v>19.920222103080643</v>
      </c>
      <c r="M400" s="105">
        <f t="shared" si="193"/>
        <v>19.812071217744251</v>
      </c>
      <c r="N400" s="105">
        <f t="shared" si="194"/>
        <v>100.16307326850698</v>
      </c>
    </row>
    <row r="401" spans="2:14" x14ac:dyDescent="0.5">
      <c r="B401" s="8" t="s">
        <v>107</v>
      </c>
      <c r="C401" s="29" t="s">
        <v>102</v>
      </c>
      <c r="D401" s="29" t="s">
        <v>222</v>
      </c>
      <c r="E401" s="51" t="s">
        <v>104</v>
      </c>
      <c r="F401" s="105">
        <f t="shared" si="193"/>
        <v>55.434541222423192</v>
      </c>
      <c r="G401" s="105">
        <f t="shared" si="193"/>
        <v>55.642478015735755</v>
      </c>
      <c r="H401" s="105">
        <f t="shared" si="193"/>
        <v>55.651369977933797</v>
      </c>
      <c r="I401" s="105">
        <f t="shared" si="193"/>
        <v>55.216591060155615</v>
      </c>
      <c r="J401" s="105">
        <f t="shared" si="193"/>
        <v>54.836867010371094</v>
      </c>
      <c r="K401" s="105">
        <f t="shared" si="193"/>
        <v>54.518876575827925</v>
      </c>
      <c r="L401" s="105">
        <f t="shared" si="193"/>
        <v>54.249133653679451</v>
      </c>
      <c r="M401" s="105">
        <f t="shared" si="193"/>
        <v>53.954604215050843</v>
      </c>
      <c r="N401" s="105">
        <f t="shared" si="194"/>
        <v>272.77607251508493</v>
      </c>
    </row>
    <row r="402" spans="2:14" x14ac:dyDescent="0.5">
      <c r="B402" s="8" t="s">
        <v>108</v>
      </c>
      <c r="C402" s="29" t="s">
        <v>102</v>
      </c>
      <c r="D402" s="29" t="s">
        <v>222</v>
      </c>
      <c r="E402" s="51" t="s">
        <v>104</v>
      </c>
      <c r="F402" s="105">
        <f t="shared" si="193"/>
        <v>21.239117200535723</v>
      </c>
      <c r="G402" s="105">
        <f t="shared" si="193"/>
        <v>21.318785829987338</v>
      </c>
      <c r="H402" s="105">
        <f t="shared" si="193"/>
        <v>21.322192684686634</v>
      </c>
      <c r="I402" s="105">
        <f t="shared" si="193"/>
        <v>21.155612062075157</v>
      </c>
      <c r="J402" s="105">
        <f t="shared" si="193"/>
        <v>21.010125089162802</v>
      </c>
      <c r="K402" s="105">
        <f t="shared" si="193"/>
        <v>20.888290652384249</v>
      </c>
      <c r="L402" s="105">
        <f t="shared" si="193"/>
        <v>20.784941704035614</v>
      </c>
      <c r="M402" s="105">
        <f t="shared" si="193"/>
        <v>20.672096082369119</v>
      </c>
      <c r="N402" s="105">
        <f t="shared" si="194"/>
        <v>104.51106559002694</v>
      </c>
    </row>
    <row r="403" spans="2:14" x14ac:dyDescent="0.5">
      <c r="B403" s="8" t="s">
        <v>109</v>
      </c>
      <c r="C403" s="29" t="s">
        <v>102</v>
      </c>
      <c r="D403" s="29" t="s">
        <v>222</v>
      </c>
      <c r="E403" s="51" t="s">
        <v>104</v>
      </c>
      <c r="F403" s="105">
        <f t="shared" si="193"/>
        <v>149.02000000000001</v>
      </c>
      <c r="G403" s="105">
        <f t="shared" si="193"/>
        <v>149.57897893724979</v>
      </c>
      <c r="H403" s="105">
        <f t="shared" si="193"/>
        <v>149.60288244898689</v>
      </c>
      <c r="I403" s="105">
        <f t="shared" si="193"/>
        <v>148.43410296784458</v>
      </c>
      <c r="J403" s="105">
        <f t="shared" si="193"/>
        <v>147.41332284319552</v>
      </c>
      <c r="K403" s="105">
        <f t="shared" si="193"/>
        <v>146.55849598776098</v>
      </c>
      <c r="L403" s="105">
        <f t="shared" si="193"/>
        <v>145.83336884911861</v>
      </c>
      <c r="M403" s="105">
        <f t="shared" si="193"/>
        <v>145.04161020953092</v>
      </c>
      <c r="N403" s="105">
        <f t="shared" si="194"/>
        <v>733.28090085745066</v>
      </c>
    </row>
    <row r="404" spans="2:14" x14ac:dyDescent="0.5">
      <c r="B404" s="8" t="s">
        <v>110</v>
      </c>
      <c r="C404" s="29" t="s">
        <v>102</v>
      </c>
      <c r="D404" s="29" t="s">
        <v>222</v>
      </c>
      <c r="E404" s="51" t="s">
        <v>104</v>
      </c>
      <c r="F404" s="105">
        <f t="shared" si="193"/>
        <v>0</v>
      </c>
      <c r="G404" s="105">
        <f t="shared" si="193"/>
        <v>0</v>
      </c>
      <c r="H404" s="105">
        <f t="shared" si="193"/>
        <v>0</v>
      </c>
      <c r="I404" s="105">
        <f t="shared" si="193"/>
        <v>0</v>
      </c>
      <c r="J404" s="105">
        <f t="shared" si="193"/>
        <v>0</v>
      </c>
      <c r="K404" s="105">
        <f t="shared" si="193"/>
        <v>0</v>
      </c>
      <c r="L404" s="105">
        <f t="shared" si="193"/>
        <v>0</v>
      </c>
      <c r="M404" s="105">
        <f t="shared" si="193"/>
        <v>0</v>
      </c>
      <c r="N404" s="105">
        <f t="shared" si="194"/>
        <v>0</v>
      </c>
    </row>
    <row r="405" spans="2:14" x14ac:dyDescent="0.5">
      <c r="B405" s="8" t="s">
        <v>111</v>
      </c>
      <c r="C405" s="29" t="s">
        <v>102</v>
      </c>
      <c r="D405" s="29" t="s">
        <v>222</v>
      </c>
      <c r="E405" s="51" t="s">
        <v>112</v>
      </c>
      <c r="F405" s="105">
        <f t="shared" si="193"/>
        <v>83.700355058898367</v>
      </c>
      <c r="G405" s="105">
        <f t="shared" si="193"/>
        <v>82.70526740361376</v>
      </c>
      <c r="H405" s="105">
        <f t="shared" si="193"/>
        <v>81.835122357747892</v>
      </c>
      <c r="I405" s="105">
        <f t="shared" si="193"/>
        <v>80.941354920985262</v>
      </c>
      <c r="J405" s="105">
        <f t="shared" si="193"/>
        <v>80.101762490359832</v>
      </c>
      <c r="K405" s="105">
        <f t="shared" si="193"/>
        <v>79.266592099441667</v>
      </c>
      <c r="L405" s="105">
        <f t="shared" si="193"/>
        <v>78.418268108064296</v>
      </c>
      <c r="M405" s="105">
        <f t="shared" si="193"/>
        <v>77.579023018343818</v>
      </c>
      <c r="N405" s="105">
        <f t="shared" si="194"/>
        <v>396.3070006371949</v>
      </c>
    </row>
    <row r="406" spans="2:14" x14ac:dyDescent="0.5">
      <c r="B406" s="8" t="s">
        <v>113</v>
      </c>
      <c r="C406" s="29" t="s">
        <v>102</v>
      </c>
      <c r="D406" s="29" t="s">
        <v>222</v>
      </c>
      <c r="E406" s="51" t="s">
        <v>112</v>
      </c>
      <c r="F406" s="105">
        <f t="shared" si="193"/>
        <v>78.455537278967029</v>
      </c>
      <c r="G406" s="105">
        <f t="shared" si="193"/>
        <v>77.522803641456363</v>
      </c>
      <c r="H406" s="105">
        <f t="shared" si="193"/>
        <v>76.707183480275432</v>
      </c>
      <c r="I406" s="105">
        <f t="shared" si="193"/>
        <v>75.869421150542024</v>
      </c>
      <c r="J406" s="105">
        <f t="shared" si="193"/>
        <v>75.082439121687784</v>
      </c>
      <c r="K406" s="105">
        <f t="shared" si="193"/>
        <v>74.299602039421401</v>
      </c>
      <c r="L406" s="105">
        <f t="shared" si="193"/>
        <v>73.504435585428283</v>
      </c>
      <c r="M406" s="105">
        <f t="shared" si="193"/>
        <v>72.717779132460763</v>
      </c>
      <c r="N406" s="105">
        <f t="shared" si="194"/>
        <v>371.47367702954023</v>
      </c>
    </row>
    <row r="407" spans="2:14" x14ac:dyDescent="0.5">
      <c r="B407" s="8" t="s">
        <v>114</v>
      </c>
      <c r="C407" s="29" t="s">
        <v>102</v>
      </c>
      <c r="D407" s="29" t="s">
        <v>222</v>
      </c>
      <c r="E407" s="51" t="s">
        <v>112</v>
      </c>
      <c r="F407" s="105">
        <f t="shared" si="193"/>
        <v>21.555553855777173</v>
      </c>
      <c r="G407" s="105">
        <f t="shared" si="193"/>
        <v>21.299286537321809</v>
      </c>
      <c r="H407" s="105">
        <f t="shared" si="193"/>
        <v>21.075195989733313</v>
      </c>
      <c r="I407" s="105">
        <f t="shared" si="193"/>
        <v>20.845021910971997</v>
      </c>
      <c r="J407" s="105">
        <f t="shared" si="193"/>
        <v>20.62879965190853</v>
      </c>
      <c r="K407" s="105">
        <f t="shared" si="193"/>
        <v>20.413716211372122</v>
      </c>
      <c r="L407" s="105">
        <f t="shared" si="193"/>
        <v>20.195245292456487</v>
      </c>
      <c r="M407" s="105">
        <f t="shared" si="193"/>
        <v>19.97911248493212</v>
      </c>
      <c r="N407" s="105">
        <f t="shared" si="194"/>
        <v>102.06189555164126</v>
      </c>
    </row>
    <row r="408" spans="2:14" x14ac:dyDescent="0.5">
      <c r="B408" s="8" t="s">
        <v>115</v>
      </c>
      <c r="C408" s="29" t="s">
        <v>102</v>
      </c>
      <c r="D408" s="29" t="s">
        <v>222</v>
      </c>
      <c r="E408" s="51" t="s">
        <v>112</v>
      </c>
      <c r="F408" s="105">
        <f t="shared" ref="F408:M417" si="195">F263/F$392</f>
        <v>51.708553806357429</v>
      </c>
      <c r="G408" s="105">
        <f t="shared" si="195"/>
        <v>50.958622699588631</v>
      </c>
      <c r="H408" s="105">
        <f t="shared" si="195"/>
        <v>50.35586294157153</v>
      </c>
      <c r="I408" s="105">
        <f t="shared" si="195"/>
        <v>49.787465061597722</v>
      </c>
      <c r="J408" s="105">
        <f t="shared" si="195"/>
        <v>49.266292567733075</v>
      </c>
      <c r="K408" s="105">
        <f t="shared" si="195"/>
        <v>48.739838802247021</v>
      </c>
      <c r="L408" s="105">
        <f t="shared" si="195"/>
        <v>48.194044654212377</v>
      </c>
      <c r="M408" s="105">
        <f t="shared" si="195"/>
        <v>47.654362369888183</v>
      </c>
      <c r="N408" s="105">
        <f t="shared" si="194"/>
        <v>243.64200345567838</v>
      </c>
    </row>
    <row r="409" spans="2:14" x14ac:dyDescent="0.5">
      <c r="B409" s="8" t="s">
        <v>116</v>
      </c>
      <c r="C409" s="29" t="s">
        <v>102</v>
      </c>
      <c r="D409" s="29" t="s">
        <v>222</v>
      </c>
      <c r="E409" s="51" t="s">
        <v>117</v>
      </c>
      <c r="F409" s="105">
        <f t="shared" si="195"/>
        <v>116.37</v>
      </c>
      <c r="G409" s="116"/>
      <c r="H409" s="116"/>
      <c r="I409" s="105">
        <f t="shared" si="195"/>
        <v>158.23426340395699</v>
      </c>
      <c r="J409" s="105">
        <f t="shared" si="195"/>
        <v>200.21547580249398</v>
      </c>
      <c r="K409" s="105">
        <f t="shared" si="195"/>
        <v>200.07693973314053</v>
      </c>
      <c r="L409" s="105">
        <f t="shared" si="195"/>
        <v>199.83497882451326</v>
      </c>
      <c r="M409" s="105">
        <f t="shared" si="195"/>
        <v>199.59331052871048</v>
      </c>
      <c r="N409" s="105">
        <f t="shared" si="194"/>
        <v>957.95496829281535</v>
      </c>
    </row>
    <row r="410" spans="2:14" x14ac:dyDescent="0.5">
      <c r="B410" s="8" t="s">
        <v>118</v>
      </c>
      <c r="C410" s="29" t="s">
        <v>102</v>
      </c>
      <c r="D410" s="29" t="s">
        <v>222</v>
      </c>
      <c r="E410" s="51" t="s">
        <v>119</v>
      </c>
      <c r="F410" s="105">
        <f t="shared" si="195"/>
        <v>89.82459649628116</v>
      </c>
      <c r="G410" s="105">
        <f t="shared" si="195"/>
        <v>89.58689179535331</v>
      </c>
      <c r="H410" s="105">
        <f t="shared" si="195"/>
        <v>89.764018269616372</v>
      </c>
      <c r="I410" s="105">
        <f t="shared" si="195"/>
        <v>89.754665722278901</v>
      </c>
      <c r="J410" s="105">
        <f t="shared" si="195"/>
        <v>89.983753317460753</v>
      </c>
      <c r="K410" s="105">
        <f t="shared" si="195"/>
        <v>90.217697205566481</v>
      </c>
      <c r="L410" s="105">
        <f t="shared" si="195"/>
        <v>90.394740641559878</v>
      </c>
      <c r="M410" s="105">
        <f t="shared" si="195"/>
        <v>90.528303905390572</v>
      </c>
      <c r="N410" s="105">
        <f t="shared" si="194"/>
        <v>450.87916079225658</v>
      </c>
    </row>
    <row r="411" spans="2:14" x14ac:dyDescent="0.5">
      <c r="B411" s="8" t="s">
        <v>120</v>
      </c>
      <c r="C411" s="29" t="s">
        <v>102</v>
      </c>
      <c r="D411" s="29" t="s">
        <v>222</v>
      </c>
      <c r="E411" s="51" t="s">
        <v>119</v>
      </c>
      <c r="F411" s="105">
        <f t="shared" si="195"/>
        <v>5.1096001064851384</v>
      </c>
      <c r="G411" s="105">
        <f t="shared" si="195"/>
        <v>5.096078465280514</v>
      </c>
      <c r="H411" s="105">
        <f t="shared" si="195"/>
        <v>5.1061541626625031</v>
      </c>
      <c r="I411" s="105">
        <f t="shared" si="195"/>
        <v>5.1056221505106496</v>
      </c>
      <c r="J411" s="105">
        <f t="shared" si="195"/>
        <v>5.1186536145683155</v>
      </c>
      <c r="K411" s="105">
        <f t="shared" si="195"/>
        <v>5.1319613249528109</v>
      </c>
      <c r="L411" s="105">
        <f t="shared" si="195"/>
        <v>5.1420322987694513</v>
      </c>
      <c r="M411" s="105">
        <f t="shared" si="195"/>
        <v>5.1496299378762416</v>
      </c>
      <c r="N411" s="105">
        <f t="shared" si="194"/>
        <v>25.647899326677468</v>
      </c>
    </row>
    <row r="412" spans="2:14" x14ac:dyDescent="0.5">
      <c r="B412" s="8" t="s">
        <v>121</v>
      </c>
      <c r="C412" s="29" t="s">
        <v>102</v>
      </c>
      <c r="D412" s="29" t="s">
        <v>222</v>
      </c>
      <c r="E412" s="51" t="s">
        <v>119</v>
      </c>
      <c r="F412" s="105">
        <f t="shared" si="195"/>
        <v>5.4366067539086433</v>
      </c>
      <c r="G412" s="105">
        <f t="shared" si="195"/>
        <v>5.4222197482007628</v>
      </c>
      <c r="H412" s="105">
        <f t="shared" si="195"/>
        <v>5.432940274914337</v>
      </c>
      <c r="I412" s="105">
        <f t="shared" si="195"/>
        <v>5.4323742147926737</v>
      </c>
      <c r="J412" s="105">
        <f t="shared" si="195"/>
        <v>5.4462396727605684</v>
      </c>
      <c r="K412" s="105">
        <f t="shared" si="195"/>
        <v>5.4603990564007052</v>
      </c>
      <c r="L412" s="105">
        <f t="shared" si="195"/>
        <v>5.4711145572479225</v>
      </c>
      <c r="M412" s="105">
        <f t="shared" si="195"/>
        <v>5.4791984337198425</v>
      </c>
      <c r="N412" s="105">
        <f t="shared" si="194"/>
        <v>27.289325934921713</v>
      </c>
    </row>
    <row r="413" spans="2:14" x14ac:dyDescent="0.5">
      <c r="B413" s="8" t="s">
        <v>122</v>
      </c>
      <c r="C413" s="29" t="s">
        <v>102</v>
      </c>
      <c r="D413" s="29" t="s">
        <v>222</v>
      </c>
      <c r="E413" s="51" t="s">
        <v>119</v>
      </c>
      <c r="F413" s="105">
        <f t="shared" si="195"/>
        <v>5.465301060181778</v>
      </c>
      <c r="G413" s="105">
        <f t="shared" si="195"/>
        <v>5.450838120133449</v>
      </c>
      <c r="H413" s="105">
        <f t="shared" si="195"/>
        <v>5.4616152295815965</v>
      </c>
      <c r="I413" s="105">
        <f t="shared" si="195"/>
        <v>5.4610461818054565</v>
      </c>
      <c r="J413" s="105">
        <f t="shared" si="195"/>
        <v>5.4749848213948233</v>
      </c>
      <c r="K413" s="105">
        <f t="shared" si="195"/>
        <v>5.489218937990497</v>
      </c>
      <c r="L413" s="105">
        <f t="shared" si="195"/>
        <v>5.4999909950458603</v>
      </c>
      <c r="M413" s="105">
        <f t="shared" si="195"/>
        <v>5.5081175380628995</v>
      </c>
      <c r="N413" s="105">
        <f t="shared" si="194"/>
        <v>27.433358474299538</v>
      </c>
    </row>
    <row r="414" spans="2:14" x14ac:dyDescent="0.5">
      <c r="B414" s="8" t="s">
        <v>123</v>
      </c>
      <c r="C414" s="29" t="s">
        <v>102</v>
      </c>
      <c r="D414" s="29" t="s">
        <v>222</v>
      </c>
      <c r="E414" s="51" t="s">
        <v>119</v>
      </c>
      <c r="F414" s="105">
        <f t="shared" si="195"/>
        <v>3.5738955831432722</v>
      </c>
      <c r="G414" s="105">
        <f t="shared" si="195"/>
        <v>3.564437908810457</v>
      </c>
      <c r="H414" s="105">
        <f t="shared" si="195"/>
        <v>3.5714853273207381</v>
      </c>
      <c r="I414" s="105">
        <f t="shared" si="195"/>
        <v>3.5711132129008103</v>
      </c>
      <c r="J414" s="105">
        <f t="shared" si="195"/>
        <v>3.5802280341915158</v>
      </c>
      <c r="K414" s="105">
        <f t="shared" si="195"/>
        <v>3.5895360752071981</v>
      </c>
      <c r="L414" s="105">
        <f t="shared" si="195"/>
        <v>3.5965801898328333</v>
      </c>
      <c r="M414" s="105">
        <f t="shared" si="195"/>
        <v>3.6018943373747541</v>
      </c>
      <c r="N414" s="105">
        <f t="shared" si="194"/>
        <v>17.939351849507112</v>
      </c>
    </row>
    <row r="415" spans="2:14" x14ac:dyDescent="0.5">
      <c r="B415" s="8" t="s">
        <v>124</v>
      </c>
      <c r="C415" s="29" t="s">
        <v>102</v>
      </c>
      <c r="D415" s="29" t="s">
        <v>222</v>
      </c>
      <c r="E415" s="51" t="s">
        <v>124</v>
      </c>
      <c r="F415" s="105">
        <f t="shared" si="195"/>
        <v>33.119999999999997</v>
      </c>
      <c r="G415" s="105">
        <f t="shared" si="195"/>
        <v>33.247870352915427</v>
      </c>
      <c r="H415" s="105">
        <f t="shared" si="195"/>
        <v>33.585198145274042</v>
      </c>
      <c r="I415" s="105">
        <f t="shared" si="195"/>
        <v>33.90746679086277</v>
      </c>
      <c r="J415" s="105">
        <f t="shared" si="195"/>
        <v>34.16877752261842</v>
      </c>
      <c r="K415" s="105">
        <f t="shared" si="195"/>
        <v>34.435176498240786</v>
      </c>
      <c r="L415" s="105">
        <f t="shared" si="195"/>
        <v>34.497287344942819</v>
      </c>
      <c r="M415" s="105">
        <f t="shared" si="195"/>
        <v>34.559510221193428</v>
      </c>
      <c r="N415" s="105">
        <f t="shared" si="194"/>
        <v>171.56821837785822</v>
      </c>
    </row>
    <row r="416" spans="2:14" x14ac:dyDescent="0.5">
      <c r="B416" s="8" t="s">
        <v>125</v>
      </c>
      <c r="C416" s="29" t="s">
        <v>102</v>
      </c>
      <c r="D416" s="29" t="s">
        <v>222</v>
      </c>
      <c r="E416" s="51" t="s">
        <v>125</v>
      </c>
      <c r="F416" s="105">
        <f t="shared" si="195"/>
        <v>25.64</v>
      </c>
      <c r="G416" s="105">
        <f t="shared" si="195"/>
        <v>25.268142112626869</v>
      </c>
      <c r="H416" s="105">
        <f t="shared" si="195"/>
        <v>24.969260031077372</v>
      </c>
      <c r="I416" s="105">
        <f t="shared" si="195"/>
        <v>24.687416495148955</v>
      </c>
      <c r="J416" s="105">
        <f t="shared" si="195"/>
        <v>24.428989953328973</v>
      </c>
      <c r="K416" s="105">
        <f t="shared" si="195"/>
        <v>24.167944660946365</v>
      </c>
      <c r="L416" s="105">
        <f t="shared" si="195"/>
        <v>23.897309322584071</v>
      </c>
      <c r="M416" s="105">
        <f t="shared" si="195"/>
        <v>23.629704588909021</v>
      </c>
      <c r="N416" s="105">
        <f t="shared" si="194"/>
        <v>120.81136502091738</v>
      </c>
    </row>
    <row r="417" spans="2:14" x14ac:dyDescent="0.5">
      <c r="B417" s="8" t="s">
        <v>126</v>
      </c>
      <c r="C417" s="29" t="s">
        <v>102</v>
      </c>
      <c r="D417" s="29" t="s">
        <v>222</v>
      </c>
      <c r="E417" s="51" t="s">
        <v>127</v>
      </c>
      <c r="F417" s="105">
        <f t="shared" si="195"/>
        <v>46.830990901617803</v>
      </c>
      <c r="G417" s="105">
        <f t="shared" si="195"/>
        <v>46.225291932336027</v>
      </c>
      <c r="H417" s="105">
        <f t="shared" si="195"/>
        <v>45.824352728216965</v>
      </c>
      <c r="I417" s="105">
        <f t="shared" si="195"/>
        <v>45.352336210020418</v>
      </c>
      <c r="J417" s="105">
        <f t="shared" si="195"/>
        <v>44.990774626301352</v>
      </c>
      <c r="K417" s="105">
        <f t="shared" si="195"/>
        <v>44.632223313321063</v>
      </c>
      <c r="L417" s="105">
        <f t="shared" si="195"/>
        <v>44.249247453272567</v>
      </c>
      <c r="M417" s="105">
        <f t="shared" si="195"/>
        <v>43.85185815715402</v>
      </c>
      <c r="N417" s="105">
        <f t="shared" si="194"/>
        <v>223.07643976006943</v>
      </c>
    </row>
    <row r="418" spans="2:14" x14ac:dyDescent="0.5">
      <c r="B418" s="8" t="s">
        <v>128</v>
      </c>
      <c r="C418" s="29" t="s">
        <v>102</v>
      </c>
      <c r="D418" s="29" t="s">
        <v>222</v>
      </c>
      <c r="E418" s="51" t="s">
        <v>127</v>
      </c>
      <c r="F418" s="105">
        <f t="shared" ref="F418:M427" si="196">F273/F$392</f>
        <v>41.886894598514523</v>
      </c>
      <c r="G418" s="105">
        <f t="shared" si="196"/>
        <v>41.345141191288242</v>
      </c>
      <c r="H418" s="105">
        <f t="shared" si="196"/>
        <v>40.986530411118579</v>
      </c>
      <c r="I418" s="105">
        <f t="shared" si="196"/>
        <v>40.56434617444522</v>
      </c>
      <c r="J418" s="105">
        <f t="shared" si="196"/>
        <v>40.24095579434568</v>
      </c>
      <c r="K418" s="105">
        <f t="shared" si="196"/>
        <v>39.9202578811515</v>
      </c>
      <c r="L418" s="105">
        <f t="shared" si="196"/>
        <v>39.577713997821611</v>
      </c>
      <c r="M418" s="105">
        <f t="shared" si="196"/>
        <v>39.22227835060108</v>
      </c>
      <c r="N418" s="105">
        <f t="shared" si="194"/>
        <v>199.52555219836509</v>
      </c>
    </row>
    <row r="419" spans="2:14" x14ac:dyDescent="0.5">
      <c r="B419" s="8" t="s">
        <v>129</v>
      </c>
      <c r="C419" s="29" t="s">
        <v>102</v>
      </c>
      <c r="D419" s="29" t="s">
        <v>222</v>
      </c>
      <c r="E419" s="51" t="s">
        <v>127</v>
      </c>
      <c r="F419" s="105">
        <f t="shared" si="196"/>
        <v>46.529227232190962</v>
      </c>
      <c r="G419" s="105">
        <f t="shared" si="196"/>
        <v>46.140646361823713</v>
      </c>
      <c r="H419" s="105">
        <f t="shared" si="196"/>
        <v>45.846344245101619</v>
      </c>
      <c r="I419" s="105">
        <f t="shared" si="196"/>
        <v>45.403499740964037</v>
      </c>
      <c r="J419" s="105">
        <f t="shared" si="196"/>
        <v>45.049105381558903</v>
      </c>
      <c r="K419" s="105">
        <f t="shared" si="196"/>
        <v>44.710604433573941</v>
      </c>
      <c r="L419" s="105">
        <f t="shared" si="196"/>
        <v>44.36586349724567</v>
      </c>
      <c r="M419" s="105">
        <f t="shared" si="196"/>
        <v>44.006018823419495</v>
      </c>
      <c r="N419" s="105">
        <f t="shared" si="194"/>
        <v>223.53509187676207</v>
      </c>
    </row>
    <row r="420" spans="2:14" x14ac:dyDescent="0.5">
      <c r="B420" s="8" t="s">
        <v>130</v>
      </c>
      <c r="C420" s="29" t="s">
        <v>102</v>
      </c>
      <c r="D420" s="29" t="s">
        <v>222</v>
      </c>
      <c r="E420" s="51" t="s">
        <v>127</v>
      </c>
      <c r="F420" s="105">
        <f t="shared" si="196"/>
        <v>15.365470678206</v>
      </c>
      <c r="G420" s="105">
        <f t="shared" si="196"/>
        <v>15.237148582076086</v>
      </c>
      <c r="H420" s="105">
        <f t="shared" si="196"/>
        <v>15.139960409952335</v>
      </c>
      <c r="I420" s="105">
        <f t="shared" si="196"/>
        <v>14.993718689466101</v>
      </c>
      <c r="J420" s="105">
        <f t="shared" si="196"/>
        <v>14.876686095935431</v>
      </c>
      <c r="K420" s="105">
        <f t="shared" si="196"/>
        <v>14.764902026003377</v>
      </c>
      <c r="L420" s="105">
        <f t="shared" si="196"/>
        <v>14.651057308095307</v>
      </c>
      <c r="M420" s="105">
        <f t="shared" si="196"/>
        <v>14.532224842711928</v>
      </c>
      <c r="N420" s="105">
        <f t="shared" si="194"/>
        <v>73.818588962212146</v>
      </c>
    </row>
    <row r="421" spans="2:14" x14ac:dyDescent="0.5">
      <c r="B421" s="8" t="s">
        <v>131</v>
      </c>
      <c r="C421" s="29" t="s">
        <v>102</v>
      </c>
      <c r="D421" s="29" t="s">
        <v>222</v>
      </c>
      <c r="E421" s="51" t="s">
        <v>127</v>
      </c>
      <c r="F421" s="105">
        <f t="shared" si="196"/>
        <v>19.939342353953492</v>
      </c>
      <c r="G421" s="105">
        <f t="shared" si="196"/>
        <v>19.772822352067678</v>
      </c>
      <c r="H421" s="105">
        <f t="shared" si="196"/>
        <v>19.646703974224621</v>
      </c>
      <c r="I421" s="105">
        <f t="shared" si="196"/>
        <v>19.456930176058961</v>
      </c>
      <c r="J421" s="105">
        <f t="shared" si="196"/>
        <v>19.305060246536467</v>
      </c>
      <c r="K421" s="105">
        <f t="shared" si="196"/>
        <v>19.160001179569196</v>
      </c>
      <c r="L421" s="105">
        <f t="shared" si="196"/>
        <v>19.012268067248858</v>
      </c>
      <c r="M421" s="105">
        <f t="shared" si="196"/>
        <v>18.858062494268637</v>
      </c>
      <c r="N421" s="105">
        <f t="shared" si="194"/>
        <v>95.792322163682115</v>
      </c>
    </row>
    <row r="422" spans="2:14" x14ac:dyDescent="0.5">
      <c r="B422" s="8" t="s">
        <v>132</v>
      </c>
      <c r="C422" s="29" t="s">
        <v>102</v>
      </c>
      <c r="D422" s="29" t="s">
        <v>222</v>
      </c>
      <c r="E422" s="51" t="s">
        <v>127</v>
      </c>
      <c r="F422" s="105">
        <f t="shared" si="196"/>
        <v>52.15</v>
      </c>
      <c r="G422" s="105">
        <f t="shared" si="196"/>
        <v>51.475506451178816</v>
      </c>
      <c r="H422" s="105">
        <f t="shared" si="196"/>
        <v>51.029029041833923</v>
      </c>
      <c r="I422" s="105">
        <f t="shared" si="196"/>
        <v>50.503401440324005</v>
      </c>
      <c r="J422" s="105">
        <f t="shared" si="196"/>
        <v>50.100774115385256</v>
      </c>
      <c r="K422" s="105">
        <f t="shared" si="196"/>
        <v>49.701498964210181</v>
      </c>
      <c r="L422" s="105">
        <f t="shared" si="196"/>
        <v>49.275025154516797</v>
      </c>
      <c r="M422" s="105">
        <f t="shared" si="196"/>
        <v>48.832500847565477</v>
      </c>
      <c r="N422" s="105">
        <f t="shared" si="194"/>
        <v>248.41320052200172</v>
      </c>
    </row>
    <row r="423" spans="2:14" x14ac:dyDescent="0.5">
      <c r="B423" s="8" t="s">
        <v>133</v>
      </c>
      <c r="C423" s="29" t="s">
        <v>102</v>
      </c>
      <c r="D423" s="29" t="s">
        <v>222</v>
      </c>
      <c r="E423" s="51" t="s">
        <v>127</v>
      </c>
      <c r="F423" s="105">
        <f t="shared" si="196"/>
        <v>40.697370387817642</v>
      </c>
      <c r="G423" s="105">
        <f t="shared" si="196"/>
        <v>40.357493270838241</v>
      </c>
      <c r="H423" s="105">
        <f t="shared" si="196"/>
        <v>40.100078244571236</v>
      </c>
      <c r="I423" s="105">
        <f t="shared" si="196"/>
        <v>39.712738761816453</v>
      </c>
      <c r="J423" s="105">
        <f t="shared" si="196"/>
        <v>39.402763304109179</v>
      </c>
      <c r="K423" s="105">
        <f t="shared" si="196"/>
        <v>39.106689217427586</v>
      </c>
      <c r="L423" s="105">
        <f t="shared" si="196"/>
        <v>38.805157246918363</v>
      </c>
      <c r="M423" s="105">
        <f t="shared" si="196"/>
        <v>38.490414603553418</v>
      </c>
      <c r="N423" s="105">
        <f t="shared" si="194"/>
        <v>195.51776313382499</v>
      </c>
    </row>
    <row r="424" spans="2:14" x14ac:dyDescent="0.5">
      <c r="B424" s="8" t="s">
        <v>134</v>
      </c>
      <c r="C424" s="29" t="s">
        <v>102</v>
      </c>
      <c r="D424" s="29" t="s">
        <v>222</v>
      </c>
      <c r="E424" s="51" t="s">
        <v>127</v>
      </c>
      <c r="F424" s="105">
        <f t="shared" si="196"/>
        <v>72.77</v>
      </c>
      <c r="G424" s="105">
        <f t="shared" si="196"/>
        <v>72.162273811135591</v>
      </c>
      <c r="H424" s="105">
        <f t="shared" si="196"/>
        <v>71.70199612530611</v>
      </c>
      <c r="I424" s="105">
        <f t="shared" si="196"/>
        <v>71.009403609095216</v>
      </c>
      <c r="J424" s="105">
        <f t="shared" si="196"/>
        <v>70.455143865961773</v>
      </c>
      <c r="K424" s="105">
        <f t="shared" si="196"/>
        <v>69.925740833714059</v>
      </c>
      <c r="L424" s="105">
        <f t="shared" si="196"/>
        <v>69.386578689210353</v>
      </c>
      <c r="M424" s="105">
        <f t="shared" si="196"/>
        <v>68.823794854790378</v>
      </c>
      <c r="N424" s="105">
        <f t="shared" si="194"/>
        <v>349.60066185277179</v>
      </c>
    </row>
    <row r="425" spans="2:14" x14ac:dyDescent="0.5">
      <c r="B425" s="8" t="s">
        <v>135</v>
      </c>
      <c r="C425" s="29" t="s">
        <v>102</v>
      </c>
      <c r="D425" s="29" t="s">
        <v>222</v>
      </c>
      <c r="E425" s="51" t="s">
        <v>127</v>
      </c>
      <c r="F425" s="105">
        <f t="shared" si="196"/>
        <v>9.1998842842854547</v>
      </c>
      <c r="G425" s="105">
        <f t="shared" si="196"/>
        <v>9.1230530267056498</v>
      </c>
      <c r="H425" s="105">
        <f t="shared" si="196"/>
        <v>9.0648628185392361</v>
      </c>
      <c r="I425" s="105">
        <f t="shared" si="196"/>
        <v>8.9773024089569589</v>
      </c>
      <c r="J425" s="105">
        <f t="shared" si="196"/>
        <v>8.9072306005157706</v>
      </c>
      <c r="K425" s="105">
        <f t="shared" si="196"/>
        <v>8.840301280240535</v>
      </c>
      <c r="L425" s="105">
        <f t="shared" si="196"/>
        <v>8.7721381726426078</v>
      </c>
      <c r="M425" s="105">
        <f t="shared" si="196"/>
        <v>8.7009887133361588</v>
      </c>
      <c r="N425" s="105">
        <f t="shared" si="194"/>
        <v>44.197961175692029</v>
      </c>
    </row>
    <row r="426" spans="2:14" x14ac:dyDescent="0.5">
      <c r="B426" s="8" t="s">
        <v>136</v>
      </c>
      <c r="C426" s="29" t="s">
        <v>102</v>
      </c>
      <c r="D426" s="29" t="s">
        <v>222</v>
      </c>
      <c r="E426" s="51" t="s">
        <v>127</v>
      </c>
      <c r="F426" s="105">
        <f t="shared" si="196"/>
        <v>36.398086173898001</v>
      </c>
      <c r="G426" s="105">
        <f t="shared" si="196"/>
        <v>36.094113792526272</v>
      </c>
      <c r="H426" s="105">
        <f t="shared" si="196"/>
        <v>35.86389217822444</v>
      </c>
      <c r="I426" s="105">
        <f t="shared" si="196"/>
        <v>35.517471371732185</v>
      </c>
      <c r="J426" s="105">
        <f t="shared" si="196"/>
        <v>35.24024182805632</v>
      </c>
      <c r="K426" s="105">
        <f t="shared" si="196"/>
        <v>34.975445109786754</v>
      </c>
      <c r="L426" s="105">
        <f t="shared" si="196"/>
        <v>34.705767080415455</v>
      </c>
      <c r="M426" s="105">
        <f t="shared" si="196"/>
        <v>34.424273958215444</v>
      </c>
      <c r="N426" s="105">
        <f t="shared" si="194"/>
        <v>174.86319934820617</v>
      </c>
    </row>
    <row r="427" spans="2:14" x14ac:dyDescent="0.5">
      <c r="B427" s="8" t="s">
        <v>137</v>
      </c>
      <c r="C427" s="29" t="s">
        <v>102</v>
      </c>
      <c r="D427" s="29" t="s">
        <v>222</v>
      </c>
      <c r="E427" s="51" t="s">
        <v>127</v>
      </c>
      <c r="F427" s="105">
        <f t="shared" si="196"/>
        <v>6.5094499466848186</v>
      </c>
      <c r="G427" s="105">
        <f t="shared" si="196"/>
        <v>6.4550873905806228</v>
      </c>
      <c r="H427" s="105">
        <f t="shared" si="196"/>
        <v>6.4139144545151714</v>
      </c>
      <c r="I427" s="105">
        <f t="shared" si="196"/>
        <v>6.3519604031516517</v>
      </c>
      <c r="J427" s="105">
        <f t="shared" si="196"/>
        <v>6.3023805480549164</v>
      </c>
      <c r="K427" s="105">
        <f t="shared" si="196"/>
        <v>6.2550241849926698</v>
      </c>
      <c r="L427" s="105">
        <f t="shared" si="196"/>
        <v>6.2067948460783651</v>
      </c>
      <c r="M427" s="105">
        <f t="shared" si="196"/>
        <v>6.1564524906989462</v>
      </c>
      <c r="N427" s="105">
        <f t="shared" si="194"/>
        <v>31.272612472976547</v>
      </c>
    </row>
    <row r="428" spans="2:14" x14ac:dyDescent="0.5">
      <c r="B428" s="8" t="s">
        <v>138</v>
      </c>
      <c r="C428" s="29" t="s">
        <v>102</v>
      </c>
      <c r="D428" s="29" t="s">
        <v>222</v>
      </c>
      <c r="E428" s="51" t="s">
        <v>127</v>
      </c>
      <c r="F428" s="105">
        <f t="shared" ref="F428:M432" si="197">F283/F$392</f>
        <v>19.313214992805968</v>
      </c>
      <c r="G428" s="105">
        <f t="shared" si="197"/>
        <v>19.151923986315705</v>
      </c>
      <c r="H428" s="105">
        <f t="shared" si="197"/>
        <v>19.029765928011237</v>
      </c>
      <c r="I428" s="105">
        <f t="shared" si="197"/>
        <v>18.845951331776671</v>
      </c>
      <c r="J428" s="105">
        <f t="shared" si="197"/>
        <v>18.698850361857836</v>
      </c>
      <c r="K428" s="105">
        <f t="shared" si="197"/>
        <v>18.558346382475623</v>
      </c>
      <c r="L428" s="105">
        <f t="shared" si="197"/>
        <v>18.415252327057427</v>
      </c>
      <c r="M428" s="105">
        <f t="shared" si="197"/>
        <v>18.265889056635157</v>
      </c>
      <c r="N428" s="105">
        <f t="shared" si="194"/>
        <v>92.784289459802721</v>
      </c>
    </row>
    <row r="429" spans="2:14" x14ac:dyDescent="0.5">
      <c r="B429" s="8" t="s">
        <v>139</v>
      </c>
      <c r="C429" s="29" t="s">
        <v>102</v>
      </c>
      <c r="D429" s="29" t="s">
        <v>222</v>
      </c>
      <c r="E429" s="51" t="s">
        <v>127</v>
      </c>
      <c r="F429" s="105">
        <f t="shared" si="197"/>
        <v>26.563728097632794</v>
      </c>
      <c r="G429" s="105">
        <f t="shared" si="197"/>
        <v>26.472305768718694</v>
      </c>
      <c r="H429" s="105">
        <f t="shared" si="197"/>
        <v>26.36855533829122</v>
      </c>
      <c r="I429" s="105">
        <f t="shared" si="197"/>
        <v>26.1319693732597</v>
      </c>
      <c r="J429" s="105">
        <f t="shared" si="197"/>
        <v>25.932669088804428</v>
      </c>
      <c r="K429" s="105">
        <f t="shared" si="197"/>
        <v>25.750463086623423</v>
      </c>
      <c r="L429" s="105">
        <f t="shared" si="197"/>
        <v>25.575923070367832</v>
      </c>
      <c r="M429" s="105">
        <f t="shared" si="197"/>
        <v>25.392317174592321</v>
      </c>
      <c r="N429" s="105">
        <f t="shared" si="194"/>
        <v>128.78334179364771</v>
      </c>
    </row>
    <row r="430" spans="2:14" x14ac:dyDescent="0.5">
      <c r="B430" s="8" t="s">
        <v>140</v>
      </c>
      <c r="C430" s="29" t="s">
        <v>102</v>
      </c>
      <c r="D430" s="29" t="s">
        <v>222</v>
      </c>
      <c r="E430" s="51" t="s">
        <v>127</v>
      </c>
      <c r="F430" s="105">
        <f t="shared" si="197"/>
        <v>31.831154364883361</v>
      </c>
      <c r="G430" s="105">
        <f t="shared" si="197"/>
        <v>31.565321932159375</v>
      </c>
      <c r="H430" s="105">
        <f t="shared" si="197"/>
        <v>31.363986628210643</v>
      </c>
      <c r="I430" s="105">
        <f t="shared" si="197"/>
        <v>31.061031848830783</v>
      </c>
      <c r="J430" s="105">
        <f t="shared" si="197"/>
        <v>30.81858678298056</v>
      </c>
      <c r="K430" s="105">
        <f t="shared" si="197"/>
        <v>30.587014574093452</v>
      </c>
      <c r="L430" s="105">
        <f t="shared" si="197"/>
        <v>30.351173520783036</v>
      </c>
      <c r="M430" s="105">
        <f t="shared" si="197"/>
        <v>30.104999835095484</v>
      </c>
      <c r="N430" s="105">
        <f t="shared" si="194"/>
        <v>152.92280656178332</v>
      </c>
    </row>
    <row r="431" spans="2:14" x14ac:dyDescent="0.5">
      <c r="B431" s="8" t="s">
        <v>141</v>
      </c>
      <c r="C431" s="29" t="s">
        <v>102</v>
      </c>
      <c r="D431" s="29" t="s">
        <v>222</v>
      </c>
      <c r="E431" s="51" t="s">
        <v>127</v>
      </c>
      <c r="F431" s="105">
        <f t="shared" si="197"/>
        <v>11.440617504831115</v>
      </c>
      <c r="G431" s="105">
        <f t="shared" si="197"/>
        <v>11.292647750247429</v>
      </c>
      <c r="H431" s="105">
        <f t="shared" si="197"/>
        <v>11.194699959933663</v>
      </c>
      <c r="I431" s="105">
        <f t="shared" si="197"/>
        <v>11.079388275583581</v>
      </c>
      <c r="J431" s="105">
        <f t="shared" si="197"/>
        <v>10.991060275169055</v>
      </c>
      <c r="K431" s="105">
        <f t="shared" si="197"/>
        <v>10.903467671453278</v>
      </c>
      <c r="L431" s="105">
        <f t="shared" si="197"/>
        <v>10.809908251845798</v>
      </c>
      <c r="M431" s="105">
        <f t="shared" si="197"/>
        <v>10.712827689383273</v>
      </c>
      <c r="N431" s="105">
        <f t="shared" si="194"/>
        <v>54.496652163434987</v>
      </c>
    </row>
    <row r="432" spans="2:14" x14ac:dyDescent="0.5">
      <c r="B432" s="8" t="s">
        <v>142</v>
      </c>
      <c r="C432" s="29" t="s">
        <v>102</v>
      </c>
      <c r="D432" s="29" t="s">
        <v>222</v>
      </c>
      <c r="E432" s="51" t="s">
        <v>127</v>
      </c>
      <c r="F432" s="105">
        <f t="shared" si="197"/>
        <v>76.80292391608404</v>
      </c>
      <c r="G432" s="105">
        <f t="shared" si="197"/>
        <v>75.809576328126184</v>
      </c>
      <c r="H432" s="105">
        <f t="shared" si="197"/>
        <v>75.152035187183401</v>
      </c>
      <c r="I432" s="105">
        <f t="shared" si="197"/>
        <v>74.377927101143882</v>
      </c>
      <c r="J432" s="105">
        <f t="shared" si="197"/>
        <v>73.784965340764074</v>
      </c>
      <c r="K432" s="105">
        <f t="shared" si="197"/>
        <v>73.196940430749081</v>
      </c>
      <c r="L432" s="105">
        <f t="shared" si="197"/>
        <v>72.568859211993882</v>
      </c>
      <c r="M432" s="105">
        <f t="shared" si="197"/>
        <v>71.917139927664053</v>
      </c>
      <c r="N432" s="105">
        <f t="shared" si="194"/>
        <v>365.84583201231493</v>
      </c>
    </row>
    <row r="433" spans="1:14" ht="17" thickBot="1" x14ac:dyDescent="0.55000000000000004">
      <c r="B433" s="48" t="s">
        <v>191</v>
      </c>
      <c r="C433" s="37" t="s">
        <v>102</v>
      </c>
      <c r="D433" s="37" t="s">
        <v>222</v>
      </c>
      <c r="E433" s="52" t="s">
        <v>127</v>
      </c>
      <c r="F433" s="156"/>
      <c r="G433" s="106">
        <f t="shared" ref="G433:M434" si="198">G288/G$392</f>
        <v>0</v>
      </c>
      <c r="H433" s="106">
        <f t="shared" si="198"/>
        <v>0</v>
      </c>
      <c r="I433" s="106">
        <f t="shared" si="198"/>
        <v>7.4871247119144426</v>
      </c>
      <c r="J433" s="106">
        <f t="shared" si="198"/>
        <v>8.0521493452531168</v>
      </c>
      <c r="K433" s="106">
        <f t="shared" si="198"/>
        <v>8.0465707387266345</v>
      </c>
      <c r="L433" s="106">
        <f t="shared" si="198"/>
        <v>3.127950011388136</v>
      </c>
      <c r="M433" s="106">
        <f t="shared" si="198"/>
        <v>3.1241645237189721</v>
      </c>
      <c r="N433" s="106">
        <f t="shared" si="194"/>
        <v>29.837959331001304</v>
      </c>
    </row>
    <row r="434" spans="1:14" x14ac:dyDescent="0.5">
      <c r="B434" s="35" t="s">
        <v>192</v>
      </c>
      <c r="C434" s="29" t="s">
        <v>102</v>
      </c>
      <c r="D434" s="29" t="s">
        <v>222</v>
      </c>
      <c r="E434" s="51"/>
      <c r="F434" s="105">
        <f>F289/F$392</f>
        <v>1519.6983554334063</v>
      </c>
      <c r="G434" s="105">
        <f t="shared" si="198"/>
        <v>1395.9839354240296</v>
      </c>
      <c r="H434" s="105">
        <f t="shared" si="198"/>
        <v>1389.8433285015051</v>
      </c>
      <c r="I434" s="105">
        <f t="shared" si="198"/>
        <v>1544.182135832443</v>
      </c>
      <c r="J434" s="105">
        <f t="shared" si="198"/>
        <v>1577.3524742141851</v>
      </c>
      <c r="K434" s="105">
        <f t="shared" si="198"/>
        <v>1568.4752047294953</v>
      </c>
      <c r="L434" s="105">
        <f t="shared" si="198"/>
        <v>1554.4859573385963</v>
      </c>
      <c r="M434" s="105">
        <f t="shared" si="198"/>
        <v>1545.0123638485079</v>
      </c>
      <c r="N434" s="105">
        <f t="shared" si="194"/>
        <v>7789.5081359632277</v>
      </c>
    </row>
    <row r="435" spans="1:14" x14ac:dyDescent="0.5">
      <c r="F435" s="119"/>
    </row>
    <row r="436" spans="1:14" ht="19" thickBot="1" x14ac:dyDescent="0.55000000000000004">
      <c r="A436" s="14" t="s">
        <v>193</v>
      </c>
    </row>
    <row r="437" spans="1:14" ht="17" thickTop="1" x14ac:dyDescent="0.5"/>
    <row r="438" spans="1:14" ht="17" thickBot="1" x14ac:dyDescent="0.55000000000000004">
      <c r="B438" s="27" t="s">
        <v>143</v>
      </c>
      <c r="C438" s="27" t="s">
        <v>96</v>
      </c>
      <c r="D438" s="27" t="s">
        <v>97</v>
      </c>
      <c r="E438" s="50" t="s">
        <v>144</v>
      </c>
      <c r="F438" s="11">
        <v>2024</v>
      </c>
      <c r="G438" s="11">
        <v>2025</v>
      </c>
      <c r="H438" s="11">
        <f t="shared" ref="H438:M438" si="199">G438+1</f>
        <v>2026</v>
      </c>
      <c r="I438" s="11">
        <f t="shared" si="199"/>
        <v>2027</v>
      </c>
      <c r="J438" s="11">
        <f t="shared" si="199"/>
        <v>2028</v>
      </c>
      <c r="K438" s="11">
        <f t="shared" si="199"/>
        <v>2029</v>
      </c>
      <c r="L438" s="11">
        <f t="shared" si="199"/>
        <v>2030</v>
      </c>
      <c r="M438" s="11">
        <f t="shared" si="199"/>
        <v>2031</v>
      </c>
      <c r="N438" s="27" t="s">
        <v>190</v>
      </c>
    </row>
    <row r="439" spans="1:14" x14ac:dyDescent="0.5">
      <c r="B439" s="8" t="s">
        <v>146</v>
      </c>
      <c r="C439" s="29" t="s">
        <v>102</v>
      </c>
      <c r="D439" s="29" t="s">
        <v>222</v>
      </c>
      <c r="E439" s="51" t="s">
        <v>147</v>
      </c>
      <c r="F439" s="105">
        <f t="shared" ref="F439:M448" si="200">F294/F$392</f>
        <v>97.046192679115435</v>
      </c>
      <c r="G439" s="105">
        <f t="shared" si="200"/>
        <v>97.220114090678663</v>
      </c>
      <c r="H439" s="105">
        <f t="shared" si="200"/>
        <v>98.279802380504037</v>
      </c>
      <c r="I439" s="105">
        <f t="shared" si="200"/>
        <v>98.543928852721933</v>
      </c>
      <c r="J439" s="105">
        <f t="shared" si="200"/>
        <v>99.491016887140347</v>
      </c>
      <c r="K439" s="105">
        <f t="shared" si="200"/>
        <v>100.5140540251433</v>
      </c>
      <c r="L439" s="105">
        <f t="shared" si="200"/>
        <v>101.45538557751568</v>
      </c>
      <c r="M439" s="105">
        <f t="shared" si="200"/>
        <v>102.2415651258919</v>
      </c>
      <c r="N439" s="105">
        <f t="shared" ref="N439:N489" si="201">SUM(I439:M439)</f>
        <v>502.24595046841318</v>
      </c>
    </row>
    <row r="440" spans="1:14" x14ac:dyDescent="0.5">
      <c r="B440" s="8" t="s">
        <v>148</v>
      </c>
      <c r="C440" s="29" t="s">
        <v>102</v>
      </c>
      <c r="D440" s="29" t="s">
        <v>222</v>
      </c>
      <c r="E440" s="51" t="s">
        <v>147</v>
      </c>
      <c r="F440" s="105">
        <f t="shared" si="200"/>
        <v>4.0457150051446771</v>
      </c>
      <c r="G440" s="105">
        <f t="shared" si="200"/>
        <v>4.0529655365158952</v>
      </c>
      <c r="H440" s="105">
        <f t="shared" si="200"/>
        <v>4.0971424042174274</v>
      </c>
      <c r="I440" s="105">
        <f t="shared" si="200"/>
        <v>4.1081534537229052</v>
      </c>
      <c r="J440" s="105">
        <f t="shared" si="200"/>
        <v>4.1476361801056791</v>
      </c>
      <c r="K440" s="105">
        <f t="shared" si="200"/>
        <v>4.1902851144510391</v>
      </c>
      <c r="L440" s="105">
        <f t="shared" si="200"/>
        <v>4.2295278614472203</v>
      </c>
      <c r="M440" s="105">
        <f t="shared" si="200"/>
        <v>4.262302546448212</v>
      </c>
      <c r="N440" s="105">
        <f t="shared" si="201"/>
        <v>20.937905156175056</v>
      </c>
    </row>
    <row r="441" spans="1:14" x14ac:dyDescent="0.5">
      <c r="B441" s="8" t="s">
        <v>149</v>
      </c>
      <c r="C441" s="29" t="s">
        <v>102</v>
      </c>
      <c r="D441" s="29" t="s">
        <v>222</v>
      </c>
      <c r="E441" s="51" t="s">
        <v>147</v>
      </c>
      <c r="F441" s="105">
        <f t="shared" si="200"/>
        <v>31.773368892252169</v>
      </c>
      <c r="G441" s="105">
        <f t="shared" si="200"/>
        <v>31.830311560638261</v>
      </c>
      <c r="H441" s="105">
        <f t="shared" si="200"/>
        <v>32.177258370336922</v>
      </c>
      <c r="I441" s="105">
        <f t="shared" si="200"/>
        <v>32.263734589591991</v>
      </c>
      <c r="J441" s="105">
        <f t="shared" si="200"/>
        <v>32.573815558873441</v>
      </c>
      <c r="K441" s="105">
        <f t="shared" si="200"/>
        <v>32.908762613249088</v>
      </c>
      <c r="L441" s="105">
        <f t="shared" si="200"/>
        <v>33.216958883888367</v>
      </c>
      <c r="M441" s="105">
        <f t="shared" si="200"/>
        <v>33.474357676324225</v>
      </c>
      <c r="N441" s="105">
        <f t="shared" si="201"/>
        <v>164.43762932192709</v>
      </c>
    </row>
    <row r="442" spans="1:14" x14ac:dyDescent="0.5">
      <c r="B442" s="8" t="s">
        <v>150</v>
      </c>
      <c r="C442" s="29" t="s">
        <v>102</v>
      </c>
      <c r="D442" s="29" t="s">
        <v>222</v>
      </c>
      <c r="E442" s="51" t="s">
        <v>147</v>
      </c>
      <c r="F442" s="105">
        <f t="shared" si="200"/>
        <v>21.492998587765491</v>
      </c>
      <c r="G442" s="105">
        <f t="shared" si="200"/>
        <v>21.531517282316141</v>
      </c>
      <c r="H442" s="105">
        <f t="shared" si="200"/>
        <v>21.766208394743366</v>
      </c>
      <c r="I442" s="105">
        <f t="shared" si="200"/>
        <v>21.824704969803676</v>
      </c>
      <c r="J442" s="105">
        <f t="shared" si="200"/>
        <v>22.034458296794575</v>
      </c>
      <c r="K442" s="105">
        <f t="shared" si="200"/>
        <v>22.261032211291493</v>
      </c>
      <c r="L442" s="105">
        <f t="shared" si="200"/>
        <v>22.469510639627746</v>
      </c>
      <c r="M442" s="105">
        <f t="shared" si="200"/>
        <v>22.643627268590734</v>
      </c>
      <c r="N442" s="105">
        <f t="shared" si="201"/>
        <v>111.23333338610823</v>
      </c>
    </row>
    <row r="443" spans="1:14" x14ac:dyDescent="0.5">
      <c r="B443" s="8" t="s">
        <v>151</v>
      </c>
      <c r="C443" s="29" t="s">
        <v>102</v>
      </c>
      <c r="D443" s="29" t="s">
        <v>222</v>
      </c>
      <c r="E443" s="51" t="s">
        <v>147</v>
      </c>
      <c r="F443" s="105">
        <f t="shared" si="200"/>
        <v>13.805119977119022</v>
      </c>
      <c r="G443" s="105">
        <f t="shared" si="200"/>
        <v>13.829860833889768</v>
      </c>
      <c r="H443" s="105">
        <f t="shared" si="200"/>
        <v>13.980604758772619</v>
      </c>
      <c r="I443" s="105">
        <f t="shared" si="200"/>
        <v>14.018177563407603</v>
      </c>
      <c r="J443" s="105">
        <f t="shared" si="200"/>
        <v>14.152903754957141</v>
      </c>
      <c r="K443" s="105">
        <f t="shared" si="200"/>
        <v>14.298433940544923</v>
      </c>
      <c r="L443" s="105">
        <f t="shared" si="200"/>
        <v>14.432341254783589</v>
      </c>
      <c r="M443" s="105">
        <f t="shared" si="200"/>
        <v>14.544177718319855</v>
      </c>
      <c r="N443" s="105">
        <f t="shared" si="201"/>
        <v>71.446034232013105</v>
      </c>
    </row>
    <row r="444" spans="1:14" x14ac:dyDescent="0.5">
      <c r="B444" s="8" t="s">
        <v>152</v>
      </c>
      <c r="C444" s="29" t="s">
        <v>102</v>
      </c>
      <c r="D444" s="29" t="s">
        <v>222</v>
      </c>
      <c r="E444" s="51" t="s">
        <v>147</v>
      </c>
      <c r="F444" s="105">
        <f t="shared" si="200"/>
        <v>28.297472712854272</v>
      </c>
      <c r="G444" s="105">
        <f t="shared" si="200"/>
        <v>28.348186051131897</v>
      </c>
      <c r="H444" s="105">
        <f t="shared" si="200"/>
        <v>28.657178085107049</v>
      </c>
      <c r="I444" s="105">
        <f t="shared" si="200"/>
        <v>28.7341941063851</v>
      </c>
      <c r="J444" s="105">
        <f t="shared" si="200"/>
        <v>29.010353294816543</v>
      </c>
      <c r="K444" s="105">
        <f t="shared" si="200"/>
        <v>29.308658305015101</v>
      </c>
      <c r="L444" s="105">
        <f t="shared" si="200"/>
        <v>29.583138974288584</v>
      </c>
      <c r="M444" s="105">
        <f t="shared" si="200"/>
        <v>29.812379233008883</v>
      </c>
      <c r="N444" s="105">
        <f t="shared" si="201"/>
        <v>146.44872391351421</v>
      </c>
    </row>
    <row r="445" spans="1:14" x14ac:dyDescent="0.5">
      <c r="B445" s="8" t="s">
        <v>153</v>
      </c>
      <c r="C445" s="29" t="s">
        <v>102</v>
      </c>
      <c r="D445" s="29" t="s">
        <v>222</v>
      </c>
      <c r="E445" s="51" t="s">
        <v>147</v>
      </c>
      <c r="F445" s="105">
        <f t="shared" si="200"/>
        <v>6.2041357650564439</v>
      </c>
      <c r="G445" s="105">
        <f t="shared" si="200"/>
        <v>6.2152545119129687</v>
      </c>
      <c r="H445" s="105">
        <f t="shared" si="200"/>
        <v>6.2830000858218336</v>
      </c>
      <c r="I445" s="105">
        <f t="shared" si="200"/>
        <v>6.2998856167998873</v>
      </c>
      <c r="J445" s="105">
        <f t="shared" si="200"/>
        <v>6.360432688094285</v>
      </c>
      <c r="K445" s="105">
        <f t="shared" si="200"/>
        <v>6.4258351641898876</v>
      </c>
      <c r="L445" s="105">
        <f t="shared" si="200"/>
        <v>6.4860142252083888</v>
      </c>
      <c r="M445" s="105">
        <f t="shared" si="200"/>
        <v>6.5362744623097511</v>
      </c>
      <c r="N445" s="105">
        <f t="shared" si="201"/>
        <v>32.108442156602202</v>
      </c>
    </row>
    <row r="446" spans="1:14" x14ac:dyDescent="0.5">
      <c r="B446" s="8" t="s">
        <v>154</v>
      </c>
      <c r="C446" s="29" t="s">
        <v>102</v>
      </c>
      <c r="D446" s="29" t="s">
        <v>222</v>
      </c>
      <c r="E446" s="51" t="s">
        <v>147</v>
      </c>
      <c r="F446" s="105">
        <f t="shared" si="200"/>
        <v>31.882183617403307</v>
      </c>
      <c r="G446" s="105">
        <f t="shared" si="200"/>
        <v>31.939321298185806</v>
      </c>
      <c r="H446" s="105">
        <f t="shared" si="200"/>
        <v>32.287456301741642</v>
      </c>
      <c r="I446" s="105">
        <f t="shared" si="200"/>
        <v>32.374228677380458</v>
      </c>
      <c r="J446" s="105">
        <f t="shared" si="200"/>
        <v>32.685371585531556</v>
      </c>
      <c r="K446" s="105">
        <f t="shared" si="200"/>
        <v>33.02146573802532</v>
      </c>
      <c r="L446" s="105">
        <f t="shared" si="200"/>
        <v>33.330717492979019</v>
      </c>
      <c r="M446" s="105">
        <f t="shared" si="200"/>
        <v>33.588997802856362</v>
      </c>
      <c r="N446" s="105">
        <f t="shared" si="201"/>
        <v>165.00078129677271</v>
      </c>
    </row>
    <row r="447" spans="1:14" x14ac:dyDescent="0.5">
      <c r="B447" s="8" t="s">
        <v>155</v>
      </c>
      <c r="C447" s="29" t="s">
        <v>102</v>
      </c>
      <c r="D447" s="29" t="s">
        <v>222</v>
      </c>
      <c r="E447" s="51" t="s">
        <v>147</v>
      </c>
      <c r="F447" s="105">
        <f t="shared" si="200"/>
        <v>17.310878015719418</v>
      </c>
      <c r="G447" s="105">
        <f t="shared" si="200"/>
        <v>17.341901719553402</v>
      </c>
      <c r="H447" s="105">
        <f t="shared" si="200"/>
        <v>17.530926494389323</v>
      </c>
      <c r="I447" s="105">
        <f t="shared" si="200"/>
        <v>17.578040770746409</v>
      </c>
      <c r="J447" s="105">
        <f t="shared" si="200"/>
        <v>17.746980169411685</v>
      </c>
      <c r="K447" s="105">
        <f t="shared" si="200"/>
        <v>17.929467195565067</v>
      </c>
      <c r="L447" s="105">
        <f t="shared" si="200"/>
        <v>18.097379766121509</v>
      </c>
      <c r="M447" s="105">
        <f t="shared" si="200"/>
        <v>18.237616676861474</v>
      </c>
      <c r="N447" s="105">
        <f t="shared" si="201"/>
        <v>89.589484578706148</v>
      </c>
    </row>
    <row r="448" spans="1:14" x14ac:dyDescent="0.5">
      <c r="B448" s="8" t="s">
        <v>156</v>
      </c>
      <c r="C448" s="29" t="s">
        <v>102</v>
      </c>
      <c r="D448" s="29" t="s">
        <v>222</v>
      </c>
      <c r="E448" s="51" t="s">
        <v>147</v>
      </c>
      <c r="F448" s="105">
        <f t="shared" si="200"/>
        <v>62.149696279688989</v>
      </c>
      <c r="G448" s="105">
        <f t="shared" si="200"/>
        <v>62.261077907414773</v>
      </c>
      <c r="H448" s="105">
        <f t="shared" si="200"/>
        <v>62.939716641667381</v>
      </c>
      <c r="I448" s="105">
        <f t="shared" si="200"/>
        <v>63.10886681206145</v>
      </c>
      <c r="J448" s="105">
        <f t="shared" si="200"/>
        <v>63.715394817584112</v>
      </c>
      <c r="K448" s="105">
        <f t="shared" si="200"/>
        <v>64.370561657770821</v>
      </c>
      <c r="L448" s="105">
        <f t="shared" si="200"/>
        <v>64.973403134219822</v>
      </c>
      <c r="M448" s="105">
        <f t="shared" si="200"/>
        <v>65.476883165780109</v>
      </c>
      <c r="N448" s="105">
        <f t="shared" si="201"/>
        <v>321.64510958741636</v>
      </c>
    </row>
    <row r="449" spans="2:14" x14ac:dyDescent="0.5">
      <c r="B449" s="8" t="s">
        <v>157</v>
      </c>
      <c r="C449" s="29" t="s">
        <v>102</v>
      </c>
      <c r="D449" s="29" t="s">
        <v>222</v>
      </c>
      <c r="E449" s="51" t="s">
        <v>147</v>
      </c>
      <c r="F449" s="105">
        <f t="shared" ref="F449:M458" si="202">F304/F$392</f>
        <v>70.7010370305142</v>
      </c>
      <c r="G449" s="105">
        <f t="shared" si="202"/>
        <v>70.82774395038264</v>
      </c>
      <c r="H449" s="105">
        <f t="shared" si="202"/>
        <v>71.599758379299743</v>
      </c>
      <c r="I449" s="105">
        <f t="shared" si="202"/>
        <v>71.792182368098196</v>
      </c>
      <c r="J449" s="105">
        <f t="shared" si="202"/>
        <v>72.482164162788223</v>
      </c>
      <c r="K449" s="105">
        <f t="shared" si="202"/>
        <v>73.2274771377825</v>
      </c>
      <c r="L449" s="105">
        <f t="shared" si="202"/>
        <v>73.913265164133307</v>
      </c>
      <c r="M449" s="105">
        <f t="shared" si="202"/>
        <v>74.486020342135703</v>
      </c>
      <c r="N449" s="105">
        <f t="shared" si="201"/>
        <v>365.90110917493791</v>
      </c>
    </row>
    <row r="450" spans="2:14" x14ac:dyDescent="0.5">
      <c r="B450" s="8" t="s">
        <v>158</v>
      </c>
      <c r="C450" s="29" t="s">
        <v>102</v>
      </c>
      <c r="D450" s="29" t="s">
        <v>222</v>
      </c>
      <c r="E450" s="51" t="s">
        <v>147</v>
      </c>
      <c r="F450" s="105">
        <f t="shared" si="202"/>
        <v>22.976572000000001</v>
      </c>
      <c r="G450" s="105">
        <f t="shared" si="202"/>
        <v>20.715974533641525</v>
      </c>
      <c r="H450" s="105">
        <f t="shared" si="202"/>
        <v>18.84759868979565</v>
      </c>
      <c r="I450" s="105">
        <f t="shared" si="202"/>
        <v>17.008426364421407</v>
      </c>
      <c r="J450" s="105">
        <f t="shared" si="202"/>
        <v>15.454702171027076</v>
      </c>
      <c r="K450" s="105">
        <f t="shared" si="202"/>
        <v>14.052256533380662</v>
      </c>
      <c r="L450" s="105">
        <f t="shared" si="202"/>
        <v>12.7654725181466</v>
      </c>
      <c r="M450" s="105">
        <f t="shared" si="202"/>
        <v>11.577953148152092</v>
      </c>
      <c r="N450" s="105">
        <f t="shared" si="201"/>
        <v>70.858810735127847</v>
      </c>
    </row>
    <row r="451" spans="2:14" x14ac:dyDescent="0.5">
      <c r="B451" s="8" t="s">
        <v>159</v>
      </c>
      <c r="C451" s="29" t="s">
        <v>102</v>
      </c>
      <c r="D451" s="29" t="s">
        <v>222</v>
      </c>
      <c r="E451" s="51" t="s">
        <v>147</v>
      </c>
      <c r="F451" s="105">
        <f t="shared" si="202"/>
        <v>3.7439850000000003</v>
      </c>
      <c r="G451" s="105">
        <f t="shared" si="202"/>
        <v>3.7506947857019974</v>
      </c>
      <c r="H451" s="105">
        <f t="shared" si="202"/>
        <v>3.7915769362764173</v>
      </c>
      <c r="I451" s="105">
        <f t="shared" si="202"/>
        <v>3.8017667801310502</v>
      </c>
      <c r="J451" s="105">
        <f t="shared" si="202"/>
        <v>3.8383048791192969</v>
      </c>
      <c r="K451" s="105">
        <f t="shared" si="202"/>
        <v>3.8777730498263203</v>
      </c>
      <c r="L451" s="105">
        <f t="shared" si="202"/>
        <v>3.9140890671250328</v>
      </c>
      <c r="M451" s="105">
        <f t="shared" si="202"/>
        <v>3.9444194114195268</v>
      </c>
      <c r="N451" s="105">
        <f t="shared" si="201"/>
        <v>19.376353187621227</v>
      </c>
    </row>
    <row r="452" spans="2:14" x14ac:dyDescent="0.5">
      <c r="B452" s="8" t="s">
        <v>160</v>
      </c>
      <c r="C452" s="29" t="s">
        <v>102</v>
      </c>
      <c r="D452" s="29" t="s">
        <v>222</v>
      </c>
      <c r="E452" s="51" t="s">
        <v>147</v>
      </c>
      <c r="F452" s="105">
        <f t="shared" si="202"/>
        <v>51.545229593399867</v>
      </c>
      <c r="G452" s="105">
        <f t="shared" si="202"/>
        <v>51.637606417701228</v>
      </c>
      <c r="H452" s="105">
        <f t="shared" si="202"/>
        <v>52.200450509659511</v>
      </c>
      <c r="I452" s="105">
        <f t="shared" si="202"/>
        <v>52.340738956597178</v>
      </c>
      <c r="J452" s="105">
        <f t="shared" si="202"/>
        <v>52.843776415683031</v>
      </c>
      <c r="K452" s="105">
        <f t="shared" si="202"/>
        <v>53.387153571500967</v>
      </c>
      <c r="L452" s="105">
        <f t="shared" si="202"/>
        <v>53.887133525902506</v>
      </c>
      <c r="M452" s="105">
        <f t="shared" si="202"/>
        <v>54.304705861343628</v>
      </c>
      <c r="N452" s="105">
        <f t="shared" si="201"/>
        <v>266.76350833102731</v>
      </c>
    </row>
    <row r="453" spans="2:14" x14ac:dyDescent="0.5">
      <c r="B453" s="53" t="s">
        <v>161</v>
      </c>
      <c r="C453" s="29" t="s">
        <v>102</v>
      </c>
      <c r="D453" s="29" t="s">
        <v>222</v>
      </c>
      <c r="E453" s="51" t="s">
        <v>147</v>
      </c>
      <c r="F453" s="105">
        <f t="shared" si="202"/>
        <v>0</v>
      </c>
      <c r="G453" s="105">
        <f t="shared" si="202"/>
        <v>0</v>
      </c>
      <c r="H453" s="105">
        <f t="shared" si="202"/>
        <v>0</v>
      </c>
      <c r="I453" s="105">
        <f t="shared" si="202"/>
        <v>0</v>
      </c>
      <c r="J453" s="105">
        <f t="shared" si="202"/>
        <v>0</v>
      </c>
      <c r="K453" s="105">
        <f t="shared" si="202"/>
        <v>0</v>
      </c>
      <c r="L453" s="105">
        <f t="shared" si="202"/>
        <v>0</v>
      </c>
      <c r="M453" s="105">
        <f t="shared" si="202"/>
        <v>0</v>
      </c>
      <c r="N453" s="105">
        <f t="shared" si="201"/>
        <v>0</v>
      </c>
    </row>
    <row r="454" spans="2:14" x14ac:dyDescent="0.5">
      <c r="B454" s="53" t="s">
        <v>161</v>
      </c>
      <c r="C454" s="29" t="s">
        <v>102</v>
      </c>
      <c r="D454" s="29" t="s">
        <v>222</v>
      </c>
      <c r="E454" s="51" t="s">
        <v>147</v>
      </c>
      <c r="F454" s="105">
        <f t="shared" si="202"/>
        <v>0</v>
      </c>
      <c r="G454" s="105">
        <f t="shared" si="202"/>
        <v>0</v>
      </c>
      <c r="H454" s="105">
        <f t="shared" si="202"/>
        <v>0</v>
      </c>
      <c r="I454" s="105">
        <f t="shared" si="202"/>
        <v>0</v>
      </c>
      <c r="J454" s="105">
        <f t="shared" si="202"/>
        <v>0</v>
      </c>
      <c r="K454" s="105">
        <f t="shared" si="202"/>
        <v>0</v>
      </c>
      <c r="L454" s="105">
        <f t="shared" si="202"/>
        <v>0</v>
      </c>
      <c r="M454" s="105">
        <f t="shared" si="202"/>
        <v>0</v>
      </c>
      <c r="N454" s="105">
        <f t="shared" si="201"/>
        <v>0</v>
      </c>
    </row>
    <row r="455" spans="2:14" x14ac:dyDescent="0.5">
      <c r="B455" s="8" t="s">
        <v>163</v>
      </c>
      <c r="C455" s="29" t="s">
        <v>102</v>
      </c>
      <c r="D455" s="29" t="s">
        <v>222</v>
      </c>
      <c r="E455" s="51" t="s">
        <v>162</v>
      </c>
      <c r="F455" s="105">
        <f t="shared" si="202"/>
        <v>175.62</v>
      </c>
      <c r="G455" s="105">
        <f t="shared" si="202"/>
        <v>180.97465783747029</v>
      </c>
      <c r="H455" s="105">
        <f t="shared" si="202"/>
        <v>181.83999070943773</v>
      </c>
      <c r="I455" s="105">
        <f t="shared" si="202"/>
        <v>183.36888702140408</v>
      </c>
      <c r="J455" s="105">
        <f t="shared" si="202"/>
        <v>187.29428754229261</v>
      </c>
      <c r="K455" s="105">
        <f t="shared" si="202"/>
        <v>191.41428071467669</v>
      </c>
      <c r="L455" s="105">
        <f t="shared" si="202"/>
        <v>195.37975309380514</v>
      </c>
      <c r="M455" s="105">
        <f t="shared" si="202"/>
        <v>199.17974240303073</v>
      </c>
      <c r="N455" s="105">
        <f t="shared" si="201"/>
        <v>956.63695077520924</v>
      </c>
    </row>
    <row r="456" spans="2:14" x14ac:dyDescent="0.5">
      <c r="B456" s="8" t="s">
        <v>164</v>
      </c>
      <c r="C456" s="29" t="s">
        <v>102</v>
      </c>
      <c r="D456" s="29" t="s">
        <v>222</v>
      </c>
      <c r="E456" s="51" t="s">
        <v>162</v>
      </c>
      <c r="F456" s="105">
        <f t="shared" si="202"/>
        <v>27.275317000000001</v>
      </c>
      <c r="G456" s="105">
        <f t="shared" si="202"/>
        <v>28.10694204238434</v>
      </c>
      <c r="H456" s="105">
        <f t="shared" si="202"/>
        <v>28.241335781101068</v>
      </c>
      <c r="I456" s="105">
        <f t="shared" si="202"/>
        <v>28.478786706787282</v>
      </c>
      <c r="J456" s="105">
        <f t="shared" si="202"/>
        <v>29.088435628090092</v>
      </c>
      <c r="K456" s="105">
        <f t="shared" si="202"/>
        <v>29.728306484567774</v>
      </c>
      <c r="L456" s="105">
        <f t="shared" si="202"/>
        <v>30.344178914789122</v>
      </c>
      <c r="M456" s="105">
        <f t="shared" si="202"/>
        <v>30.934350381625116</v>
      </c>
      <c r="N456" s="105">
        <f t="shared" si="201"/>
        <v>148.57405811585937</v>
      </c>
    </row>
    <row r="457" spans="2:14" x14ac:dyDescent="0.5">
      <c r="B457" s="53" t="s">
        <v>165</v>
      </c>
      <c r="C457" s="29" t="s">
        <v>102</v>
      </c>
      <c r="D457" s="29" t="s">
        <v>222</v>
      </c>
      <c r="E457" s="51" t="s">
        <v>162</v>
      </c>
      <c r="F457" s="105">
        <f t="shared" si="202"/>
        <v>0</v>
      </c>
      <c r="G457" s="105">
        <f t="shared" si="202"/>
        <v>0</v>
      </c>
      <c r="H457" s="105">
        <f t="shared" si="202"/>
        <v>0</v>
      </c>
      <c r="I457" s="105">
        <f t="shared" si="202"/>
        <v>0</v>
      </c>
      <c r="J457" s="105">
        <f t="shared" si="202"/>
        <v>0</v>
      </c>
      <c r="K457" s="105">
        <f t="shared" si="202"/>
        <v>0</v>
      </c>
      <c r="L457" s="105">
        <f t="shared" si="202"/>
        <v>0</v>
      </c>
      <c r="M457" s="105">
        <f t="shared" si="202"/>
        <v>0</v>
      </c>
      <c r="N457" s="105">
        <f t="shared" si="201"/>
        <v>0</v>
      </c>
    </row>
    <row r="458" spans="2:14" x14ac:dyDescent="0.5">
      <c r="B458" s="53" t="s">
        <v>161</v>
      </c>
      <c r="C458" s="29" t="s">
        <v>102</v>
      </c>
      <c r="D458" s="29" t="s">
        <v>222</v>
      </c>
      <c r="E458" s="51" t="s">
        <v>162</v>
      </c>
      <c r="F458" s="105">
        <f t="shared" si="202"/>
        <v>0</v>
      </c>
      <c r="G458" s="105">
        <f t="shared" si="202"/>
        <v>0</v>
      </c>
      <c r="H458" s="105">
        <f t="shared" si="202"/>
        <v>0</v>
      </c>
      <c r="I458" s="105">
        <f t="shared" si="202"/>
        <v>0</v>
      </c>
      <c r="J458" s="105">
        <f t="shared" si="202"/>
        <v>0</v>
      </c>
      <c r="K458" s="105">
        <f t="shared" si="202"/>
        <v>0</v>
      </c>
      <c r="L458" s="105">
        <f t="shared" si="202"/>
        <v>0</v>
      </c>
      <c r="M458" s="105">
        <f t="shared" si="202"/>
        <v>0</v>
      </c>
      <c r="N458" s="105">
        <f t="shared" si="201"/>
        <v>0</v>
      </c>
    </row>
    <row r="459" spans="2:14" x14ac:dyDescent="0.5">
      <c r="B459" s="8" t="s">
        <v>166</v>
      </c>
      <c r="C459" s="29" t="s">
        <v>102</v>
      </c>
      <c r="D459" s="29" t="s">
        <v>222</v>
      </c>
      <c r="E459" s="51" t="s">
        <v>166</v>
      </c>
      <c r="F459" s="105">
        <f t="shared" ref="F459:M468" si="203">F314/F$392</f>
        <v>53.079143000000002</v>
      </c>
      <c r="G459" s="105">
        <f t="shared" si="203"/>
        <v>51.175093131126978</v>
      </c>
      <c r="H459" s="105">
        <f t="shared" si="203"/>
        <v>50.294702501903245</v>
      </c>
      <c r="I459" s="105">
        <f t="shared" si="203"/>
        <v>49.266978498124466</v>
      </c>
      <c r="J459" s="105">
        <f t="shared" si="203"/>
        <v>48.829702921901479</v>
      </c>
      <c r="K459" s="105">
        <f t="shared" si="203"/>
        <v>48.422807956073164</v>
      </c>
      <c r="L459" s="105">
        <f t="shared" si="203"/>
        <v>47.97560521661967</v>
      </c>
      <c r="M459" s="105">
        <f t="shared" si="203"/>
        <v>47.473510081129639</v>
      </c>
      <c r="N459" s="105">
        <f t="shared" si="201"/>
        <v>241.9686046738484</v>
      </c>
    </row>
    <row r="460" spans="2:14" x14ac:dyDescent="0.5">
      <c r="B460" s="8" t="s">
        <v>167</v>
      </c>
      <c r="C460" s="29" t="s">
        <v>102</v>
      </c>
      <c r="D460" s="29" t="s">
        <v>222</v>
      </c>
      <c r="E460" s="51" t="s">
        <v>168</v>
      </c>
      <c r="F460" s="105">
        <f t="shared" si="203"/>
        <v>15.786951989364759</v>
      </c>
      <c r="G460" s="105">
        <f t="shared" si="203"/>
        <v>15.932956669322097</v>
      </c>
      <c r="H460" s="105">
        <f t="shared" si="203"/>
        <v>16.185640464115632</v>
      </c>
      <c r="I460" s="105">
        <f t="shared" si="203"/>
        <v>16.36535235988455</v>
      </c>
      <c r="J460" s="105">
        <f t="shared" si="203"/>
        <v>16.621195147072545</v>
      </c>
      <c r="K460" s="105">
        <f t="shared" si="203"/>
        <v>16.886326917205082</v>
      </c>
      <c r="L460" s="105">
        <f t="shared" si="203"/>
        <v>17.142768905897796</v>
      </c>
      <c r="M460" s="105">
        <f t="shared" si="203"/>
        <v>17.386315850854473</v>
      </c>
      <c r="N460" s="105">
        <f t="shared" si="201"/>
        <v>84.401959180914446</v>
      </c>
    </row>
    <row r="461" spans="2:14" x14ac:dyDescent="0.5">
      <c r="B461" s="8" t="s">
        <v>169</v>
      </c>
      <c r="C461" s="29" t="s">
        <v>102</v>
      </c>
      <c r="D461" s="29" t="s">
        <v>222</v>
      </c>
      <c r="E461" s="51" t="s">
        <v>168</v>
      </c>
      <c r="F461" s="105">
        <f t="shared" si="203"/>
        <v>32.277898107214718</v>
      </c>
      <c r="G461" s="105">
        <f t="shared" si="203"/>
        <v>32.576418314662881</v>
      </c>
      <c r="H461" s="105">
        <f t="shared" si="203"/>
        <v>33.093053938004523</v>
      </c>
      <c r="I461" s="105">
        <f t="shared" si="203"/>
        <v>33.460491696996343</v>
      </c>
      <c r="J461" s="105">
        <f t="shared" si="203"/>
        <v>33.983586175391103</v>
      </c>
      <c r="K461" s="105">
        <f t="shared" si="203"/>
        <v>34.525672847162113</v>
      </c>
      <c r="L461" s="105">
        <f t="shared" si="203"/>
        <v>35.049992449008698</v>
      </c>
      <c r="M461" s="105">
        <f t="shared" si="203"/>
        <v>35.547946929324517</v>
      </c>
      <c r="N461" s="105">
        <f t="shared" si="201"/>
        <v>172.56769009788277</v>
      </c>
    </row>
    <row r="462" spans="2:14" x14ac:dyDescent="0.5">
      <c r="B462" s="8" t="s">
        <v>170</v>
      </c>
      <c r="C462" s="29" t="s">
        <v>102</v>
      </c>
      <c r="D462" s="29" t="s">
        <v>222</v>
      </c>
      <c r="E462" s="51" t="s">
        <v>168</v>
      </c>
      <c r="F462" s="105">
        <f t="shared" si="203"/>
        <v>21.6776817119862</v>
      </c>
      <c r="G462" s="105">
        <f t="shared" si="203"/>
        <v>21.878166452974057</v>
      </c>
      <c r="H462" s="105">
        <f t="shared" si="203"/>
        <v>22.225136462194399</v>
      </c>
      <c r="I462" s="105">
        <f t="shared" si="203"/>
        <v>22.471905900586361</v>
      </c>
      <c r="J462" s="105">
        <f t="shared" si="203"/>
        <v>22.823213645913324</v>
      </c>
      <c r="K462" s="105">
        <f t="shared" si="203"/>
        <v>23.187276457312283</v>
      </c>
      <c r="L462" s="105">
        <f t="shared" si="203"/>
        <v>23.539406989679417</v>
      </c>
      <c r="M462" s="105">
        <f t="shared" si="203"/>
        <v>23.873830832752745</v>
      </c>
      <c r="N462" s="105">
        <f t="shared" si="201"/>
        <v>115.89563382624414</v>
      </c>
    </row>
    <row r="463" spans="2:14" x14ac:dyDescent="0.5">
      <c r="B463" s="8" t="s">
        <v>171</v>
      </c>
      <c r="C463" s="29" t="s">
        <v>102</v>
      </c>
      <c r="D463" s="29" t="s">
        <v>222</v>
      </c>
      <c r="E463" s="51" t="s">
        <v>172</v>
      </c>
      <c r="F463" s="105">
        <f t="shared" si="203"/>
        <v>19.10447923227176</v>
      </c>
      <c r="G463" s="105">
        <f t="shared" si="203"/>
        <v>19.178238184617658</v>
      </c>
      <c r="H463" s="105">
        <f t="shared" si="203"/>
        <v>19.372817647286233</v>
      </c>
      <c r="I463" s="105">
        <f t="shared" si="203"/>
        <v>19.558710601599707</v>
      </c>
      <c r="J463" s="105">
        <f t="shared" si="203"/>
        <v>19.709441442420832</v>
      </c>
      <c r="K463" s="105">
        <f t="shared" si="203"/>
        <v>19.863107314923123</v>
      </c>
      <c r="L463" s="105">
        <f t="shared" si="203"/>
        <v>19.898934470144074</v>
      </c>
      <c r="M463" s="105">
        <f t="shared" si="203"/>
        <v>19.934826246928552</v>
      </c>
      <c r="N463" s="105">
        <f t="shared" si="201"/>
        <v>98.965020076016287</v>
      </c>
    </row>
    <row r="464" spans="2:14" x14ac:dyDescent="0.5">
      <c r="B464" s="8" t="s">
        <v>173</v>
      </c>
      <c r="C464" s="29" t="s">
        <v>102</v>
      </c>
      <c r="D464" s="29" t="s">
        <v>222</v>
      </c>
      <c r="E464" s="51" t="s">
        <v>172</v>
      </c>
      <c r="F464" s="105">
        <f t="shared" si="203"/>
        <v>97.417655878726109</v>
      </c>
      <c r="G464" s="105">
        <f t="shared" si="203"/>
        <v>96.401725475340513</v>
      </c>
      <c r="H464" s="105">
        <f t="shared" si="203"/>
        <v>95.851684375360946</v>
      </c>
      <c r="I464" s="105">
        <f t="shared" si="203"/>
        <v>94.19417751997176</v>
      </c>
      <c r="J464" s="105">
        <f t="shared" si="203"/>
        <v>95.258023730510047</v>
      </c>
      <c r="K464" s="105">
        <f t="shared" si="203"/>
        <v>96.407399185715875</v>
      </c>
      <c r="L464" s="105">
        <f t="shared" si="203"/>
        <v>97.430339037522927</v>
      </c>
      <c r="M464" s="105">
        <f t="shared" si="203"/>
        <v>98.341867210595183</v>
      </c>
      <c r="N464" s="105">
        <f t="shared" si="201"/>
        <v>481.63180668431579</v>
      </c>
    </row>
    <row r="465" spans="2:14" x14ac:dyDescent="0.5">
      <c r="B465" s="8" t="s">
        <v>174</v>
      </c>
      <c r="C465" s="29" t="s">
        <v>102</v>
      </c>
      <c r="D465" s="29" t="s">
        <v>222</v>
      </c>
      <c r="E465" s="51" t="s">
        <v>172</v>
      </c>
      <c r="F465" s="105">
        <f t="shared" si="203"/>
        <v>4.7173109431847129</v>
      </c>
      <c r="G465" s="105">
        <f t="shared" si="203"/>
        <v>4.7355236308392081</v>
      </c>
      <c r="H465" s="105">
        <f t="shared" si="203"/>
        <v>4.7835695271657066</v>
      </c>
      <c r="I465" s="105">
        <f t="shared" si="203"/>
        <v>4.829470535875882</v>
      </c>
      <c r="J465" s="105">
        <f t="shared" si="203"/>
        <v>4.866689254912191</v>
      </c>
      <c r="K465" s="105">
        <f t="shared" si="203"/>
        <v>4.9046326970304452</v>
      </c>
      <c r="L465" s="105">
        <f t="shared" si="203"/>
        <v>4.9134791999542973</v>
      </c>
      <c r="M465" s="105">
        <f t="shared" si="203"/>
        <v>4.9223416593460074</v>
      </c>
      <c r="N465" s="105">
        <f t="shared" si="201"/>
        <v>24.436613347118822</v>
      </c>
    </row>
    <row r="466" spans="2:14" x14ac:dyDescent="0.5">
      <c r="B466" s="53" t="s">
        <v>161</v>
      </c>
      <c r="C466" s="29" t="s">
        <v>102</v>
      </c>
      <c r="D466" s="29" t="s">
        <v>222</v>
      </c>
      <c r="E466" s="51" t="s">
        <v>172</v>
      </c>
      <c r="F466" s="105">
        <f t="shared" si="203"/>
        <v>0</v>
      </c>
      <c r="G466" s="105">
        <f t="shared" si="203"/>
        <v>0</v>
      </c>
      <c r="H466" s="105">
        <f t="shared" si="203"/>
        <v>0</v>
      </c>
      <c r="I466" s="105">
        <f t="shared" si="203"/>
        <v>0</v>
      </c>
      <c r="J466" s="105">
        <f t="shared" si="203"/>
        <v>0</v>
      </c>
      <c r="K466" s="105">
        <f t="shared" si="203"/>
        <v>0</v>
      </c>
      <c r="L466" s="105">
        <f t="shared" si="203"/>
        <v>0</v>
      </c>
      <c r="M466" s="105">
        <f t="shared" si="203"/>
        <v>0</v>
      </c>
      <c r="N466" s="105">
        <f t="shared" si="201"/>
        <v>0</v>
      </c>
    </row>
    <row r="467" spans="2:14" x14ac:dyDescent="0.5">
      <c r="B467" s="53" t="s">
        <v>161</v>
      </c>
      <c r="C467" s="29" t="s">
        <v>102</v>
      </c>
      <c r="D467" s="29" t="s">
        <v>222</v>
      </c>
      <c r="E467" s="51" t="s">
        <v>172</v>
      </c>
      <c r="F467" s="105">
        <f t="shared" si="203"/>
        <v>0</v>
      </c>
      <c r="G467" s="105">
        <f t="shared" si="203"/>
        <v>0</v>
      </c>
      <c r="H467" s="105">
        <f t="shared" si="203"/>
        <v>0</v>
      </c>
      <c r="I467" s="105">
        <f t="shared" si="203"/>
        <v>0</v>
      </c>
      <c r="J467" s="105">
        <f t="shared" si="203"/>
        <v>0</v>
      </c>
      <c r="K467" s="105">
        <f t="shared" si="203"/>
        <v>0</v>
      </c>
      <c r="L467" s="105">
        <f t="shared" si="203"/>
        <v>0</v>
      </c>
      <c r="M467" s="105">
        <f t="shared" si="203"/>
        <v>0</v>
      </c>
      <c r="N467" s="105">
        <f t="shared" si="201"/>
        <v>0</v>
      </c>
    </row>
    <row r="468" spans="2:14" x14ac:dyDescent="0.5">
      <c r="B468" s="53" t="s">
        <v>161</v>
      </c>
      <c r="C468" s="29" t="s">
        <v>102</v>
      </c>
      <c r="D468" s="29" t="s">
        <v>222</v>
      </c>
      <c r="E468" s="51" t="s">
        <v>172</v>
      </c>
      <c r="F468" s="105">
        <f t="shared" si="203"/>
        <v>0</v>
      </c>
      <c r="G468" s="105">
        <f t="shared" si="203"/>
        <v>0</v>
      </c>
      <c r="H468" s="105">
        <f t="shared" si="203"/>
        <v>0</v>
      </c>
      <c r="I468" s="105">
        <f t="shared" si="203"/>
        <v>0</v>
      </c>
      <c r="J468" s="105">
        <f t="shared" si="203"/>
        <v>0</v>
      </c>
      <c r="K468" s="105">
        <f t="shared" si="203"/>
        <v>0</v>
      </c>
      <c r="L468" s="105">
        <f t="shared" si="203"/>
        <v>0</v>
      </c>
      <c r="M468" s="105">
        <f t="shared" si="203"/>
        <v>0</v>
      </c>
      <c r="N468" s="105">
        <f t="shared" si="201"/>
        <v>0</v>
      </c>
    </row>
    <row r="469" spans="2:14" x14ac:dyDescent="0.5">
      <c r="B469" s="8" t="s">
        <v>175</v>
      </c>
      <c r="C469" s="29" t="s">
        <v>102</v>
      </c>
      <c r="D469" s="29" t="s">
        <v>222</v>
      </c>
      <c r="E469" s="51" t="s">
        <v>176</v>
      </c>
      <c r="F469" s="105">
        <f t="shared" ref="F469:M478" si="204">F324/F$392</f>
        <v>0</v>
      </c>
      <c r="G469" s="105">
        <f t="shared" si="204"/>
        <v>0</v>
      </c>
      <c r="H469" s="105">
        <f t="shared" si="204"/>
        <v>0</v>
      </c>
      <c r="I469" s="105">
        <f t="shared" si="204"/>
        <v>0</v>
      </c>
      <c r="J469" s="105">
        <f t="shared" si="204"/>
        <v>0</v>
      </c>
      <c r="K469" s="105">
        <f t="shared" si="204"/>
        <v>0</v>
      </c>
      <c r="L469" s="105">
        <f t="shared" si="204"/>
        <v>0</v>
      </c>
      <c r="M469" s="105">
        <f t="shared" si="204"/>
        <v>0</v>
      </c>
      <c r="N469" s="105">
        <f t="shared" si="201"/>
        <v>0</v>
      </c>
    </row>
    <row r="470" spans="2:14" x14ac:dyDescent="0.5">
      <c r="B470" s="8" t="s">
        <v>177</v>
      </c>
      <c r="C470" s="29" t="s">
        <v>102</v>
      </c>
      <c r="D470" s="29" t="s">
        <v>222</v>
      </c>
      <c r="E470" s="51" t="s">
        <v>176</v>
      </c>
      <c r="F470" s="105">
        <f t="shared" si="204"/>
        <v>0</v>
      </c>
      <c r="G470" s="105">
        <f t="shared" si="204"/>
        <v>0</v>
      </c>
      <c r="H470" s="105">
        <f t="shared" si="204"/>
        <v>0</v>
      </c>
      <c r="I470" s="105">
        <f t="shared" si="204"/>
        <v>0</v>
      </c>
      <c r="J470" s="105">
        <f t="shared" si="204"/>
        <v>0</v>
      </c>
      <c r="K470" s="105">
        <f t="shared" si="204"/>
        <v>0</v>
      </c>
      <c r="L470" s="105">
        <f t="shared" si="204"/>
        <v>0</v>
      </c>
      <c r="M470" s="105">
        <f t="shared" si="204"/>
        <v>0</v>
      </c>
      <c r="N470" s="105">
        <f t="shared" si="201"/>
        <v>0</v>
      </c>
    </row>
    <row r="471" spans="2:14" x14ac:dyDescent="0.5">
      <c r="B471" s="8" t="s">
        <v>178</v>
      </c>
      <c r="C471" s="29" t="s">
        <v>102</v>
      </c>
      <c r="D471" s="29" t="s">
        <v>222</v>
      </c>
      <c r="E471" s="51" t="s">
        <v>176</v>
      </c>
      <c r="F471" s="105">
        <f t="shared" si="204"/>
        <v>0</v>
      </c>
      <c r="G471" s="105">
        <f t="shared" si="204"/>
        <v>0</v>
      </c>
      <c r="H471" s="105">
        <f t="shared" si="204"/>
        <v>0</v>
      </c>
      <c r="I471" s="105">
        <f t="shared" si="204"/>
        <v>0</v>
      </c>
      <c r="J471" s="105">
        <f t="shared" si="204"/>
        <v>0</v>
      </c>
      <c r="K471" s="105">
        <f t="shared" si="204"/>
        <v>0</v>
      </c>
      <c r="L471" s="105">
        <f t="shared" si="204"/>
        <v>0</v>
      </c>
      <c r="M471" s="105">
        <f t="shared" si="204"/>
        <v>0</v>
      </c>
      <c r="N471" s="105">
        <f t="shared" si="201"/>
        <v>0</v>
      </c>
    </row>
    <row r="472" spans="2:14" x14ac:dyDescent="0.5">
      <c r="B472" s="8" t="s">
        <v>179</v>
      </c>
      <c r="C472" s="29" t="s">
        <v>102</v>
      </c>
      <c r="D472" s="29" t="s">
        <v>222</v>
      </c>
      <c r="E472" s="51" t="s">
        <v>176</v>
      </c>
      <c r="F472" s="105">
        <f t="shared" si="204"/>
        <v>90.056985525012379</v>
      </c>
      <c r="G472" s="105">
        <f t="shared" si="204"/>
        <v>89.932870241084359</v>
      </c>
      <c r="H472" s="105">
        <f t="shared" si="204"/>
        <v>90.339951516621909</v>
      </c>
      <c r="I472" s="105">
        <f t="shared" si="204"/>
        <v>90.40259631034796</v>
      </c>
      <c r="J472" s="105">
        <f t="shared" si="204"/>
        <v>90.81565246461156</v>
      </c>
      <c r="K472" s="105">
        <f t="shared" si="204"/>
        <v>91.251108932474821</v>
      </c>
      <c r="L472" s="105">
        <f t="shared" si="204"/>
        <v>91.623183497940289</v>
      </c>
      <c r="M472" s="105">
        <f t="shared" si="204"/>
        <v>91.922736507878426</v>
      </c>
      <c r="N472" s="105">
        <f t="shared" si="201"/>
        <v>456.01527771325311</v>
      </c>
    </row>
    <row r="473" spans="2:14" x14ac:dyDescent="0.5">
      <c r="B473" s="53" t="s">
        <v>180</v>
      </c>
      <c r="C473" s="29" t="s">
        <v>102</v>
      </c>
      <c r="D473" s="29" t="s">
        <v>222</v>
      </c>
      <c r="E473" s="51" t="s">
        <v>176</v>
      </c>
      <c r="F473" s="105">
        <f t="shared" si="204"/>
        <v>43.748973129880007</v>
      </c>
      <c r="G473" s="105">
        <f t="shared" si="204"/>
        <v>43.688678904063764</v>
      </c>
      <c r="H473" s="105">
        <f t="shared" si="204"/>
        <v>43.886435776352407</v>
      </c>
      <c r="I473" s="105">
        <f t="shared" si="204"/>
        <v>43.916868122954625</v>
      </c>
      <c r="J473" s="105">
        <f t="shared" si="204"/>
        <v>44.117527544193983</v>
      </c>
      <c r="K473" s="105">
        <f t="shared" si="204"/>
        <v>44.329068861069288</v>
      </c>
      <c r="L473" s="105">
        <f t="shared" si="204"/>
        <v>44.509819749764532</v>
      </c>
      <c r="M473" s="105">
        <f t="shared" si="204"/>
        <v>44.65534023888992</v>
      </c>
      <c r="N473" s="105">
        <f t="shared" si="201"/>
        <v>221.52862451687233</v>
      </c>
    </row>
    <row r="474" spans="2:14" x14ac:dyDescent="0.5">
      <c r="B474" s="53" t="s">
        <v>181</v>
      </c>
      <c r="C474" s="29" t="s">
        <v>102</v>
      </c>
      <c r="D474" s="29" t="s">
        <v>222</v>
      </c>
      <c r="E474" s="51" t="s">
        <v>176</v>
      </c>
      <c r="F474" s="105">
        <f t="shared" si="204"/>
        <v>12.620755707126646</v>
      </c>
      <c r="G474" s="105">
        <f t="shared" si="204"/>
        <v>12.603361957282097</v>
      </c>
      <c r="H474" s="105">
        <f t="shared" si="204"/>
        <v>12.660411094576149</v>
      </c>
      <c r="I474" s="105">
        <f t="shared" si="204"/>
        <v>12.669190254053127</v>
      </c>
      <c r="J474" s="105">
        <f t="shared" si="204"/>
        <v>12.727076722114379</v>
      </c>
      <c r="K474" s="105">
        <f t="shared" si="204"/>
        <v>12.788102412347637</v>
      </c>
      <c r="L474" s="105">
        <f t="shared" si="204"/>
        <v>12.840245643305225</v>
      </c>
      <c r="M474" s="105">
        <f t="shared" si="204"/>
        <v>12.882225566769504</v>
      </c>
      <c r="N474" s="105">
        <f t="shared" si="201"/>
        <v>63.906840598589874</v>
      </c>
    </row>
    <row r="475" spans="2:14" x14ac:dyDescent="0.5">
      <c r="B475" s="53" t="s">
        <v>161</v>
      </c>
      <c r="C475" s="29" t="s">
        <v>102</v>
      </c>
      <c r="D475" s="29" t="s">
        <v>222</v>
      </c>
      <c r="E475" s="51" t="s">
        <v>176</v>
      </c>
      <c r="F475" s="105">
        <f t="shared" si="204"/>
        <v>0</v>
      </c>
      <c r="G475" s="105">
        <f t="shared" si="204"/>
        <v>0</v>
      </c>
      <c r="H475" s="105">
        <f t="shared" si="204"/>
        <v>0</v>
      </c>
      <c r="I475" s="105">
        <f t="shared" si="204"/>
        <v>0</v>
      </c>
      <c r="J475" s="105">
        <f t="shared" si="204"/>
        <v>0</v>
      </c>
      <c r="K475" s="105">
        <f t="shared" si="204"/>
        <v>0</v>
      </c>
      <c r="L475" s="105">
        <f t="shared" si="204"/>
        <v>0</v>
      </c>
      <c r="M475" s="105">
        <f t="shared" si="204"/>
        <v>0</v>
      </c>
      <c r="N475" s="105">
        <f t="shared" si="201"/>
        <v>0</v>
      </c>
    </row>
    <row r="476" spans="2:14" x14ac:dyDescent="0.5">
      <c r="B476" s="53" t="s">
        <v>161</v>
      </c>
      <c r="C476" s="29" t="s">
        <v>102</v>
      </c>
      <c r="D476" s="29" t="s">
        <v>222</v>
      </c>
      <c r="E476" s="51" t="s">
        <v>176</v>
      </c>
      <c r="F476" s="105">
        <f t="shared" si="204"/>
        <v>0</v>
      </c>
      <c r="G476" s="105">
        <f t="shared" si="204"/>
        <v>0</v>
      </c>
      <c r="H476" s="105">
        <f t="shared" si="204"/>
        <v>0</v>
      </c>
      <c r="I476" s="105">
        <f t="shared" si="204"/>
        <v>0</v>
      </c>
      <c r="J476" s="105">
        <f t="shared" si="204"/>
        <v>0</v>
      </c>
      <c r="K476" s="105">
        <f t="shared" si="204"/>
        <v>0</v>
      </c>
      <c r="L476" s="105">
        <f t="shared" si="204"/>
        <v>0</v>
      </c>
      <c r="M476" s="105">
        <f t="shared" si="204"/>
        <v>0</v>
      </c>
      <c r="N476" s="105">
        <f t="shared" si="201"/>
        <v>0</v>
      </c>
    </row>
    <row r="477" spans="2:14" x14ac:dyDescent="0.5">
      <c r="B477" s="53" t="s">
        <v>161</v>
      </c>
      <c r="C477" s="29" t="s">
        <v>102</v>
      </c>
      <c r="D477" s="29" t="s">
        <v>222</v>
      </c>
      <c r="E477" s="51" t="s">
        <v>176</v>
      </c>
      <c r="F477" s="105">
        <f t="shared" si="204"/>
        <v>0</v>
      </c>
      <c r="G477" s="105">
        <f t="shared" si="204"/>
        <v>0</v>
      </c>
      <c r="H477" s="105">
        <f t="shared" si="204"/>
        <v>0</v>
      </c>
      <c r="I477" s="105">
        <f t="shared" si="204"/>
        <v>0</v>
      </c>
      <c r="J477" s="105">
        <f t="shared" si="204"/>
        <v>0</v>
      </c>
      <c r="K477" s="105">
        <f t="shared" si="204"/>
        <v>0</v>
      </c>
      <c r="L477" s="105">
        <f t="shared" si="204"/>
        <v>0</v>
      </c>
      <c r="M477" s="105">
        <f t="shared" si="204"/>
        <v>0</v>
      </c>
      <c r="N477" s="105">
        <f t="shared" si="201"/>
        <v>0</v>
      </c>
    </row>
    <row r="478" spans="2:14" x14ac:dyDescent="0.5">
      <c r="B478" s="8" t="s">
        <v>182</v>
      </c>
      <c r="C478" s="29" t="s">
        <v>102</v>
      </c>
      <c r="D478" s="29" t="s">
        <v>222</v>
      </c>
      <c r="E478" s="51" t="s">
        <v>182</v>
      </c>
      <c r="F478" s="105">
        <f t="shared" si="204"/>
        <v>0</v>
      </c>
      <c r="G478" s="105">
        <f t="shared" si="204"/>
        <v>0</v>
      </c>
      <c r="H478" s="105">
        <f t="shared" si="204"/>
        <v>0</v>
      </c>
      <c r="I478" s="105">
        <f t="shared" si="204"/>
        <v>0</v>
      </c>
      <c r="J478" s="105">
        <f t="shared" si="204"/>
        <v>0</v>
      </c>
      <c r="K478" s="105">
        <f t="shared" si="204"/>
        <v>0</v>
      </c>
      <c r="L478" s="105">
        <f t="shared" si="204"/>
        <v>0</v>
      </c>
      <c r="M478" s="105">
        <f t="shared" si="204"/>
        <v>0</v>
      </c>
      <c r="N478" s="105">
        <f t="shared" si="201"/>
        <v>0</v>
      </c>
    </row>
    <row r="479" spans="2:14" x14ac:dyDescent="0.5">
      <c r="B479" s="8" t="s">
        <v>183</v>
      </c>
      <c r="C479" s="29" t="s">
        <v>102</v>
      </c>
      <c r="D479" s="29" t="s">
        <v>222</v>
      </c>
      <c r="E479" s="51" t="s">
        <v>184</v>
      </c>
      <c r="F479" s="105">
        <f t="shared" ref="F479:M487" si="205">F334/F$392</f>
        <v>0</v>
      </c>
      <c r="G479" s="105">
        <f t="shared" si="205"/>
        <v>0</v>
      </c>
      <c r="H479" s="105">
        <f t="shared" si="205"/>
        <v>0</v>
      </c>
      <c r="I479" s="105">
        <f t="shared" si="205"/>
        <v>0</v>
      </c>
      <c r="J479" s="105">
        <f t="shared" si="205"/>
        <v>0</v>
      </c>
      <c r="K479" s="105">
        <f t="shared" si="205"/>
        <v>0</v>
      </c>
      <c r="L479" s="105">
        <f t="shared" si="205"/>
        <v>0</v>
      </c>
      <c r="M479" s="105">
        <f t="shared" si="205"/>
        <v>0</v>
      </c>
      <c r="N479" s="105">
        <f t="shared" si="201"/>
        <v>0</v>
      </c>
    </row>
    <row r="480" spans="2:14" x14ac:dyDescent="0.5">
      <c r="B480" s="8" t="s">
        <v>185</v>
      </c>
      <c r="C480" s="29" t="s">
        <v>102</v>
      </c>
      <c r="D480" s="29" t="s">
        <v>222</v>
      </c>
      <c r="E480" s="51" t="s">
        <v>184</v>
      </c>
      <c r="F480" s="105">
        <f t="shared" si="205"/>
        <v>0</v>
      </c>
      <c r="G480" s="105">
        <f t="shared" si="205"/>
        <v>0</v>
      </c>
      <c r="H480" s="105">
        <f t="shared" si="205"/>
        <v>0</v>
      </c>
      <c r="I480" s="105">
        <f t="shared" si="205"/>
        <v>0</v>
      </c>
      <c r="J480" s="105">
        <f t="shared" si="205"/>
        <v>0</v>
      </c>
      <c r="K480" s="105">
        <f t="shared" si="205"/>
        <v>0</v>
      </c>
      <c r="L480" s="105">
        <f t="shared" si="205"/>
        <v>0</v>
      </c>
      <c r="M480" s="105">
        <f t="shared" si="205"/>
        <v>0</v>
      </c>
      <c r="N480" s="105">
        <f t="shared" si="201"/>
        <v>0</v>
      </c>
    </row>
    <row r="481" spans="1:14" x14ac:dyDescent="0.5">
      <c r="B481" s="8" t="s">
        <v>186</v>
      </c>
      <c r="C481" s="29" t="s">
        <v>102</v>
      </c>
      <c r="D481" s="29" t="s">
        <v>222</v>
      </c>
      <c r="E481" s="51" t="s">
        <v>184</v>
      </c>
      <c r="F481" s="105">
        <f t="shared" si="205"/>
        <v>7.3246539999999998</v>
      </c>
      <c r="G481" s="105">
        <f t="shared" si="205"/>
        <v>7.3529331694433395</v>
      </c>
      <c r="H481" s="105">
        <f t="shared" si="205"/>
        <v>7.4275349014364158</v>
      </c>
      <c r="I481" s="105">
        <f t="shared" si="205"/>
        <v>7.4988062276437253</v>
      </c>
      <c r="J481" s="105">
        <f t="shared" si="205"/>
        <v>7.5565964056810744</v>
      </c>
      <c r="K481" s="105">
        <f t="shared" si="205"/>
        <v>7.6155118743522179</v>
      </c>
      <c r="L481" s="105">
        <f t="shared" si="205"/>
        <v>7.629247999404738</v>
      </c>
      <c r="M481" s="105">
        <f t="shared" si="205"/>
        <v>7.6430089003534238</v>
      </c>
      <c r="N481" s="105">
        <f t="shared" si="201"/>
        <v>37.94317140743518</v>
      </c>
    </row>
    <row r="482" spans="1:14" x14ac:dyDescent="0.5">
      <c r="B482" s="53" t="s">
        <v>161</v>
      </c>
      <c r="C482" s="29" t="s">
        <v>102</v>
      </c>
      <c r="D482" s="29" t="s">
        <v>222</v>
      </c>
      <c r="E482" s="51" t="s">
        <v>184</v>
      </c>
      <c r="F482" s="105">
        <f t="shared" si="205"/>
        <v>0</v>
      </c>
      <c r="G482" s="105">
        <f t="shared" si="205"/>
        <v>0</v>
      </c>
      <c r="H482" s="105">
        <f t="shared" si="205"/>
        <v>0</v>
      </c>
      <c r="I482" s="105">
        <f t="shared" si="205"/>
        <v>0</v>
      </c>
      <c r="J482" s="105">
        <f t="shared" si="205"/>
        <v>0</v>
      </c>
      <c r="K482" s="105">
        <f t="shared" si="205"/>
        <v>0</v>
      </c>
      <c r="L482" s="105">
        <f t="shared" si="205"/>
        <v>0</v>
      </c>
      <c r="M482" s="105">
        <f t="shared" si="205"/>
        <v>0</v>
      </c>
      <c r="N482" s="105">
        <f t="shared" si="201"/>
        <v>0</v>
      </c>
    </row>
    <row r="483" spans="1:14" x14ac:dyDescent="0.5">
      <c r="B483" s="53" t="s">
        <v>161</v>
      </c>
      <c r="C483" s="29" t="s">
        <v>102</v>
      </c>
      <c r="D483" s="29" t="s">
        <v>222</v>
      </c>
      <c r="E483" s="51" t="s">
        <v>184</v>
      </c>
      <c r="F483" s="105">
        <f t="shared" si="205"/>
        <v>0</v>
      </c>
      <c r="G483" s="105">
        <f t="shared" si="205"/>
        <v>0</v>
      </c>
      <c r="H483" s="105">
        <f t="shared" si="205"/>
        <v>0</v>
      </c>
      <c r="I483" s="105">
        <f t="shared" si="205"/>
        <v>0</v>
      </c>
      <c r="J483" s="105">
        <f t="shared" si="205"/>
        <v>0</v>
      </c>
      <c r="K483" s="105">
        <f t="shared" si="205"/>
        <v>0</v>
      </c>
      <c r="L483" s="105">
        <f t="shared" si="205"/>
        <v>0</v>
      </c>
      <c r="M483" s="105">
        <f t="shared" si="205"/>
        <v>0</v>
      </c>
      <c r="N483" s="105">
        <f t="shared" si="201"/>
        <v>0</v>
      </c>
    </row>
    <row r="484" spans="1:14" x14ac:dyDescent="0.5">
      <c r="B484" s="53" t="s">
        <v>161</v>
      </c>
      <c r="C484" s="29" t="s">
        <v>102</v>
      </c>
      <c r="D484" s="29" t="s">
        <v>222</v>
      </c>
      <c r="E484" s="51" t="s">
        <v>184</v>
      </c>
      <c r="F484" s="105">
        <f t="shared" si="205"/>
        <v>0</v>
      </c>
      <c r="G484" s="105">
        <f t="shared" si="205"/>
        <v>0</v>
      </c>
      <c r="H484" s="105">
        <f t="shared" si="205"/>
        <v>0</v>
      </c>
      <c r="I484" s="105">
        <f t="shared" si="205"/>
        <v>0</v>
      </c>
      <c r="J484" s="105">
        <f t="shared" si="205"/>
        <v>0</v>
      </c>
      <c r="K484" s="105">
        <f t="shared" si="205"/>
        <v>0</v>
      </c>
      <c r="L484" s="105">
        <f t="shared" si="205"/>
        <v>0</v>
      </c>
      <c r="M484" s="105">
        <f t="shared" si="205"/>
        <v>0</v>
      </c>
      <c r="N484" s="105">
        <f t="shared" si="201"/>
        <v>0</v>
      </c>
    </row>
    <row r="485" spans="1:14" x14ac:dyDescent="0.5">
      <c r="B485" s="8" t="s">
        <v>187</v>
      </c>
      <c r="C485" s="29" t="s">
        <v>102</v>
      </c>
      <c r="D485" s="29" t="s">
        <v>222</v>
      </c>
      <c r="E485" s="51" t="s">
        <v>187</v>
      </c>
      <c r="F485" s="105">
        <f t="shared" si="205"/>
        <v>21.38965614999999</v>
      </c>
      <c r="G485" s="105">
        <f t="shared" si="205"/>
        <v>20.795417655803519</v>
      </c>
      <c r="H485" s="105">
        <f t="shared" si="205"/>
        <v>20.366729450205955</v>
      </c>
      <c r="I485" s="105">
        <f t="shared" si="205"/>
        <v>19.420395918429545</v>
      </c>
      <c r="J485" s="105">
        <f t="shared" si="205"/>
        <v>18.594817966563316</v>
      </c>
      <c r="K485" s="105">
        <f t="shared" si="205"/>
        <v>17.849171966148749</v>
      </c>
      <c r="L485" s="105">
        <f t="shared" si="205"/>
        <v>17.163834675253518</v>
      </c>
      <c r="M485" s="105">
        <f t="shared" si="205"/>
        <v>16.536963724873967</v>
      </c>
      <c r="N485" s="105">
        <f t="shared" si="201"/>
        <v>89.565184251269102</v>
      </c>
    </row>
    <row r="486" spans="1:14" x14ac:dyDescent="0.5">
      <c r="B486" s="53" t="s">
        <v>161</v>
      </c>
      <c r="C486" s="29" t="s">
        <v>102</v>
      </c>
      <c r="D486" s="29" t="s">
        <v>222</v>
      </c>
      <c r="E486" s="51" t="s">
        <v>187</v>
      </c>
      <c r="F486" s="105">
        <f t="shared" si="205"/>
        <v>0</v>
      </c>
      <c r="G486" s="105">
        <f t="shared" si="205"/>
        <v>0</v>
      </c>
      <c r="H486" s="105">
        <f t="shared" si="205"/>
        <v>0</v>
      </c>
      <c r="I486" s="105">
        <f t="shared" si="205"/>
        <v>0</v>
      </c>
      <c r="J486" s="105">
        <f t="shared" si="205"/>
        <v>0</v>
      </c>
      <c r="K486" s="105">
        <f t="shared" si="205"/>
        <v>0</v>
      </c>
      <c r="L486" s="105">
        <f t="shared" si="205"/>
        <v>0</v>
      </c>
      <c r="M486" s="105">
        <f t="shared" si="205"/>
        <v>0</v>
      </c>
      <c r="N486" s="105">
        <f t="shared" si="201"/>
        <v>0</v>
      </c>
    </row>
    <row r="487" spans="1:14" x14ac:dyDescent="0.5">
      <c r="B487" s="53" t="s">
        <v>161</v>
      </c>
      <c r="C487" s="29" t="s">
        <v>102</v>
      </c>
      <c r="D487" s="29" t="s">
        <v>222</v>
      </c>
      <c r="E487" s="51" t="s">
        <v>187</v>
      </c>
      <c r="F487" s="105">
        <f t="shared" si="205"/>
        <v>0</v>
      </c>
      <c r="G487" s="105">
        <f t="shared" si="205"/>
        <v>0</v>
      </c>
      <c r="H487" s="105">
        <f t="shared" si="205"/>
        <v>0</v>
      </c>
      <c r="I487" s="105">
        <f t="shared" si="205"/>
        <v>0</v>
      </c>
      <c r="J487" s="105">
        <f t="shared" si="205"/>
        <v>0</v>
      </c>
      <c r="K487" s="105">
        <f t="shared" si="205"/>
        <v>0</v>
      </c>
      <c r="L487" s="105">
        <f t="shared" si="205"/>
        <v>0</v>
      </c>
      <c r="M487" s="105">
        <f t="shared" si="205"/>
        <v>0</v>
      </c>
      <c r="N487" s="105">
        <f t="shared" si="201"/>
        <v>0</v>
      </c>
    </row>
    <row r="488" spans="1:14" ht="17" thickBot="1" x14ac:dyDescent="0.55000000000000004">
      <c r="B488" s="54" t="s">
        <v>194</v>
      </c>
      <c r="C488" s="37" t="s">
        <v>102</v>
      </c>
      <c r="D488" s="37" t="s">
        <v>222</v>
      </c>
      <c r="E488" s="52" t="s">
        <v>184</v>
      </c>
      <c r="F488" s="121"/>
      <c r="G488" s="106">
        <f t="shared" ref="G488:M489" si="206">G343/G$392</f>
        <v>0</v>
      </c>
      <c r="H488" s="106">
        <f t="shared" si="206"/>
        <v>-14.54670390610347</v>
      </c>
      <c r="I488" s="106">
        <f t="shared" si="206"/>
        <v>-17.75300932111643</v>
      </c>
      <c r="J488" s="106">
        <f t="shared" si="206"/>
        <v>-18.550644424989567</v>
      </c>
      <c r="K488" s="106">
        <f t="shared" si="206"/>
        <v>-19.20572409616414</v>
      </c>
      <c r="L488" s="106">
        <f t="shared" si="206"/>
        <v>3.0383453897820303</v>
      </c>
      <c r="M488" s="106">
        <f t="shared" si="206"/>
        <v>3.0495441680553053</v>
      </c>
      <c r="N488" s="106">
        <f t="shared" si="201"/>
        <v>-49.421488284432797</v>
      </c>
    </row>
    <row r="489" spans="1:14" x14ac:dyDescent="0.5">
      <c r="B489" s="53" t="s">
        <v>195</v>
      </c>
      <c r="C489" s="29" t="s">
        <v>102</v>
      </c>
      <c r="D489" s="29" t="s">
        <v>222</v>
      </c>
      <c r="E489" s="51"/>
      <c r="F489" s="105">
        <f>F344/F$392</f>
        <v>1085.0720475308005</v>
      </c>
      <c r="G489" s="105">
        <f t="shared" si="206"/>
        <v>1086.8355141460797</v>
      </c>
      <c r="H489" s="105">
        <f t="shared" si="206"/>
        <v>1076.4609686719916</v>
      </c>
      <c r="I489" s="105">
        <f t="shared" si="206"/>
        <v>1071.9466382354124</v>
      </c>
      <c r="J489" s="105">
        <f t="shared" si="206"/>
        <v>1080.2729130286059</v>
      </c>
      <c r="K489" s="105">
        <f t="shared" si="206"/>
        <v>1089.7402667826314</v>
      </c>
      <c r="L489" s="105">
        <f t="shared" si="206"/>
        <v>1121.2334733182588</v>
      </c>
      <c r="M489" s="105">
        <f t="shared" si="206"/>
        <v>1129.41583114185</v>
      </c>
      <c r="N489" s="105">
        <f t="shared" si="201"/>
        <v>5492.6091225067594</v>
      </c>
    </row>
    <row r="491" spans="1:14" ht="19" thickBot="1" x14ac:dyDescent="0.55000000000000004">
      <c r="A491" s="14" t="s">
        <v>38</v>
      </c>
    </row>
    <row r="492" spans="1:14" ht="17" thickTop="1" x14ac:dyDescent="0.5"/>
    <row r="493" spans="1:14" ht="17" thickBot="1" x14ac:dyDescent="0.55000000000000004">
      <c r="B493" s="27" t="s">
        <v>196</v>
      </c>
      <c r="C493" s="27" t="s">
        <v>96</v>
      </c>
      <c r="D493" s="27" t="s">
        <v>97</v>
      </c>
      <c r="E493" s="50"/>
      <c r="F493" s="11">
        <v>2024</v>
      </c>
      <c r="G493" s="11">
        <v>2025</v>
      </c>
      <c r="H493" s="11">
        <f t="shared" ref="H493:M493" si="207">G493+1</f>
        <v>2026</v>
      </c>
      <c r="I493" s="11">
        <f t="shared" si="207"/>
        <v>2027</v>
      </c>
      <c r="J493" s="11">
        <f t="shared" si="207"/>
        <v>2028</v>
      </c>
      <c r="K493" s="11">
        <f t="shared" si="207"/>
        <v>2029</v>
      </c>
      <c r="L493" s="11">
        <f t="shared" si="207"/>
        <v>2030</v>
      </c>
      <c r="M493" s="11">
        <f t="shared" si="207"/>
        <v>2031</v>
      </c>
      <c r="N493" s="27" t="s">
        <v>190</v>
      </c>
    </row>
    <row r="494" spans="1:14" x14ac:dyDescent="0.5">
      <c r="B494" s="8" t="s">
        <v>197</v>
      </c>
      <c r="C494" s="29" t="s">
        <v>102</v>
      </c>
      <c r="D494" s="29" t="s">
        <v>222</v>
      </c>
      <c r="E494" s="118"/>
      <c r="F494" s="105">
        <f t="shared" ref="F494:M506" si="208">F349/F$392</f>
        <v>19.432707488019066</v>
      </c>
      <c r="G494" s="105">
        <f t="shared" si="208"/>
        <v>13.46778862500552</v>
      </c>
      <c r="H494" s="105">
        <f t="shared" si="208"/>
        <v>13.40854697188672</v>
      </c>
      <c r="I494" s="105">
        <f t="shared" si="208"/>
        <v>13.370965465640033</v>
      </c>
      <c r="J494" s="105">
        <f t="shared" si="208"/>
        <v>13.285962346443178</v>
      </c>
      <c r="K494" s="105">
        <f t="shared" si="208"/>
        <v>13.201655205435658</v>
      </c>
      <c r="L494" s="105">
        <f t="shared" si="208"/>
        <v>13.069027928135087</v>
      </c>
      <c r="M494" s="105">
        <f t="shared" si="208"/>
        <v>12.979962707566669</v>
      </c>
      <c r="N494" s="105">
        <f t="shared" ref="N494:N508" si="209">SUM(I494:M494)</f>
        <v>65.907573653220624</v>
      </c>
    </row>
    <row r="495" spans="1:14" x14ac:dyDescent="0.5">
      <c r="B495" s="8" t="s">
        <v>198</v>
      </c>
      <c r="C495" s="29" t="s">
        <v>102</v>
      </c>
      <c r="D495" s="29" t="s">
        <v>222</v>
      </c>
      <c r="E495" s="118"/>
      <c r="F495" s="105">
        <f t="shared" si="208"/>
        <v>2.9244294529702164</v>
      </c>
      <c r="G495" s="105">
        <f t="shared" si="208"/>
        <v>2.5285516198717857</v>
      </c>
      <c r="H495" s="105">
        <f t="shared" si="208"/>
        <v>2.5174291125227102</v>
      </c>
      <c r="I495" s="105">
        <f t="shared" si="208"/>
        <v>2.5103732564246384</v>
      </c>
      <c r="J495" s="105">
        <f t="shared" si="208"/>
        <v>2.4944140829683299</v>
      </c>
      <c r="K495" s="105">
        <f t="shared" si="208"/>
        <v>2.4785855780892496</v>
      </c>
      <c r="L495" s="105">
        <f t="shared" si="208"/>
        <v>2.4536850598085502</v>
      </c>
      <c r="M495" s="105">
        <f t="shared" si="208"/>
        <v>2.4369632345695962</v>
      </c>
      <c r="N495" s="105">
        <f t="shared" si="209"/>
        <v>12.374021211860363</v>
      </c>
    </row>
    <row r="496" spans="1:14" x14ac:dyDescent="0.5">
      <c r="B496" s="8" t="s">
        <v>199</v>
      </c>
      <c r="C496" s="29" t="s">
        <v>102</v>
      </c>
      <c r="D496" s="29" t="s">
        <v>222</v>
      </c>
      <c r="E496" s="118"/>
      <c r="F496" s="105">
        <f t="shared" si="208"/>
        <v>1.47049400145982</v>
      </c>
      <c r="G496" s="105">
        <f t="shared" si="208"/>
        <v>1.2452387539456491</v>
      </c>
      <c r="H496" s="105">
        <f t="shared" si="208"/>
        <v>1.239761239829162</v>
      </c>
      <c r="I496" s="105">
        <f t="shared" si="208"/>
        <v>1.2362864341789503</v>
      </c>
      <c r="J496" s="105">
        <f t="shared" si="208"/>
        <v>1.2284270014853262</v>
      </c>
      <c r="K496" s="105">
        <f t="shared" si="208"/>
        <v>1.2206319192977424</v>
      </c>
      <c r="L496" s="105">
        <f t="shared" si="208"/>
        <v>1.2083691321302685</v>
      </c>
      <c r="M496" s="105">
        <f t="shared" si="208"/>
        <v>1.2001341154271858</v>
      </c>
      <c r="N496" s="105">
        <f t="shared" si="209"/>
        <v>6.0938486025194738</v>
      </c>
    </row>
    <row r="497" spans="1:14" x14ac:dyDescent="0.5">
      <c r="B497" s="8" t="s">
        <v>118</v>
      </c>
      <c r="C497" s="29" t="s">
        <v>102</v>
      </c>
      <c r="D497" s="29" t="s">
        <v>222</v>
      </c>
      <c r="E497" s="118"/>
      <c r="F497" s="105">
        <f t="shared" si="208"/>
        <v>39.620419593077692</v>
      </c>
      <c r="G497" s="105">
        <f t="shared" si="208"/>
        <v>24.190992687505744</v>
      </c>
      <c r="H497" s="105">
        <f t="shared" si="208"/>
        <v>24.084582167018976</v>
      </c>
      <c r="I497" s="105">
        <f t="shared" si="208"/>
        <v>24.017077844808934</v>
      </c>
      <c r="J497" s="105">
        <f t="shared" si="208"/>
        <v>23.864394290577295</v>
      </c>
      <c r="K497" s="105">
        <f t="shared" si="208"/>
        <v>23.712960860160162</v>
      </c>
      <c r="L497" s="105">
        <f t="shared" si="208"/>
        <v>23.474734260034815</v>
      </c>
      <c r="M497" s="105">
        <f t="shared" si="208"/>
        <v>23.314754313848152</v>
      </c>
      <c r="N497" s="105">
        <f t="shared" si="209"/>
        <v>118.38392156942938</v>
      </c>
    </row>
    <row r="498" spans="1:14" x14ac:dyDescent="0.5">
      <c r="B498" s="8" t="s">
        <v>200</v>
      </c>
      <c r="C498" s="29" t="s">
        <v>102</v>
      </c>
      <c r="D498" s="29" t="s">
        <v>222</v>
      </c>
      <c r="E498" s="118"/>
      <c r="F498" s="105">
        <f t="shared" si="208"/>
        <v>4.9154627389823693</v>
      </c>
      <c r="G498" s="105">
        <f t="shared" si="208"/>
        <v>1.1535161848594992</v>
      </c>
      <c r="H498" s="105">
        <f t="shared" si="208"/>
        <v>1.1484421368778217</v>
      </c>
      <c r="I498" s="105">
        <f t="shared" si="208"/>
        <v>1.1452232806190843</v>
      </c>
      <c r="J498" s="105">
        <f t="shared" si="208"/>
        <v>1.1379427628973358</v>
      </c>
      <c r="K498" s="105">
        <f t="shared" si="208"/>
        <v>1.1307218557121099</v>
      </c>
      <c r="L498" s="105">
        <f t="shared" si="208"/>
        <v>1.119362328533609</v>
      </c>
      <c r="M498" s="105">
        <f t="shared" si="208"/>
        <v>1.1117338918025039</v>
      </c>
      <c r="N498" s="105">
        <f t="shared" si="209"/>
        <v>5.6449841195646426</v>
      </c>
    </row>
    <row r="499" spans="1:14" x14ac:dyDescent="0.5">
      <c r="B499" s="8" t="s">
        <v>201</v>
      </c>
      <c r="C499" s="29" t="s">
        <v>102</v>
      </c>
      <c r="D499" s="29" t="s">
        <v>222</v>
      </c>
      <c r="E499" s="118"/>
      <c r="F499" s="105">
        <f t="shared" si="208"/>
        <v>3.0799448867157535</v>
      </c>
      <c r="G499" s="105">
        <f t="shared" si="208"/>
        <v>2.7524016839737984</v>
      </c>
      <c r="H499" s="105">
        <f t="shared" si="208"/>
        <v>2.7402945125334308</v>
      </c>
      <c r="I499" s="105">
        <f t="shared" si="208"/>
        <v>2.7326140087803794</v>
      </c>
      <c r="J499" s="105">
        <f t="shared" si="208"/>
        <v>2.715241986176308</v>
      </c>
      <c r="K499" s="105">
        <f t="shared" si="208"/>
        <v>2.6980122001036881</v>
      </c>
      <c r="L499" s="105">
        <f t="shared" si="208"/>
        <v>2.6709072646501291</v>
      </c>
      <c r="M499" s="105">
        <f t="shared" si="208"/>
        <v>2.6527050734885558</v>
      </c>
      <c r="N499" s="105">
        <f t="shared" si="209"/>
        <v>13.469480533199061</v>
      </c>
    </row>
    <row r="500" spans="1:14" x14ac:dyDescent="0.5">
      <c r="B500" s="8" t="s">
        <v>202</v>
      </c>
      <c r="C500" s="29" t="s">
        <v>102</v>
      </c>
      <c r="D500" s="29" t="s">
        <v>222</v>
      </c>
      <c r="E500" s="118"/>
      <c r="F500" s="105">
        <f t="shared" si="208"/>
        <v>2.1593937642123624</v>
      </c>
      <c r="G500" s="105">
        <f t="shared" si="208"/>
        <v>1.0680224957173863</v>
      </c>
      <c r="H500" s="105">
        <f t="shared" si="208"/>
        <v>1.0633245144840835</v>
      </c>
      <c r="I500" s="105">
        <f t="shared" si="208"/>
        <v>1.0603442260928713</v>
      </c>
      <c r="J500" s="105">
        <f t="shared" si="208"/>
        <v>1.0536033092255077</v>
      </c>
      <c r="K500" s="105">
        <f t="shared" si="208"/>
        <v>1.0469175848164931</v>
      </c>
      <c r="L500" s="105">
        <f t="shared" si="208"/>
        <v>1.0363999772383818</v>
      </c>
      <c r="M500" s="105">
        <f t="shared" si="208"/>
        <v>1.0293369276315232</v>
      </c>
      <c r="N500" s="105">
        <f t="shared" si="209"/>
        <v>5.2266020250047776</v>
      </c>
    </row>
    <row r="501" spans="1:14" x14ac:dyDescent="0.5">
      <c r="B501" s="8" t="s">
        <v>203</v>
      </c>
      <c r="C501" s="29" t="s">
        <v>102</v>
      </c>
      <c r="D501" s="29" t="s">
        <v>222</v>
      </c>
      <c r="E501" s="118"/>
      <c r="F501" s="105">
        <f t="shared" si="208"/>
        <v>123.395</v>
      </c>
      <c r="G501" s="105">
        <f t="shared" si="208"/>
        <v>119.21116384483912</v>
      </c>
      <c r="H501" s="105">
        <f t="shared" si="208"/>
        <v>118.68678180907774</v>
      </c>
      <c r="I501" s="105">
        <f t="shared" si="208"/>
        <v>118.35412622444883</v>
      </c>
      <c r="J501" s="105">
        <f t="shared" si="208"/>
        <v>117.6017145960777</v>
      </c>
      <c r="K501" s="105">
        <f t="shared" si="208"/>
        <v>116.8554634720233</v>
      </c>
      <c r="L501" s="105">
        <f t="shared" si="208"/>
        <v>115.68150295595031</v>
      </c>
      <c r="M501" s="105">
        <f t="shared" si="208"/>
        <v>114.8931353257705</v>
      </c>
      <c r="N501" s="105">
        <f t="shared" si="209"/>
        <v>583.38594257427064</v>
      </c>
    </row>
    <row r="502" spans="1:14" x14ac:dyDescent="0.5">
      <c r="B502" s="8" t="s">
        <v>204</v>
      </c>
      <c r="C502" s="29" t="s">
        <v>102</v>
      </c>
      <c r="D502" s="29" t="s">
        <v>222</v>
      </c>
      <c r="E502" s="118"/>
      <c r="F502" s="105">
        <f t="shared" si="208"/>
        <v>11.02</v>
      </c>
      <c r="G502" s="105">
        <f t="shared" si="208"/>
        <v>10.646355407999733</v>
      </c>
      <c r="H502" s="105">
        <f t="shared" si="208"/>
        <v>10.599524579894135</v>
      </c>
      <c r="I502" s="105">
        <f t="shared" si="208"/>
        <v>10.569816208058887</v>
      </c>
      <c r="J502" s="105">
        <f t="shared" si="208"/>
        <v>10.502620809990489</v>
      </c>
      <c r="K502" s="105">
        <f t="shared" si="208"/>
        <v>10.43597558622065</v>
      </c>
      <c r="L502" s="105">
        <f t="shared" si="208"/>
        <v>10.331133048945036</v>
      </c>
      <c r="M502" s="105">
        <f t="shared" si="208"/>
        <v>10.260726539081737</v>
      </c>
      <c r="N502" s="105">
        <f t="shared" si="209"/>
        <v>52.100272192296799</v>
      </c>
    </row>
    <row r="503" spans="1:14" x14ac:dyDescent="0.5">
      <c r="B503" s="8" t="s">
        <v>205</v>
      </c>
      <c r="C503" s="29" t="s">
        <v>102</v>
      </c>
      <c r="D503" s="29" t="s">
        <v>222</v>
      </c>
      <c r="E503" s="118"/>
      <c r="F503" s="105">
        <f t="shared" si="208"/>
        <v>65.749736999999996</v>
      </c>
      <c r="G503" s="105">
        <f t="shared" si="208"/>
        <v>63.520423601135221</v>
      </c>
      <c r="H503" s="105">
        <f t="shared" si="208"/>
        <v>63.241012110079382</v>
      </c>
      <c r="I503" s="105">
        <f t="shared" si="208"/>
        <v>63.063760056098815</v>
      </c>
      <c r="J503" s="105">
        <f t="shared" si="208"/>
        <v>62.662845378185253</v>
      </c>
      <c r="K503" s="105">
        <f t="shared" si="208"/>
        <v>62.265213260655933</v>
      </c>
      <c r="L503" s="105">
        <f t="shared" si="208"/>
        <v>61.639680660630141</v>
      </c>
      <c r="M503" s="105">
        <f t="shared" si="208"/>
        <v>61.219607202680976</v>
      </c>
      <c r="N503" s="105">
        <f t="shared" si="209"/>
        <v>310.8511065582511</v>
      </c>
    </row>
    <row r="504" spans="1:14" x14ac:dyDescent="0.5">
      <c r="B504" s="8" t="s">
        <v>206</v>
      </c>
      <c r="C504" s="29" t="s">
        <v>102</v>
      </c>
      <c r="D504" s="29" t="s">
        <v>222</v>
      </c>
      <c r="E504" s="118"/>
      <c r="F504" s="105">
        <f t="shared" si="208"/>
        <v>0.61050000000000004</v>
      </c>
      <c r="G504" s="105">
        <f t="shared" si="208"/>
        <v>0.58980036085152787</v>
      </c>
      <c r="H504" s="105">
        <f t="shared" si="208"/>
        <v>0.58720596697144911</v>
      </c>
      <c r="I504" s="105">
        <f t="shared" si="208"/>
        <v>0.58556014473865248</v>
      </c>
      <c r="J504" s="105">
        <f t="shared" si="208"/>
        <v>0.58183756846635137</v>
      </c>
      <c r="K504" s="105">
        <f t="shared" si="208"/>
        <v>0.57814547145079009</v>
      </c>
      <c r="L504" s="105">
        <f t="shared" si="208"/>
        <v>0.57233727099645582</v>
      </c>
      <c r="M504" s="105">
        <f t="shared" si="208"/>
        <v>0.56843680146183306</v>
      </c>
      <c r="N504" s="105">
        <f t="shared" si="209"/>
        <v>2.8863172571140829</v>
      </c>
    </row>
    <row r="505" spans="1:14" x14ac:dyDescent="0.5">
      <c r="B505" s="8" t="s">
        <v>207</v>
      </c>
      <c r="C505" s="29" t="s">
        <v>102</v>
      </c>
      <c r="D505" s="29" t="s">
        <v>222</v>
      </c>
      <c r="E505" s="118"/>
      <c r="F505" s="105">
        <f t="shared" si="208"/>
        <v>9.5380000000000003</v>
      </c>
      <c r="G505" s="105">
        <f t="shared" si="208"/>
        <v>9.2146041634756326</v>
      </c>
      <c r="H505" s="105">
        <f t="shared" si="208"/>
        <v>9.1740712743221664</v>
      </c>
      <c r="I505" s="105">
        <f t="shared" si="208"/>
        <v>9.1483581662854494</v>
      </c>
      <c r="J505" s="105">
        <f t="shared" si="208"/>
        <v>9.090199390715906</v>
      </c>
      <c r="K505" s="105">
        <f t="shared" si="208"/>
        <v>9.032516800487528</v>
      </c>
      <c r="L505" s="105">
        <f t="shared" si="208"/>
        <v>8.9417737768455314</v>
      </c>
      <c r="M505" s="105">
        <f t="shared" si="208"/>
        <v>8.8808357286535031</v>
      </c>
      <c r="N505" s="105">
        <f t="shared" si="209"/>
        <v>45.093683862987916</v>
      </c>
    </row>
    <row r="506" spans="1:14" x14ac:dyDescent="0.5">
      <c r="B506" s="8" t="s">
        <v>208</v>
      </c>
      <c r="C506" s="29" t="s">
        <v>102</v>
      </c>
      <c r="D506" s="29" t="s">
        <v>222</v>
      </c>
      <c r="E506" s="118"/>
      <c r="F506" s="105">
        <f t="shared" si="208"/>
        <v>0.97799999999999998</v>
      </c>
      <c r="G506" s="105">
        <f t="shared" si="208"/>
        <v>0.94483989011104708</v>
      </c>
      <c r="H506" s="105">
        <f t="shared" si="208"/>
        <v>0.94068376035721069</v>
      </c>
      <c r="I506" s="105">
        <f t="shared" si="208"/>
        <v>0.93804720975332023</v>
      </c>
      <c r="J506" s="105">
        <f t="shared" si="208"/>
        <v>0.93208377061440084</v>
      </c>
      <c r="K506" s="105">
        <f t="shared" si="208"/>
        <v>0.92616915819635137</v>
      </c>
      <c r="L506" s="105">
        <f t="shared" si="208"/>
        <v>0.91686462085918718</v>
      </c>
      <c r="M506" s="105">
        <f t="shared" si="208"/>
        <v>0.91061620283320666</v>
      </c>
      <c r="N506" s="105">
        <f t="shared" si="209"/>
        <v>4.6237809622564665</v>
      </c>
    </row>
    <row r="507" spans="1:14" ht="17" thickBot="1" x14ac:dyDescent="0.55000000000000004">
      <c r="B507" s="48" t="s">
        <v>209</v>
      </c>
      <c r="C507" s="37" t="s">
        <v>102</v>
      </c>
      <c r="D507" s="37" t="s">
        <v>222</v>
      </c>
      <c r="E507" s="37"/>
      <c r="F507" s="156"/>
      <c r="G507" s="106">
        <f t="shared" ref="G507:M508" si="210">G362/G$392</f>
        <v>0</v>
      </c>
      <c r="H507" s="106">
        <f t="shared" si="210"/>
        <v>0</v>
      </c>
      <c r="I507" s="106">
        <f t="shared" si="210"/>
        <v>13.147808353551993</v>
      </c>
      <c r="J507" s="106">
        <f t="shared" si="210"/>
        <v>13.710157336331116</v>
      </c>
      <c r="K507" s="106">
        <f t="shared" si="210"/>
        <v>13.700658807439494</v>
      </c>
      <c r="L507" s="106">
        <f t="shared" si="210"/>
        <v>14.274955298716558</v>
      </c>
      <c r="M507" s="106">
        <f t="shared" si="210"/>
        <v>14.257679553559376</v>
      </c>
      <c r="N507" s="106">
        <f t="shared" si="209"/>
        <v>69.091259349598531</v>
      </c>
    </row>
    <row r="508" spans="1:14" x14ac:dyDescent="0.5">
      <c r="B508" s="8" t="s">
        <v>210</v>
      </c>
      <c r="C508" s="29" t="s">
        <v>102</v>
      </c>
      <c r="D508" s="29" t="s">
        <v>222</v>
      </c>
      <c r="E508" s="118"/>
      <c r="F508" s="105">
        <f>F363/F$392</f>
        <v>284.8940889254373</v>
      </c>
      <c r="G508" s="105">
        <f t="shared" si="210"/>
        <v>250.53369931929163</v>
      </c>
      <c r="H508" s="105">
        <f t="shared" si="210"/>
        <v>249.43166015585498</v>
      </c>
      <c r="I508" s="105">
        <f t="shared" si="210"/>
        <v>261.8803608794808</v>
      </c>
      <c r="J508" s="105">
        <f t="shared" si="210"/>
        <v>260.86144463015455</v>
      </c>
      <c r="K508" s="105">
        <f t="shared" si="210"/>
        <v>259.28362776008913</v>
      </c>
      <c r="L508" s="105">
        <f t="shared" si="210"/>
        <v>257.39073358347412</v>
      </c>
      <c r="M508" s="105">
        <f t="shared" si="210"/>
        <v>255.71662761837527</v>
      </c>
      <c r="N508" s="105">
        <f t="shared" si="209"/>
        <v>1295.132794471574</v>
      </c>
    </row>
    <row r="509" spans="1:14" x14ac:dyDescent="0.5">
      <c r="B509" s="101"/>
      <c r="C509" s="101"/>
      <c r="D509" s="101"/>
      <c r="E509" s="117"/>
      <c r="F509" s="42"/>
      <c r="G509" s="42"/>
      <c r="H509" s="42"/>
      <c r="I509" s="42"/>
      <c r="J509" s="42"/>
      <c r="K509" s="42"/>
      <c r="L509" s="42"/>
      <c r="M509" s="42"/>
    </row>
    <row r="510" spans="1:14" ht="23" thickBot="1" x14ac:dyDescent="0.7">
      <c r="A510" s="13" t="s">
        <v>211</v>
      </c>
    </row>
    <row r="511" spans="1:14" ht="17" thickTop="1" x14ac:dyDescent="0.5"/>
    <row r="512" spans="1:14" ht="17" thickBot="1" x14ac:dyDescent="0.55000000000000004">
      <c r="B512" s="27" t="s">
        <v>98</v>
      </c>
      <c r="C512" s="27" t="s">
        <v>96</v>
      </c>
      <c r="D512" s="27" t="s">
        <v>97</v>
      </c>
      <c r="E512" s="50"/>
      <c r="F512" s="11">
        <v>2024</v>
      </c>
      <c r="G512" s="11">
        <v>2025</v>
      </c>
      <c r="H512" s="11">
        <f t="shared" ref="H512:M512" si="211">G512+1</f>
        <v>2026</v>
      </c>
      <c r="I512" s="11">
        <f t="shared" si="211"/>
        <v>2027</v>
      </c>
      <c r="J512" s="11">
        <f t="shared" si="211"/>
        <v>2028</v>
      </c>
      <c r="K512" s="11">
        <f t="shared" si="211"/>
        <v>2029</v>
      </c>
      <c r="L512" s="11">
        <f t="shared" si="211"/>
        <v>2030</v>
      </c>
      <c r="M512" s="11">
        <f t="shared" si="211"/>
        <v>2031</v>
      </c>
      <c r="N512" s="27" t="s">
        <v>190</v>
      </c>
    </row>
    <row r="513" spans="2:14" x14ac:dyDescent="0.5">
      <c r="B513" s="8" t="s">
        <v>104</v>
      </c>
      <c r="C513" s="29" t="s">
        <v>102</v>
      </c>
      <c r="D513" s="29" t="s">
        <v>222</v>
      </c>
      <c r="E513" s="62"/>
      <c r="F513" s="105">
        <f t="shared" ref="F513:M519" si="212">F368/F$392</f>
        <v>445.51</v>
      </c>
      <c r="G513" s="105">
        <f t="shared" si="212"/>
        <v>447.18112271060357</v>
      </c>
      <c r="H513" s="105">
        <f t="shared" si="212"/>
        <v>447.25258461849512</v>
      </c>
      <c r="I513" s="105">
        <f t="shared" si="212"/>
        <v>443.75840298754832</v>
      </c>
      <c r="J513" s="105">
        <f t="shared" si="212"/>
        <v>440.70668004208858</v>
      </c>
      <c r="K513" s="105">
        <f t="shared" si="212"/>
        <v>438.15109077645536</v>
      </c>
      <c r="L513" s="105">
        <f t="shared" si="212"/>
        <v>435.98325161703684</v>
      </c>
      <c r="M513" s="105">
        <f t="shared" si="212"/>
        <v>433.61621100824124</v>
      </c>
      <c r="N513" s="105">
        <f t="shared" ref="N513:N519" si="213">SUM(I513:M513)</f>
        <v>2192.2156364313705</v>
      </c>
    </row>
    <row r="514" spans="2:14" x14ac:dyDescent="0.5">
      <c r="B514" s="8" t="s">
        <v>112</v>
      </c>
      <c r="C514" s="29" t="s">
        <v>102</v>
      </c>
      <c r="D514" s="29" t="s">
        <v>222</v>
      </c>
      <c r="E514" s="62"/>
      <c r="F514" s="105">
        <f t="shared" si="212"/>
        <v>235.42</v>
      </c>
      <c r="G514" s="105">
        <f t="shared" si="212"/>
        <v>232.48598028198055</v>
      </c>
      <c r="H514" s="105">
        <f t="shared" si="212"/>
        <v>229.97336476932816</v>
      </c>
      <c r="I514" s="105">
        <f t="shared" si="212"/>
        <v>227.44326304409699</v>
      </c>
      <c r="J514" s="105">
        <f t="shared" si="212"/>
        <v>225.07929383168923</v>
      </c>
      <c r="K514" s="105">
        <f t="shared" si="212"/>
        <v>222.71974915248219</v>
      </c>
      <c r="L514" s="105">
        <f t="shared" si="212"/>
        <v>220.31199364016143</v>
      </c>
      <c r="M514" s="105">
        <f t="shared" si="212"/>
        <v>217.9302770056249</v>
      </c>
      <c r="N514" s="105">
        <f t="shared" si="213"/>
        <v>1113.4845766740548</v>
      </c>
    </row>
    <row r="515" spans="2:14" x14ac:dyDescent="0.5">
      <c r="B515" s="8" t="s">
        <v>117</v>
      </c>
      <c r="C515" s="29" t="s">
        <v>102</v>
      </c>
      <c r="D515" s="29" t="s">
        <v>222</v>
      </c>
      <c r="E515" s="62"/>
      <c r="F515" s="105">
        <f t="shared" si="212"/>
        <v>116.37</v>
      </c>
      <c r="G515" s="116"/>
      <c r="H515" s="116"/>
      <c r="I515" s="105">
        <f t="shared" si="212"/>
        <v>158.23426340395699</v>
      </c>
      <c r="J515" s="105">
        <f t="shared" si="212"/>
        <v>200.21547580249398</v>
      </c>
      <c r="K515" s="105">
        <f t="shared" si="212"/>
        <v>200.07693973314053</v>
      </c>
      <c r="L515" s="105">
        <f t="shared" si="212"/>
        <v>199.83497882451326</v>
      </c>
      <c r="M515" s="105">
        <f t="shared" si="212"/>
        <v>199.59331052871048</v>
      </c>
      <c r="N515" s="105">
        <f t="shared" si="213"/>
        <v>957.95496829281535</v>
      </c>
    </row>
    <row r="516" spans="2:14" x14ac:dyDescent="0.5">
      <c r="B516" s="8" t="s">
        <v>119</v>
      </c>
      <c r="C516" s="29" t="s">
        <v>102</v>
      </c>
      <c r="D516" s="29" t="s">
        <v>222</v>
      </c>
      <c r="E516" s="62"/>
      <c r="F516" s="105">
        <f t="shared" si="212"/>
        <v>109.40999999999998</v>
      </c>
      <c r="G516" s="105">
        <f t="shared" si="212"/>
        <v>109.12046603777851</v>
      </c>
      <c r="H516" s="105">
        <f t="shared" si="212"/>
        <v>109.33621326409555</v>
      </c>
      <c r="I516" s="105">
        <f t="shared" si="212"/>
        <v>109.32482148228848</v>
      </c>
      <c r="J516" s="105">
        <f t="shared" si="212"/>
        <v>109.60385946037599</v>
      </c>
      <c r="K516" s="105">
        <f t="shared" si="212"/>
        <v>109.8888126001177</v>
      </c>
      <c r="L516" s="105">
        <f t="shared" si="212"/>
        <v>110.10445868245594</v>
      </c>
      <c r="M516" s="105">
        <f t="shared" si="212"/>
        <v>110.26714415242432</v>
      </c>
      <c r="N516" s="105">
        <f t="shared" si="213"/>
        <v>549.18909637766239</v>
      </c>
    </row>
    <row r="517" spans="2:14" x14ac:dyDescent="0.5">
      <c r="B517" s="8" t="s">
        <v>124</v>
      </c>
      <c r="C517" s="29" t="s">
        <v>102</v>
      </c>
      <c r="D517" s="29" t="s">
        <v>222</v>
      </c>
      <c r="E517" s="62"/>
      <c r="F517" s="105">
        <f t="shared" si="212"/>
        <v>33.119999999999997</v>
      </c>
      <c r="G517" s="105">
        <f t="shared" si="212"/>
        <v>33.247870352915427</v>
      </c>
      <c r="H517" s="105">
        <f t="shared" si="212"/>
        <v>33.585198145274042</v>
      </c>
      <c r="I517" s="105">
        <f t="shared" si="212"/>
        <v>33.90746679086277</v>
      </c>
      <c r="J517" s="105">
        <f t="shared" si="212"/>
        <v>34.16877752261842</v>
      </c>
      <c r="K517" s="105">
        <f t="shared" si="212"/>
        <v>34.435176498240786</v>
      </c>
      <c r="L517" s="105">
        <f t="shared" si="212"/>
        <v>34.497287344942819</v>
      </c>
      <c r="M517" s="105">
        <f t="shared" si="212"/>
        <v>34.559510221193428</v>
      </c>
      <c r="N517" s="105">
        <f t="shared" si="213"/>
        <v>171.56821837785822</v>
      </c>
    </row>
    <row r="518" spans="2:14" x14ac:dyDescent="0.5">
      <c r="B518" s="8" t="s">
        <v>125</v>
      </c>
      <c r="C518" s="29" t="s">
        <v>102</v>
      </c>
      <c r="D518" s="29" t="s">
        <v>222</v>
      </c>
      <c r="E518" s="62"/>
      <c r="F518" s="105">
        <f t="shared" si="212"/>
        <v>25.64</v>
      </c>
      <c r="G518" s="105">
        <f t="shared" si="212"/>
        <v>25.268142112626869</v>
      </c>
      <c r="H518" s="105">
        <f t="shared" si="212"/>
        <v>24.969260031077372</v>
      </c>
      <c r="I518" s="105">
        <f t="shared" si="212"/>
        <v>24.687416495148955</v>
      </c>
      <c r="J518" s="105">
        <f t="shared" si="212"/>
        <v>24.428989953328973</v>
      </c>
      <c r="K518" s="105">
        <f t="shared" si="212"/>
        <v>24.167944660946365</v>
      </c>
      <c r="L518" s="105">
        <f t="shared" si="212"/>
        <v>23.897309322584071</v>
      </c>
      <c r="M518" s="105">
        <f t="shared" si="212"/>
        <v>23.629704588909021</v>
      </c>
      <c r="N518" s="105">
        <f t="shared" si="213"/>
        <v>120.81136502091738</v>
      </c>
    </row>
    <row r="519" spans="2:14" x14ac:dyDescent="0.5">
      <c r="B519" s="8" t="s">
        <v>127</v>
      </c>
      <c r="C519" s="29" t="s">
        <v>102</v>
      </c>
      <c r="D519" s="29" t="s">
        <v>222</v>
      </c>
      <c r="E519" s="62"/>
      <c r="F519" s="105">
        <f t="shared" si="212"/>
        <v>554.22835543340591</v>
      </c>
      <c r="G519" s="105">
        <f t="shared" si="212"/>
        <v>548.6803539281243</v>
      </c>
      <c r="H519" s="105">
        <f t="shared" si="212"/>
        <v>544.72670767323439</v>
      </c>
      <c r="I519" s="105">
        <f t="shared" si="212"/>
        <v>546.8265016285402</v>
      </c>
      <c r="J519" s="105">
        <f t="shared" si="212"/>
        <v>543.14939760158995</v>
      </c>
      <c r="K519" s="105">
        <f t="shared" si="212"/>
        <v>539.03549130811246</v>
      </c>
      <c r="L519" s="105">
        <f t="shared" si="212"/>
        <v>529.85667790690206</v>
      </c>
      <c r="M519" s="105">
        <f t="shared" si="212"/>
        <v>525.41620634340416</v>
      </c>
      <c r="N519" s="105">
        <f t="shared" si="213"/>
        <v>2684.2842747885488</v>
      </c>
    </row>
    <row r="520" spans="2:14" x14ac:dyDescent="0.5">
      <c r="F520" s="157"/>
      <c r="G520" s="157"/>
      <c r="H520" s="157"/>
      <c r="I520" s="157"/>
      <c r="J520" s="157"/>
      <c r="K520" s="49"/>
      <c r="L520" s="49"/>
      <c r="M520" s="49"/>
    </row>
    <row r="521" spans="2:14" ht="17" thickBot="1" x14ac:dyDescent="0.55000000000000004">
      <c r="B521" s="27" t="s">
        <v>144</v>
      </c>
      <c r="C521" s="27" t="s">
        <v>96</v>
      </c>
      <c r="D521" s="27" t="s">
        <v>97</v>
      </c>
      <c r="E521" s="50"/>
      <c r="F521" s="11">
        <v>2024</v>
      </c>
      <c r="G521" s="11">
        <v>2025</v>
      </c>
      <c r="H521" s="11">
        <f t="shared" ref="H521:M521" si="214">G521+1</f>
        <v>2026</v>
      </c>
      <c r="I521" s="11">
        <f t="shared" si="214"/>
        <v>2027</v>
      </c>
      <c r="J521" s="11">
        <f t="shared" si="214"/>
        <v>2028</v>
      </c>
      <c r="K521" s="11">
        <f t="shared" si="214"/>
        <v>2029</v>
      </c>
      <c r="L521" s="11">
        <f t="shared" si="214"/>
        <v>2030</v>
      </c>
      <c r="M521" s="11">
        <f t="shared" si="214"/>
        <v>2031</v>
      </c>
      <c r="N521" s="27" t="s">
        <v>190</v>
      </c>
    </row>
    <row r="522" spans="2:14" x14ac:dyDescent="0.5">
      <c r="B522" s="8" t="s">
        <v>147</v>
      </c>
      <c r="C522" s="29" t="s">
        <v>102</v>
      </c>
      <c r="D522" s="29" t="s">
        <v>222</v>
      </c>
      <c r="E522" s="62"/>
      <c r="F522" s="105">
        <f t="shared" ref="F522:M530" si="215">F377/F$392</f>
        <v>462.97458515603336</v>
      </c>
      <c r="G522" s="105">
        <f t="shared" si="215"/>
        <v>461.50253047966493</v>
      </c>
      <c r="H522" s="105">
        <f t="shared" si="215"/>
        <v>464.43867843233295</v>
      </c>
      <c r="I522" s="105">
        <f t="shared" si="215"/>
        <v>463.79702988186921</v>
      </c>
      <c r="J522" s="105">
        <f t="shared" si="215"/>
        <v>466.53731086192704</v>
      </c>
      <c r="K522" s="105">
        <f t="shared" si="215"/>
        <v>469.77321625773646</v>
      </c>
      <c r="L522" s="105">
        <f t="shared" si="215"/>
        <v>472.75433808538736</v>
      </c>
      <c r="M522" s="105">
        <f t="shared" si="215"/>
        <v>475.13128043944255</v>
      </c>
      <c r="N522" s="105">
        <f t="shared" ref="N522:N530" si="216">SUM(I522:M522)</f>
        <v>2347.9931755263628</v>
      </c>
    </row>
    <row r="523" spans="2:14" x14ac:dyDescent="0.5">
      <c r="B523" s="8" t="s">
        <v>162</v>
      </c>
      <c r="C523" s="29" t="s">
        <v>102</v>
      </c>
      <c r="D523" s="29" t="s">
        <v>222</v>
      </c>
      <c r="E523" s="62"/>
      <c r="F523" s="105">
        <f t="shared" si="215"/>
        <v>202.89531700000001</v>
      </c>
      <c r="G523" s="105">
        <f t="shared" si="215"/>
        <v>209.08159987985468</v>
      </c>
      <c r="H523" s="105">
        <f t="shared" si="215"/>
        <v>210.0813264905388</v>
      </c>
      <c r="I523" s="105">
        <f t="shared" si="215"/>
        <v>211.84767372819135</v>
      </c>
      <c r="J523" s="105">
        <f t="shared" si="215"/>
        <v>216.38272317038269</v>
      </c>
      <c r="K523" s="105">
        <f t="shared" si="215"/>
        <v>221.14258719924447</v>
      </c>
      <c r="L523" s="105">
        <f t="shared" si="215"/>
        <v>225.72393200859426</v>
      </c>
      <c r="M523" s="105">
        <f t="shared" si="215"/>
        <v>230.11409278465581</v>
      </c>
      <c r="N523" s="105">
        <f t="shared" si="216"/>
        <v>1105.2110088910686</v>
      </c>
    </row>
    <row r="524" spans="2:14" x14ac:dyDescent="0.5">
      <c r="B524" s="8" t="s">
        <v>166</v>
      </c>
      <c r="C524" s="29" t="s">
        <v>102</v>
      </c>
      <c r="D524" s="29" t="s">
        <v>222</v>
      </c>
      <c r="E524" s="62"/>
      <c r="F524" s="105">
        <f t="shared" si="215"/>
        <v>53.079143000000002</v>
      </c>
      <c r="G524" s="105">
        <f t="shared" si="215"/>
        <v>51.175093131126978</v>
      </c>
      <c r="H524" s="105">
        <f t="shared" si="215"/>
        <v>50.294702501903245</v>
      </c>
      <c r="I524" s="105">
        <f t="shared" si="215"/>
        <v>49.266978498124466</v>
      </c>
      <c r="J524" s="105">
        <f t="shared" si="215"/>
        <v>48.829702921901479</v>
      </c>
      <c r="K524" s="105">
        <f t="shared" si="215"/>
        <v>48.422807956073164</v>
      </c>
      <c r="L524" s="105">
        <f t="shared" si="215"/>
        <v>47.97560521661967</v>
      </c>
      <c r="M524" s="105">
        <f t="shared" si="215"/>
        <v>47.473510081129639</v>
      </c>
      <c r="N524" s="105">
        <f t="shared" si="216"/>
        <v>241.9686046738484</v>
      </c>
    </row>
    <row r="525" spans="2:14" x14ac:dyDescent="0.5">
      <c r="B525" s="8" t="s">
        <v>168</v>
      </c>
      <c r="C525" s="29" t="s">
        <v>102</v>
      </c>
      <c r="D525" s="29" t="s">
        <v>222</v>
      </c>
      <c r="E525" s="62"/>
      <c r="F525" s="105">
        <f t="shared" si="215"/>
        <v>69.742531808565673</v>
      </c>
      <c r="G525" s="105">
        <f t="shared" si="215"/>
        <v>70.387541436959026</v>
      </c>
      <c r="H525" s="105">
        <f t="shared" si="215"/>
        <v>71.503830864314551</v>
      </c>
      <c r="I525" s="105">
        <f t="shared" si="215"/>
        <v>72.297749957467261</v>
      </c>
      <c r="J525" s="105">
        <f t="shared" si="215"/>
        <v>73.427994968376964</v>
      </c>
      <c r="K525" s="105">
        <f t="shared" si="215"/>
        <v>74.599276221679474</v>
      </c>
      <c r="L525" s="105">
        <f t="shared" si="215"/>
        <v>75.732168344585915</v>
      </c>
      <c r="M525" s="105">
        <f t="shared" si="215"/>
        <v>76.808093612931742</v>
      </c>
      <c r="N525" s="105">
        <f t="shared" si="216"/>
        <v>372.86528310504139</v>
      </c>
    </row>
    <row r="526" spans="2:14" x14ac:dyDescent="0.5">
      <c r="B526" s="8" t="s">
        <v>172</v>
      </c>
      <c r="C526" s="29" t="s">
        <v>102</v>
      </c>
      <c r="D526" s="29" t="s">
        <v>222</v>
      </c>
      <c r="E526" s="62"/>
      <c r="F526" s="105">
        <f t="shared" si="215"/>
        <v>121.23944605418258</v>
      </c>
      <c r="G526" s="105">
        <f t="shared" si="215"/>
        <v>120.31548729079738</v>
      </c>
      <c r="H526" s="105">
        <f t="shared" si="215"/>
        <v>120.00807154981291</v>
      </c>
      <c r="I526" s="105">
        <f t="shared" si="215"/>
        <v>118.58235865744733</v>
      </c>
      <c r="J526" s="105">
        <f t="shared" si="215"/>
        <v>119.83415442784309</v>
      </c>
      <c r="K526" s="105">
        <f t="shared" si="215"/>
        <v>121.17513919766945</v>
      </c>
      <c r="L526" s="105">
        <f t="shared" si="215"/>
        <v>122.24275270762129</v>
      </c>
      <c r="M526" s="105">
        <f t="shared" si="215"/>
        <v>123.19903511686974</v>
      </c>
      <c r="N526" s="105">
        <f t="shared" si="216"/>
        <v>605.03344010745093</v>
      </c>
    </row>
    <row r="527" spans="2:14" x14ac:dyDescent="0.5">
      <c r="B527" s="8" t="s">
        <v>176</v>
      </c>
      <c r="C527" s="29" t="s">
        <v>102</v>
      </c>
      <c r="D527" s="29" t="s">
        <v>222</v>
      </c>
      <c r="E527" s="62"/>
      <c r="F527" s="105">
        <f t="shared" si="215"/>
        <v>146.42671436201903</v>
      </c>
      <c r="G527" s="105">
        <f t="shared" si="215"/>
        <v>146.22491110243021</v>
      </c>
      <c r="H527" s="105">
        <f t="shared" si="215"/>
        <v>146.88679838755047</v>
      </c>
      <c r="I527" s="105">
        <f t="shared" si="215"/>
        <v>146.98865468735573</v>
      </c>
      <c r="J527" s="105">
        <f t="shared" si="215"/>
        <v>147.66025673091991</v>
      </c>
      <c r="K527" s="105">
        <f t="shared" si="215"/>
        <v>148.36828020589175</v>
      </c>
      <c r="L527" s="105">
        <f t="shared" si="215"/>
        <v>148.97324889101003</v>
      </c>
      <c r="M527" s="105">
        <f t="shared" si="215"/>
        <v>149.46030231353788</v>
      </c>
      <c r="N527" s="105">
        <f t="shared" si="216"/>
        <v>741.45074282871531</v>
      </c>
    </row>
    <row r="528" spans="2:14" x14ac:dyDescent="0.5">
      <c r="B528" s="8" t="s">
        <v>182</v>
      </c>
      <c r="C528" s="29" t="s">
        <v>102</v>
      </c>
      <c r="D528" s="29" t="s">
        <v>222</v>
      </c>
      <c r="E528" s="62"/>
      <c r="F528" s="105">
        <f t="shared" si="215"/>
        <v>0</v>
      </c>
      <c r="G528" s="105">
        <f t="shared" si="215"/>
        <v>0</v>
      </c>
      <c r="H528" s="105">
        <f t="shared" si="215"/>
        <v>0</v>
      </c>
      <c r="I528" s="105">
        <f t="shared" si="215"/>
        <v>0</v>
      </c>
      <c r="J528" s="105">
        <f t="shared" si="215"/>
        <v>0</v>
      </c>
      <c r="K528" s="105">
        <f t="shared" si="215"/>
        <v>0</v>
      </c>
      <c r="L528" s="105">
        <f t="shared" si="215"/>
        <v>0</v>
      </c>
      <c r="M528" s="105">
        <f t="shared" si="215"/>
        <v>0</v>
      </c>
      <c r="N528" s="105">
        <f t="shared" si="216"/>
        <v>0</v>
      </c>
    </row>
    <row r="529" spans="2:14" x14ac:dyDescent="0.5">
      <c r="B529" s="8" t="s">
        <v>184</v>
      </c>
      <c r="C529" s="29" t="s">
        <v>102</v>
      </c>
      <c r="D529" s="29" t="s">
        <v>222</v>
      </c>
      <c r="E529" s="62"/>
      <c r="F529" s="105">
        <f t="shared" si="215"/>
        <v>7.3246539999999998</v>
      </c>
      <c r="G529" s="105">
        <f t="shared" si="215"/>
        <v>7.3529331694433395</v>
      </c>
      <c r="H529" s="105">
        <f t="shared" si="215"/>
        <v>-7.1191690046670546</v>
      </c>
      <c r="I529" s="105">
        <f t="shared" si="215"/>
        <v>-10.254203093472704</v>
      </c>
      <c r="J529" s="105">
        <f t="shared" si="215"/>
        <v>-10.994048019308492</v>
      </c>
      <c r="K529" s="105">
        <f t="shared" si="215"/>
        <v>-11.590212221811921</v>
      </c>
      <c r="L529" s="105">
        <f t="shared" si="215"/>
        <v>10.667593389186768</v>
      </c>
      <c r="M529" s="105">
        <f t="shared" si="215"/>
        <v>10.69255306840873</v>
      </c>
      <c r="N529" s="105">
        <f t="shared" si="216"/>
        <v>-11.478316876997615</v>
      </c>
    </row>
    <row r="530" spans="2:14" x14ac:dyDescent="0.5">
      <c r="B530" s="8" t="s">
        <v>187</v>
      </c>
      <c r="C530" s="29" t="s">
        <v>102</v>
      </c>
      <c r="D530" s="29" t="s">
        <v>222</v>
      </c>
      <c r="E530" s="62"/>
      <c r="F530" s="105">
        <f t="shared" si="215"/>
        <v>21.38965614999999</v>
      </c>
      <c r="G530" s="105">
        <f t="shared" si="215"/>
        <v>20.795417655803519</v>
      </c>
      <c r="H530" s="105">
        <f t="shared" si="215"/>
        <v>20.366729450205955</v>
      </c>
      <c r="I530" s="105">
        <f t="shared" si="215"/>
        <v>19.420395918429545</v>
      </c>
      <c r="J530" s="105">
        <f t="shared" si="215"/>
        <v>18.594817966563316</v>
      </c>
      <c r="K530" s="105">
        <f t="shared" si="215"/>
        <v>17.849171966148749</v>
      </c>
      <c r="L530" s="105">
        <f t="shared" si="215"/>
        <v>17.163834675253518</v>
      </c>
      <c r="M530" s="105">
        <f t="shared" si="215"/>
        <v>16.536963724873967</v>
      </c>
      <c r="N530" s="105">
        <f t="shared" si="216"/>
        <v>89.565184251269102</v>
      </c>
    </row>
  </sheetData>
  <hyperlinks>
    <hyperlink ref="B5" r:id="rId1" xr:uid="{375021E1-B2D4-4995-9F23-999BEC58DFA7}"/>
  </hyperlinks>
  <pageMargins left="0.7" right="0.7" top="0.75" bottom="0.75" header="0.3" footer="0.3"/>
  <headerFooter>
    <oddHeader>&amp;C&amp;"Calibri"&amp;8&amp;K000000 OFFICIAL - CAA Use Only: This information is for CAA use only &amp;1#_x000D_</oddHeader>
    <oddFooter>&amp;C_x000D_&amp;1#&amp;"Calibri"&amp;8&amp;K000000 OFFICIAL - CAA Use Only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/>
  </sheetPr>
  <dimension ref="A1:A2"/>
  <sheetViews>
    <sheetView workbookViewId="0"/>
  </sheetViews>
  <sheetFormatPr defaultColWidth="8.90625" defaultRowHeight="16.5" x14ac:dyDescent="0.5"/>
  <cols>
    <col min="1" max="1" width="26" customWidth="1"/>
    <col min="2" max="2" width="17.6328125" customWidth="1"/>
  </cols>
  <sheetData>
    <row r="1" spans="1:1" ht="30" thickBot="1" x14ac:dyDescent="0.85">
      <c r="A1" s="16" t="s">
        <v>223</v>
      </c>
    </row>
    <row r="2" spans="1:1" ht="17" thickTop="1" x14ac:dyDescent="0.5"/>
  </sheetData>
  <pageMargins left="0.7" right="0.7" top="0.75" bottom="0.75" header="0.3" footer="0.3"/>
  <headerFooter>
    <oddHeader>&amp;C&amp;"Calibri"&amp;8&amp;K000000 OFFICIAL - CAA Use Only: This information is for CAA use only &amp;1#_x000D_</oddHeader>
    <oddFooter>&amp;C_x000D_&amp;1#&amp;"Calibri"&amp;8&amp;K000000 OFFICIAL - CAA Use Only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80CA1-0461-46D6-84F4-09C33653D10A}">
  <sheetPr>
    <tabColor theme="6"/>
  </sheetPr>
  <dimension ref="A1:I158"/>
  <sheetViews>
    <sheetView topLeftCell="A139" zoomScale="80" zoomScaleNormal="80" workbookViewId="0">
      <selection activeCell="D64" sqref="D64"/>
    </sheetView>
  </sheetViews>
  <sheetFormatPr defaultColWidth="8.90625" defaultRowHeight="16.5" x14ac:dyDescent="0.5"/>
  <cols>
    <col min="1" max="1" width="20.6328125" customWidth="1"/>
    <col min="2" max="2" width="39.6328125" customWidth="1"/>
    <col min="3" max="14" width="20.6328125" customWidth="1"/>
  </cols>
  <sheetData>
    <row r="1" spans="1:9" ht="23" thickBot="1" x14ac:dyDescent="0.7">
      <c r="A1" s="13" t="s">
        <v>224</v>
      </c>
      <c r="B1" s="55"/>
      <c r="C1" s="55"/>
      <c r="D1" s="55"/>
      <c r="E1" s="55"/>
      <c r="F1" s="55"/>
      <c r="G1" s="55"/>
      <c r="H1" s="55"/>
      <c r="I1" s="55"/>
    </row>
    <row r="2" spans="1:9" ht="17" thickTop="1" x14ac:dyDescent="0.5">
      <c r="A2" s="55"/>
      <c r="B2" s="55"/>
      <c r="C2" s="55"/>
      <c r="D2" s="55"/>
      <c r="E2" s="55"/>
      <c r="F2" s="55"/>
      <c r="G2" s="55"/>
      <c r="H2" s="55"/>
      <c r="I2" s="55"/>
    </row>
    <row r="3" spans="1:9" ht="19" thickBot="1" x14ac:dyDescent="0.55000000000000004">
      <c r="A3" s="14" t="s">
        <v>225</v>
      </c>
      <c r="B3" s="55"/>
      <c r="C3" s="55"/>
      <c r="D3" s="14" t="s">
        <v>226</v>
      </c>
      <c r="E3" s="55"/>
      <c r="F3" s="14" t="s">
        <v>34</v>
      </c>
    </row>
    <row r="4" spans="1:9" ht="17" thickTop="1" x14ac:dyDescent="0.5">
      <c r="A4" s="55"/>
      <c r="B4" s="55"/>
      <c r="C4" s="55"/>
      <c r="D4" s="55"/>
      <c r="E4" s="55"/>
      <c r="F4" s="55"/>
    </row>
    <row r="5" spans="1:9" ht="17" thickBot="1" x14ac:dyDescent="0.55000000000000004">
      <c r="A5" s="55"/>
      <c r="B5" s="10" t="s">
        <v>72</v>
      </c>
      <c r="C5" s="11" t="s">
        <v>227</v>
      </c>
      <c r="E5" s="56" t="s">
        <v>24</v>
      </c>
      <c r="G5" s="10" t="s">
        <v>228</v>
      </c>
    </row>
    <row r="6" spans="1:9" x14ac:dyDescent="0.5">
      <c r="A6" s="55"/>
      <c r="B6" s="8" t="s">
        <v>229</v>
      </c>
      <c r="C6" s="29" t="s">
        <v>230</v>
      </c>
      <c r="E6" s="8" t="s">
        <v>215</v>
      </c>
      <c r="G6" s="8" t="s">
        <v>231</v>
      </c>
    </row>
    <row r="7" spans="1:9" x14ac:dyDescent="0.5">
      <c r="A7" s="55"/>
      <c r="B7" s="8" t="s">
        <v>232</v>
      </c>
      <c r="C7" s="29" t="s">
        <v>230</v>
      </c>
      <c r="E7" s="8" t="s">
        <v>233</v>
      </c>
      <c r="G7" s="8" t="s">
        <v>234</v>
      </c>
    </row>
    <row r="8" spans="1:9" x14ac:dyDescent="0.5">
      <c r="A8" s="55"/>
      <c r="B8" s="8" t="s">
        <v>235</v>
      </c>
      <c r="C8" s="29" t="s">
        <v>230</v>
      </c>
      <c r="E8" s="8" t="s">
        <v>236</v>
      </c>
      <c r="G8" s="8" t="s">
        <v>237</v>
      </c>
    </row>
    <row r="9" spans="1:9" x14ac:dyDescent="0.5">
      <c r="A9" s="55"/>
      <c r="B9" s="8" t="s">
        <v>238</v>
      </c>
      <c r="C9" s="29" t="s">
        <v>230</v>
      </c>
      <c r="E9" s="8" t="s">
        <v>239</v>
      </c>
      <c r="G9" s="8" t="s">
        <v>240</v>
      </c>
    </row>
    <row r="10" spans="1:9" x14ac:dyDescent="0.5">
      <c r="A10" s="55"/>
      <c r="B10" s="8" t="s">
        <v>241</v>
      </c>
      <c r="C10" s="29" t="s">
        <v>230</v>
      </c>
      <c r="E10" s="8" t="s">
        <v>242</v>
      </c>
    </row>
    <row r="11" spans="1:9" ht="17" thickBot="1" x14ac:dyDescent="0.55000000000000004">
      <c r="A11" s="55"/>
      <c r="B11" s="8" t="s">
        <v>243</v>
      </c>
      <c r="C11" s="29" t="s">
        <v>230</v>
      </c>
      <c r="E11" s="8" t="s">
        <v>244</v>
      </c>
      <c r="G11" s="10" t="s">
        <v>245</v>
      </c>
    </row>
    <row r="12" spans="1:9" x14ac:dyDescent="0.5">
      <c r="B12" s="8" t="s">
        <v>246</v>
      </c>
      <c r="C12" s="29" t="s">
        <v>230</v>
      </c>
      <c r="E12" s="8" t="s">
        <v>247</v>
      </c>
      <c r="G12" s="8" t="s">
        <v>248</v>
      </c>
    </row>
    <row r="13" spans="1:9" x14ac:dyDescent="0.5">
      <c r="A13" s="55"/>
      <c r="B13" s="8" t="s">
        <v>249</v>
      </c>
      <c r="C13" s="29" t="s">
        <v>230</v>
      </c>
      <c r="D13" s="55"/>
      <c r="E13" s="8" t="s">
        <v>250</v>
      </c>
      <c r="G13" s="35" t="s">
        <v>251</v>
      </c>
    </row>
    <row r="14" spans="1:9" x14ac:dyDescent="0.5">
      <c r="A14" s="55"/>
      <c r="B14" s="8" t="s">
        <v>252</v>
      </c>
      <c r="C14" s="29" t="s">
        <v>230</v>
      </c>
      <c r="D14" s="55"/>
      <c r="E14" s="8" t="s">
        <v>253</v>
      </c>
      <c r="G14" s="8" t="s">
        <v>254</v>
      </c>
    </row>
    <row r="15" spans="1:9" x14ac:dyDescent="0.5">
      <c r="A15" s="55"/>
      <c r="B15" s="8" t="s">
        <v>255</v>
      </c>
      <c r="C15" s="29" t="s">
        <v>230</v>
      </c>
      <c r="D15" s="55"/>
      <c r="E15" s="8" t="s">
        <v>256</v>
      </c>
    </row>
    <row r="16" spans="1:9" x14ac:dyDescent="0.5">
      <c r="A16" s="55"/>
      <c r="B16" s="8" t="s">
        <v>257</v>
      </c>
      <c r="C16" s="29" t="s">
        <v>230</v>
      </c>
      <c r="D16" s="55"/>
    </row>
    <row r="17" spans="1:5" x14ac:dyDescent="0.5">
      <c r="A17" s="55"/>
      <c r="B17" s="8" t="s">
        <v>258</v>
      </c>
      <c r="C17" s="29" t="s">
        <v>230</v>
      </c>
      <c r="D17" s="55"/>
    </row>
    <row r="18" spans="1:5" x14ac:dyDescent="0.5">
      <c r="A18" s="55"/>
      <c r="B18" s="8" t="s">
        <v>259</v>
      </c>
      <c r="C18" s="29" t="s">
        <v>230</v>
      </c>
      <c r="D18" s="55"/>
    </row>
    <row r="19" spans="1:5" x14ac:dyDescent="0.5">
      <c r="A19" s="55"/>
      <c r="B19" s="8" t="s">
        <v>260</v>
      </c>
      <c r="C19" s="148" t="s">
        <v>261</v>
      </c>
      <c r="D19" s="55"/>
      <c r="E19" s="55"/>
    </row>
    <row r="20" spans="1:5" x14ac:dyDescent="0.5">
      <c r="A20" s="55"/>
      <c r="B20" s="83" t="s">
        <v>262</v>
      </c>
      <c r="C20" s="148" t="s">
        <v>263</v>
      </c>
      <c r="D20" s="55"/>
      <c r="E20" s="55"/>
    </row>
    <row r="21" spans="1:5" x14ac:dyDescent="0.5">
      <c r="A21" s="55"/>
      <c r="B21" s="83" t="s">
        <v>264</v>
      </c>
      <c r="C21" s="148" t="s">
        <v>263</v>
      </c>
      <c r="D21" s="55"/>
    </row>
    <row r="22" spans="1:5" x14ac:dyDescent="0.5">
      <c r="A22" s="55"/>
      <c r="B22" s="83" t="s">
        <v>202</v>
      </c>
      <c r="C22" s="148" t="s">
        <v>263</v>
      </c>
      <c r="D22" s="55"/>
    </row>
    <row r="23" spans="1:5" x14ac:dyDescent="0.5">
      <c r="A23" s="55"/>
      <c r="B23" s="83" t="s">
        <v>265</v>
      </c>
      <c r="C23" s="148" t="s">
        <v>263</v>
      </c>
      <c r="D23" s="55"/>
    </row>
    <row r="24" spans="1:5" x14ac:dyDescent="0.5">
      <c r="A24" s="55"/>
      <c r="B24" s="83" t="s">
        <v>266</v>
      </c>
      <c r="C24" s="148" t="s">
        <v>263</v>
      </c>
      <c r="D24" s="55"/>
    </row>
    <row r="25" spans="1:5" x14ac:dyDescent="0.5">
      <c r="A25" s="55"/>
      <c r="B25" s="83" t="s">
        <v>267</v>
      </c>
      <c r="C25" s="148" t="s">
        <v>263</v>
      </c>
      <c r="D25" s="55"/>
    </row>
    <row r="26" spans="1:5" x14ac:dyDescent="0.5">
      <c r="A26" s="55"/>
      <c r="B26" s="83" t="s">
        <v>268</v>
      </c>
      <c r="C26" s="148" t="s">
        <v>263</v>
      </c>
      <c r="D26" s="55"/>
    </row>
    <row r="27" spans="1:5" x14ac:dyDescent="0.5">
      <c r="A27" s="55"/>
      <c r="B27" s="83" t="s">
        <v>269</v>
      </c>
      <c r="C27" s="148" t="s">
        <v>263</v>
      </c>
      <c r="D27" s="55"/>
    </row>
    <row r="28" spans="1:5" x14ac:dyDescent="0.5">
      <c r="A28" s="55"/>
      <c r="B28" s="83" t="s">
        <v>270</v>
      </c>
      <c r="C28" s="148" t="s">
        <v>263</v>
      </c>
      <c r="D28" s="55"/>
    </row>
    <row r="29" spans="1:5" x14ac:dyDescent="0.5">
      <c r="A29" s="55"/>
      <c r="B29" s="83" t="s">
        <v>271</v>
      </c>
      <c r="C29" s="148" t="s">
        <v>263</v>
      </c>
      <c r="D29" s="55"/>
    </row>
    <row r="30" spans="1:5" x14ac:dyDescent="0.5">
      <c r="A30" s="55"/>
      <c r="B30" s="83" t="s">
        <v>272</v>
      </c>
      <c r="C30" s="148" t="s">
        <v>263</v>
      </c>
      <c r="D30" s="55"/>
    </row>
    <row r="31" spans="1:5" x14ac:dyDescent="0.5">
      <c r="A31" s="55"/>
      <c r="B31" s="83" t="s">
        <v>273</v>
      </c>
      <c r="C31" s="148" t="s">
        <v>274</v>
      </c>
      <c r="D31" s="55"/>
    </row>
    <row r="32" spans="1:5" x14ac:dyDescent="0.5">
      <c r="A32" s="55"/>
      <c r="B32" s="8" t="s">
        <v>275</v>
      </c>
      <c r="C32" s="148" t="s">
        <v>276</v>
      </c>
      <c r="D32" s="55"/>
    </row>
    <row r="33" spans="1:4" x14ac:dyDescent="0.5">
      <c r="A33" s="55"/>
      <c r="B33" s="8" t="s">
        <v>268</v>
      </c>
      <c r="C33" s="148" t="s">
        <v>276</v>
      </c>
      <c r="D33" s="55"/>
    </row>
    <row r="34" spans="1:4" x14ac:dyDescent="0.5">
      <c r="A34" s="55"/>
      <c r="B34" s="8" t="s">
        <v>277</v>
      </c>
      <c r="C34" s="148" t="s">
        <v>276</v>
      </c>
      <c r="D34" s="55"/>
    </row>
    <row r="35" spans="1:4" x14ac:dyDescent="0.5">
      <c r="A35" s="55"/>
      <c r="B35" s="8" t="s">
        <v>278</v>
      </c>
      <c r="C35" s="148" t="s">
        <v>276</v>
      </c>
      <c r="D35" s="55"/>
    </row>
    <row r="36" spans="1:4" x14ac:dyDescent="0.5">
      <c r="A36" s="55"/>
      <c r="B36" s="8" t="s">
        <v>279</v>
      </c>
      <c r="C36" s="148" t="s">
        <v>280</v>
      </c>
      <c r="D36" s="55"/>
    </row>
    <row r="37" spans="1:4" x14ac:dyDescent="0.5">
      <c r="A37" s="55"/>
      <c r="B37" s="8" t="s">
        <v>281</v>
      </c>
      <c r="C37" s="148" t="s">
        <v>280</v>
      </c>
      <c r="D37" s="55"/>
    </row>
    <row r="38" spans="1:4" x14ac:dyDescent="0.5">
      <c r="A38" s="55"/>
      <c r="B38" s="8" t="s">
        <v>282</v>
      </c>
      <c r="C38" s="148" t="s">
        <v>280</v>
      </c>
      <c r="D38" s="55"/>
    </row>
    <row r="39" spans="1:4" x14ac:dyDescent="0.5">
      <c r="A39" s="55"/>
      <c r="B39" s="8" t="s">
        <v>178</v>
      </c>
      <c r="C39" s="148" t="s">
        <v>280</v>
      </c>
      <c r="D39" s="55"/>
    </row>
    <row r="40" spans="1:4" x14ac:dyDescent="0.5">
      <c r="A40" s="55"/>
      <c r="B40" s="8" t="s">
        <v>283</v>
      </c>
      <c r="C40" s="148" t="s">
        <v>284</v>
      </c>
      <c r="D40" s="55"/>
    </row>
    <row r="41" spans="1:4" x14ac:dyDescent="0.5">
      <c r="A41" s="55"/>
      <c r="B41" s="8" t="s">
        <v>285</v>
      </c>
      <c r="C41" s="148" t="s">
        <v>284</v>
      </c>
      <c r="D41" s="55"/>
    </row>
    <row r="42" spans="1:4" x14ac:dyDescent="0.5">
      <c r="A42" s="55"/>
      <c r="B42" s="8" t="s">
        <v>286</v>
      </c>
      <c r="C42" s="148" t="s">
        <v>284</v>
      </c>
      <c r="D42" s="55"/>
    </row>
    <row r="43" spans="1:4" x14ac:dyDescent="0.5">
      <c r="A43" s="55"/>
      <c r="B43" s="8" t="s">
        <v>287</v>
      </c>
      <c r="C43" s="148" t="s">
        <v>288</v>
      </c>
      <c r="D43" s="55"/>
    </row>
    <row r="44" spans="1:4" x14ac:dyDescent="0.5">
      <c r="A44" s="55"/>
      <c r="B44" s="8" t="s">
        <v>289</v>
      </c>
      <c r="C44" s="148" t="s">
        <v>288</v>
      </c>
      <c r="D44" s="55"/>
    </row>
    <row r="45" spans="1:4" x14ac:dyDescent="0.5">
      <c r="B45" s="8" t="s">
        <v>290</v>
      </c>
      <c r="C45" s="148" t="s">
        <v>288</v>
      </c>
      <c r="D45" s="55"/>
    </row>
    <row r="46" spans="1:4" x14ac:dyDescent="0.5">
      <c r="B46" s="8" t="s">
        <v>291</v>
      </c>
      <c r="C46" s="148" t="s">
        <v>288</v>
      </c>
      <c r="D46" s="55"/>
    </row>
    <row r="47" spans="1:4" x14ac:dyDescent="0.5">
      <c r="B47" s="8" t="s">
        <v>292</v>
      </c>
      <c r="C47" s="148" t="s">
        <v>288</v>
      </c>
      <c r="D47" s="55"/>
    </row>
    <row r="48" spans="1:4" x14ac:dyDescent="0.5">
      <c r="A48" s="55"/>
      <c r="B48" s="8" t="s">
        <v>293</v>
      </c>
      <c r="C48" s="148" t="s">
        <v>288</v>
      </c>
      <c r="D48" s="55"/>
    </row>
    <row r="49" spans="1:9" x14ac:dyDescent="0.5">
      <c r="A49" s="55"/>
      <c r="B49" s="8" t="s">
        <v>294</v>
      </c>
      <c r="C49" s="148" t="s">
        <v>288</v>
      </c>
      <c r="D49" s="55"/>
    </row>
    <row r="50" spans="1:9" x14ac:dyDescent="0.5">
      <c r="A50" s="55"/>
      <c r="B50" s="8" t="s">
        <v>295</v>
      </c>
      <c r="C50" s="148" t="s">
        <v>288</v>
      </c>
      <c r="D50" s="55"/>
    </row>
    <row r="51" spans="1:9" x14ac:dyDescent="0.5">
      <c r="A51" s="55"/>
      <c r="B51" s="8" t="s">
        <v>296</v>
      </c>
      <c r="C51" s="148" t="s">
        <v>288</v>
      </c>
      <c r="D51" s="55"/>
    </row>
    <row r="52" spans="1:9" x14ac:dyDescent="0.5">
      <c r="A52" s="55"/>
      <c r="B52" s="8" t="s">
        <v>297</v>
      </c>
      <c r="C52" s="62"/>
      <c r="D52" s="55"/>
    </row>
    <row r="53" spans="1:9" x14ac:dyDescent="0.5">
      <c r="B53" s="55"/>
      <c r="C53" s="55"/>
      <c r="F53" s="55"/>
      <c r="G53" s="55"/>
      <c r="H53" s="55"/>
      <c r="I53" s="55"/>
    </row>
    <row r="54" spans="1:9" ht="23" thickBot="1" x14ac:dyDescent="0.7">
      <c r="A54" s="13" t="s">
        <v>223</v>
      </c>
      <c r="B54" s="55"/>
      <c r="C54" s="55"/>
      <c r="F54" s="55"/>
      <c r="G54" s="55"/>
      <c r="H54" s="55"/>
      <c r="I54" s="55"/>
    </row>
    <row r="55" spans="1:9" ht="17" thickTop="1" x14ac:dyDescent="0.5"/>
    <row r="56" spans="1:9" ht="19" thickBot="1" x14ac:dyDescent="0.55000000000000004">
      <c r="A56" s="14" t="s">
        <v>93</v>
      </c>
    </row>
    <row r="57" spans="1:9" ht="19.5" thickTop="1" thickBot="1" x14ac:dyDescent="0.55000000000000004">
      <c r="A57" s="23"/>
    </row>
    <row r="58" spans="1:9" ht="17" thickBot="1" x14ac:dyDescent="0.55000000000000004">
      <c r="B58" s="57" t="s">
        <v>228</v>
      </c>
      <c r="C58" s="58" t="s">
        <v>231</v>
      </c>
    </row>
    <row r="59" spans="1:9" ht="17" thickBot="1" x14ac:dyDescent="0.55000000000000004"/>
    <row r="60" spans="1:9" ht="17" thickBot="1" x14ac:dyDescent="0.55000000000000004">
      <c r="B60" s="57" t="s">
        <v>298</v>
      </c>
      <c r="C60" s="58" t="s">
        <v>251</v>
      </c>
    </row>
    <row r="62" spans="1:9" ht="19" thickBot="1" x14ac:dyDescent="0.55000000000000004">
      <c r="A62" s="14" t="s">
        <v>299</v>
      </c>
      <c r="B62" s="55"/>
      <c r="C62" s="55"/>
    </row>
    <row r="63" spans="1:9" ht="17.5" thickTop="1" thickBot="1" x14ac:dyDescent="0.55000000000000004">
      <c r="A63" s="55"/>
      <c r="B63" s="55"/>
      <c r="C63" s="55"/>
    </row>
    <row r="64" spans="1:9" ht="17" thickBot="1" x14ac:dyDescent="0.55000000000000004">
      <c r="A64" s="55"/>
      <c r="B64" s="57" t="s">
        <v>300</v>
      </c>
      <c r="C64" s="87">
        <v>0.01</v>
      </c>
    </row>
    <row r="65" spans="1:9" ht="17" thickBot="1" x14ac:dyDescent="0.55000000000000004">
      <c r="A65" s="55"/>
      <c r="B65" s="57" t="s">
        <v>301</v>
      </c>
      <c r="C65" s="87">
        <v>0.01</v>
      </c>
    </row>
    <row r="67" spans="1:9" ht="19" thickBot="1" x14ac:dyDescent="0.55000000000000004">
      <c r="A67" s="14" t="s">
        <v>189</v>
      </c>
      <c r="E67" s="49"/>
    </row>
    <row r="68" spans="1:9" ht="17" thickTop="1" x14ac:dyDescent="0.5">
      <c r="E68" s="49"/>
    </row>
    <row r="69" spans="1:9" ht="17" thickBot="1" x14ac:dyDescent="0.55000000000000004">
      <c r="B69" s="27" t="s">
        <v>302</v>
      </c>
      <c r="C69" s="27" t="s">
        <v>96</v>
      </c>
      <c r="D69" s="27" t="s">
        <v>97</v>
      </c>
      <c r="E69" s="50" t="s">
        <v>98</v>
      </c>
      <c r="F69" s="66" t="s">
        <v>303</v>
      </c>
      <c r="G69" s="66" t="s">
        <v>304</v>
      </c>
      <c r="H69" s="66" t="s">
        <v>70</v>
      </c>
      <c r="I69" s="66" t="s">
        <v>63</v>
      </c>
    </row>
    <row r="70" spans="1:9" x14ac:dyDescent="0.5">
      <c r="B70" s="8" t="s">
        <v>101</v>
      </c>
      <c r="C70" s="29" t="s">
        <v>102</v>
      </c>
      <c r="D70" s="29" t="s">
        <v>103</v>
      </c>
      <c r="E70" s="51" t="s">
        <v>104</v>
      </c>
      <c r="F70" s="60" t="s">
        <v>229</v>
      </c>
      <c r="G70" s="60">
        <v>0.3</v>
      </c>
      <c r="H70" s="60" t="s">
        <v>233</v>
      </c>
      <c r="I70" s="61" t="b">
        <v>1</v>
      </c>
    </row>
    <row r="71" spans="1:9" x14ac:dyDescent="0.5">
      <c r="B71" s="8" t="s">
        <v>105</v>
      </c>
      <c r="C71" s="29" t="s">
        <v>102</v>
      </c>
      <c r="D71" s="29" t="s">
        <v>103</v>
      </c>
      <c r="E71" s="51" t="s">
        <v>104</v>
      </c>
      <c r="F71" s="60" t="s">
        <v>229</v>
      </c>
      <c r="G71" s="60">
        <v>0.3</v>
      </c>
      <c r="H71" s="60" t="s">
        <v>233</v>
      </c>
      <c r="I71" s="61" t="b">
        <v>1</v>
      </c>
    </row>
    <row r="72" spans="1:9" x14ac:dyDescent="0.5">
      <c r="B72" s="8" t="s">
        <v>106</v>
      </c>
      <c r="C72" s="29" t="s">
        <v>102</v>
      </c>
      <c r="D72" s="29" t="s">
        <v>103</v>
      </c>
      <c r="E72" s="51" t="s">
        <v>104</v>
      </c>
      <c r="F72" s="60" t="s">
        <v>229</v>
      </c>
      <c r="G72" s="60">
        <v>0.3</v>
      </c>
      <c r="H72" s="60" t="s">
        <v>233</v>
      </c>
      <c r="I72" s="61" t="b">
        <v>1</v>
      </c>
    </row>
    <row r="73" spans="1:9" x14ac:dyDescent="0.5">
      <c r="B73" s="8" t="s">
        <v>107</v>
      </c>
      <c r="C73" s="29" t="s">
        <v>102</v>
      </c>
      <c r="D73" s="29" t="s">
        <v>103</v>
      </c>
      <c r="E73" s="51" t="s">
        <v>104</v>
      </c>
      <c r="F73" s="60" t="s">
        <v>229</v>
      </c>
      <c r="G73" s="60">
        <v>0.3</v>
      </c>
      <c r="H73" s="60" t="s">
        <v>233</v>
      </c>
      <c r="I73" s="61" t="b">
        <v>1</v>
      </c>
    </row>
    <row r="74" spans="1:9" x14ac:dyDescent="0.5">
      <c r="B74" s="8" t="s">
        <v>108</v>
      </c>
      <c r="C74" s="29" t="s">
        <v>102</v>
      </c>
      <c r="D74" s="29" t="s">
        <v>103</v>
      </c>
      <c r="E74" s="51" t="s">
        <v>104</v>
      </c>
      <c r="F74" s="60" t="s">
        <v>229</v>
      </c>
      <c r="G74" s="60">
        <v>0.3</v>
      </c>
      <c r="H74" s="60" t="s">
        <v>233</v>
      </c>
      <c r="I74" s="61" t="b">
        <v>1</v>
      </c>
    </row>
    <row r="75" spans="1:9" x14ac:dyDescent="0.5">
      <c r="B75" s="8" t="s">
        <v>109</v>
      </c>
      <c r="C75" s="29" t="s">
        <v>102</v>
      </c>
      <c r="D75" s="29" t="s">
        <v>103</v>
      </c>
      <c r="E75" s="51" t="s">
        <v>104</v>
      </c>
      <c r="F75" s="60" t="s">
        <v>229</v>
      </c>
      <c r="G75" s="60">
        <v>0.3</v>
      </c>
      <c r="H75" s="60" t="s">
        <v>233</v>
      </c>
      <c r="I75" s="61" t="b">
        <v>1</v>
      </c>
    </row>
    <row r="76" spans="1:9" x14ac:dyDescent="0.5">
      <c r="B76" s="8" t="s">
        <v>110</v>
      </c>
      <c r="C76" s="29" t="s">
        <v>102</v>
      </c>
      <c r="D76" s="29" t="s">
        <v>103</v>
      </c>
      <c r="E76" s="51" t="s">
        <v>104</v>
      </c>
      <c r="F76" s="60" t="s">
        <v>297</v>
      </c>
      <c r="G76" s="60"/>
      <c r="H76" s="60" t="s">
        <v>233</v>
      </c>
      <c r="I76" s="61" t="b">
        <v>0</v>
      </c>
    </row>
    <row r="77" spans="1:9" x14ac:dyDescent="0.5">
      <c r="B77" s="8" t="s">
        <v>111</v>
      </c>
      <c r="C77" s="29" t="s">
        <v>102</v>
      </c>
      <c r="D77" s="29" t="s">
        <v>103</v>
      </c>
      <c r="E77" s="51" t="s">
        <v>112</v>
      </c>
      <c r="F77" s="60" t="s">
        <v>305</v>
      </c>
      <c r="G77" s="60">
        <v>0.35</v>
      </c>
      <c r="H77" s="60" t="s">
        <v>244</v>
      </c>
      <c r="I77" s="61" t="b">
        <v>1</v>
      </c>
    </row>
    <row r="78" spans="1:9" x14ac:dyDescent="0.5">
      <c r="B78" s="8" t="s">
        <v>113</v>
      </c>
      <c r="C78" s="29" t="s">
        <v>102</v>
      </c>
      <c r="D78" s="29" t="s">
        <v>103</v>
      </c>
      <c r="E78" s="51" t="s">
        <v>112</v>
      </c>
      <c r="F78" s="60" t="s">
        <v>305</v>
      </c>
      <c r="G78" s="60">
        <v>0.35</v>
      </c>
      <c r="H78" s="60" t="s">
        <v>244</v>
      </c>
      <c r="I78" s="61" t="b">
        <v>1</v>
      </c>
    </row>
    <row r="79" spans="1:9" x14ac:dyDescent="0.5">
      <c r="B79" s="8" t="s">
        <v>114</v>
      </c>
      <c r="C79" s="29" t="s">
        <v>102</v>
      </c>
      <c r="D79" s="29" t="s">
        <v>103</v>
      </c>
      <c r="E79" s="51" t="s">
        <v>112</v>
      </c>
      <c r="F79" s="60" t="s">
        <v>305</v>
      </c>
      <c r="G79" s="60">
        <v>0.35</v>
      </c>
      <c r="H79" s="60" t="s">
        <v>244</v>
      </c>
      <c r="I79" s="61" t="b">
        <v>1</v>
      </c>
    </row>
    <row r="80" spans="1:9" x14ac:dyDescent="0.5">
      <c r="B80" s="8" t="s">
        <v>115</v>
      </c>
      <c r="C80" s="29" t="s">
        <v>102</v>
      </c>
      <c r="D80" s="29" t="s">
        <v>103</v>
      </c>
      <c r="E80" s="51" t="s">
        <v>112</v>
      </c>
      <c r="F80" s="60" t="s">
        <v>305</v>
      </c>
      <c r="G80" s="60">
        <v>0.35</v>
      </c>
      <c r="H80" s="60" t="s">
        <v>215</v>
      </c>
      <c r="I80" s="61" t="b">
        <v>1</v>
      </c>
    </row>
    <row r="81" spans="2:9" x14ac:dyDescent="0.5">
      <c r="B81" s="8" t="s">
        <v>116</v>
      </c>
      <c r="C81" s="29" t="s">
        <v>102</v>
      </c>
      <c r="D81" s="29" t="s">
        <v>103</v>
      </c>
      <c r="E81" s="51" t="s">
        <v>117</v>
      </c>
      <c r="F81" s="202"/>
      <c r="G81" s="202"/>
      <c r="H81" s="202"/>
      <c r="I81" s="203"/>
    </row>
    <row r="82" spans="2:9" x14ac:dyDescent="0.5">
      <c r="B82" s="8" t="s">
        <v>118</v>
      </c>
      <c r="C82" s="29" t="s">
        <v>102</v>
      </c>
      <c r="D82" s="29" t="s">
        <v>103</v>
      </c>
      <c r="E82" s="51" t="s">
        <v>119</v>
      </c>
      <c r="F82" s="60" t="s">
        <v>229</v>
      </c>
      <c r="G82" s="60">
        <v>0.3</v>
      </c>
      <c r="H82" s="60" t="s">
        <v>215</v>
      </c>
      <c r="I82" s="61" t="b">
        <v>0</v>
      </c>
    </row>
    <row r="83" spans="2:9" x14ac:dyDescent="0.5">
      <c r="B83" s="8" t="s">
        <v>120</v>
      </c>
      <c r="C83" s="29" t="s">
        <v>102</v>
      </c>
      <c r="D83" s="29" t="s">
        <v>103</v>
      </c>
      <c r="E83" s="51" t="s">
        <v>119</v>
      </c>
      <c r="F83" s="60" t="s">
        <v>229</v>
      </c>
      <c r="G83" s="60">
        <v>0.3</v>
      </c>
      <c r="H83" s="60" t="s">
        <v>215</v>
      </c>
      <c r="I83" s="61" t="b">
        <v>0</v>
      </c>
    </row>
    <row r="84" spans="2:9" x14ac:dyDescent="0.5">
      <c r="B84" s="8" t="s">
        <v>121</v>
      </c>
      <c r="C84" s="29" t="s">
        <v>102</v>
      </c>
      <c r="D84" s="29" t="s">
        <v>103</v>
      </c>
      <c r="E84" s="51" t="s">
        <v>119</v>
      </c>
      <c r="F84" s="60" t="s">
        <v>229</v>
      </c>
      <c r="G84" s="60">
        <v>0.3</v>
      </c>
      <c r="H84" s="60" t="s">
        <v>215</v>
      </c>
      <c r="I84" s="61" t="b">
        <v>0</v>
      </c>
    </row>
    <row r="85" spans="2:9" x14ac:dyDescent="0.5">
      <c r="B85" s="8" t="s">
        <v>122</v>
      </c>
      <c r="C85" s="29" t="s">
        <v>102</v>
      </c>
      <c r="D85" s="29" t="s">
        <v>103</v>
      </c>
      <c r="E85" s="51" t="s">
        <v>119</v>
      </c>
      <c r="F85" s="60" t="s">
        <v>229</v>
      </c>
      <c r="G85" s="60">
        <v>0.3</v>
      </c>
      <c r="H85" s="60" t="s">
        <v>215</v>
      </c>
      <c r="I85" s="61" t="b">
        <v>0</v>
      </c>
    </row>
    <row r="86" spans="2:9" x14ac:dyDescent="0.5">
      <c r="B86" s="8" t="s">
        <v>123</v>
      </c>
      <c r="C86" s="29" t="s">
        <v>102</v>
      </c>
      <c r="D86" s="29" t="s">
        <v>103</v>
      </c>
      <c r="E86" s="51" t="s">
        <v>119</v>
      </c>
      <c r="F86" s="60" t="s">
        <v>229</v>
      </c>
      <c r="G86" s="60">
        <v>0.3</v>
      </c>
      <c r="H86" s="60" t="s">
        <v>215</v>
      </c>
      <c r="I86" s="61" t="b">
        <v>0</v>
      </c>
    </row>
    <row r="87" spans="2:9" x14ac:dyDescent="0.5">
      <c r="B87" s="8" t="s">
        <v>124</v>
      </c>
      <c r="C87" s="29" t="s">
        <v>102</v>
      </c>
      <c r="D87" s="29" t="s">
        <v>103</v>
      </c>
      <c r="E87" s="51" t="s">
        <v>124</v>
      </c>
      <c r="F87" s="60" t="s">
        <v>297</v>
      </c>
      <c r="G87" s="60"/>
      <c r="H87" s="60" t="s">
        <v>236</v>
      </c>
      <c r="I87" s="61" t="b">
        <v>0</v>
      </c>
    </row>
    <row r="88" spans="2:9" x14ac:dyDescent="0.5">
      <c r="B88" s="8" t="s">
        <v>125</v>
      </c>
      <c r="C88" s="29" t="s">
        <v>102</v>
      </c>
      <c r="D88" s="29" t="s">
        <v>103</v>
      </c>
      <c r="E88" s="51" t="s">
        <v>125</v>
      </c>
      <c r="F88" s="60" t="s">
        <v>297</v>
      </c>
      <c r="G88" s="60"/>
      <c r="H88" s="60" t="s">
        <v>215</v>
      </c>
      <c r="I88" s="61" t="b">
        <v>1</v>
      </c>
    </row>
    <row r="89" spans="2:9" x14ac:dyDescent="0.5">
      <c r="B89" s="8" t="s">
        <v>126</v>
      </c>
      <c r="C89" s="29" t="s">
        <v>102</v>
      </c>
      <c r="D89" s="29" t="s">
        <v>103</v>
      </c>
      <c r="E89" s="51" t="s">
        <v>127</v>
      </c>
      <c r="F89" s="60" t="s">
        <v>229</v>
      </c>
      <c r="G89" s="60">
        <v>0.25</v>
      </c>
      <c r="H89" s="60" t="s">
        <v>215</v>
      </c>
      <c r="I89" s="61" t="b">
        <v>1</v>
      </c>
    </row>
    <row r="90" spans="2:9" x14ac:dyDescent="0.5">
      <c r="B90" s="8" t="s">
        <v>128</v>
      </c>
      <c r="C90" s="29" t="s">
        <v>102</v>
      </c>
      <c r="D90" s="29" t="s">
        <v>103</v>
      </c>
      <c r="E90" s="51" t="s">
        <v>127</v>
      </c>
      <c r="F90" s="60" t="s">
        <v>229</v>
      </c>
      <c r="G90" s="60">
        <v>0.25</v>
      </c>
      <c r="H90" s="60" t="s">
        <v>215</v>
      </c>
      <c r="I90" s="61" t="b">
        <v>1</v>
      </c>
    </row>
    <row r="91" spans="2:9" x14ac:dyDescent="0.5">
      <c r="B91" s="8" t="s">
        <v>129</v>
      </c>
      <c r="C91" s="29" t="s">
        <v>102</v>
      </c>
      <c r="D91" s="29" t="s">
        <v>103</v>
      </c>
      <c r="E91" s="51" t="s">
        <v>127</v>
      </c>
      <c r="F91" s="60" t="s">
        <v>229</v>
      </c>
      <c r="G91" s="60">
        <v>0.25</v>
      </c>
      <c r="H91" s="60" t="s">
        <v>247</v>
      </c>
      <c r="I91" s="61" t="b">
        <v>1</v>
      </c>
    </row>
    <row r="92" spans="2:9" x14ac:dyDescent="0.5">
      <c r="B92" s="8" t="s">
        <v>130</v>
      </c>
      <c r="C92" s="29" t="s">
        <v>102</v>
      </c>
      <c r="D92" s="29" t="s">
        <v>103</v>
      </c>
      <c r="E92" s="51" t="s">
        <v>127</v>
      </c>
      <c r="F92" s="60" t="s">
        <v>229</v>
      </c>
      <c r="G92" s="60">
        <v>0.25</v>
      </c>
      <c r="H92" s="60" t="s">
        <v>247</v>
      </c>
      <c r="I92" s="61" t="b">
        <v>1</v>
      </c>
    </row>
    <row r="93" spans="2:9" x14ac:dyDescent="0.5">
      <c r="B93" s="8" t="s">
        <v>131</v>
      </c>
      <c r="C93" s="29" t="s">
        <v>102</v>
      </c>
      <c r="D93" s="29" t="s">
        <v>103</v>
      </c>
      <c r="E93" s="51" t="s">
        <v>127</v>
      </c>
      <c r="F93" s="60" t="s">
        <v>229</v>
      </c>
      <c r="G93" s="60">
        <v>0.25</v>
      </c>
      <c r="H93" s="60" t="s">
        <v>247</v>
      </c>
      <c r="I93" s="61" t="b">
        <v>1</v>
      </c>
    </row>
    <row r="94" spans="2:9" x14ac:dyDescent="0.5">
      <c r="B94" s="8" t="s">
        <v>132</v>
      </c>
      <c r="C94" s="29" t="s">
        <v>102</v>
      </c>
      <c r="D94" s="29" t="s">
        <v>103</v>
      </c>
      <c r="E94" s="51" t="s">
        <v>127</v>
      </c>
      <c r="F94" s="60" t="s">
        <v>229</v>
      </c>
      <c r="G94" s="60">
        <v>0.25</v>
      </c>
      <c r="H94" s="60" t="s">
        <v>215</v>
      </c>
      <c r="I94" s="61" t="b">
        <v>1</v>
      </c>
    </row>
    <row r="95" spans="2:9" x14ac:dyDescent="0.5">
      <c r="B95" s="8" t="s">
        <v>133</v>
      </c>
      <c r="C95" s="29" t="s">
        <v>102</v>
      </c>
      <c r="D95" s="29" t="s">
        <v>103</v>
      </c>
      <c r="E95" s="51" t="s">
        <v>127</v>
      </c>
      <c r="F95" s="60" t="s">
        <v>229</v>
      </c>
      <c r="G95" s="60">
        <v>0.25</v>
      </c>
      <c r="H95" s="60" t="s">
        <v>247</v>
      </c>
      <c r="I95" s="61" t="b">
        <v>1</v>
      </c>
    </row>
    <row r="96" spans="2:9" x14ac:dyDescent="0.5">
      <c r="B96" s="8" t="s">
        <v>134</v>
      </c>
      <c r="C96" s="29" t="s">
        <v>102</v>
      </c>
      <c r="D96" s="29" t="s">
        <v>103</v>
      </c>
      <c r="E96" s="51" t="s">
        <v>127</v>
      </c>
      <c r="F96" s="60" t="s">
        <v>229</v>
      </c>
      <c r="G96" s="60">
        <v>0.25</v>
      </c>
      <c r="H96" s="60" t="s">
        <v>247</v>
      </c>
      <c r="I96" s="61" t="b">
        <v>1</v>
      </c>
    </row>
    <row r="97" spans="1:9" x14ac:dyDescent="0.5">
      <c r="B97" s="8" t="s">
        <v>135</v>
      </c>
      <c r="C97" s="29" t="s">
        <v>102</v>
      </c>
      <c r="D97" s="29" t="s">
        <v>103</v>
      </c>
      <c r="E97" s="51" t="s">
        <v>127</v>
      </c>
      <c r="F97" s="60" t="s">
        <v>229</v>
      </c>
      <c r="G97" s="60">
        <v>0.25</v>
      </c>
      <c r="H97" s="60" t="s">
        <v>247</v>
      </c>
      <c r="I97" s="61" t="b">
        <v>1</v>
      </c>
    </row>
    <row r="98" spans="1:9" x14ac:dyDescent="0.5">
      <c r="B98" s="8" t="s">
        <v>136</v>
      </c>
      <c r="C98" s="29" t="s">
        <v>102</v>
      </c>
      <c r="D98" s="29" t="s">
        <v>103</v>
      </c>
      <c r="E98" s="51" t="s">
        <v>127</v>
      </c>
      <c r="F98" s="60" t="s">
        <v>229</v>
      </c>
      <c r="G98" s="60">
        <v>0.25</v>
      </c>
      <c r="H98" s="60" t="s">
        <v>247</v>
      </c>
      <c r="I98" s="61" t="b">
        <v>1</v>
      </c>
    </row>
    <row r="99" spans="1:9" x14ac:dyDescent="0.5">
      <c r="B99" s="8" t="s">
        <v>137</v>
      </c>
      <c r="C99" s="29" t="s">
        <v>102</v>
      </c>
      <c r="D99" s="29" t="s">
        <v>103</v>
      </c>
      <c r="E99" s="51" t="s">
        <v>127</v>
      </c>
      <c r="F99" s="60" t="s">
        <v>229</v>
      </c>
      <c r="G99" s="60">
        <v>0.25</v>
      </c>
      <c r="H99" s="60" t="s">
        <v>247</v>
      </c>
      <c r="I99" s="61" t="b">
        <v>1</v>
      </c>
    </row>
    <row r="100" spans="1:9" x14ac:dyDescent="0.5">
      <c r="B100" s="8" t="s">
        <v>138</v>
      </c>
      <c r="C100" s="29" t="s">
        <v>102</v>
      </c>
      <c r="D100" s="29" t="s">
        <v>103</v>
      </c>
      <c r="E100" s="51" t="s">
        <v>127</v>
      </c>
      <c r="F100" s="60" t="s">
        <v>229</v>
      </c>
      <c r="G100" s="60">
        <v>0.25</v>
      </c>
      <c r="H100" s="60" t="s">
        <v>247</v>
      </c>
      <c r="I100" s="61" t="b">
        <v>1</v>
      </c>
    </row>
    <row r="101" spans="1:9" x14ac:dyDescent="0.5">
      <c r="B101" s="8" t="s">
        <v>139</v>
      </c>
      <c r="C101" s="29" t="s">
        <v>102</v>
      </c>
      <c r="D101" s="29" t="s">
        <v>103</v>
      </c>
      <c r="E101" s="51" t="s">
        <v>127</v>
      </c>
      <c r="F101" s="60" t="s">
        <v>229</v>
      </c>
      <c r="G101" s="60">
        <v>0.25</v>
      </c>
      <c r="H101" s="60" t="s">
        <v>250</v>
      </c>
      <c r="I101" s="61" t="b">
        <v>1</v>
      </c>
    </row>
    <row r="102" spans="1:9" x14ac:dyDescent="0.5">
      <c r="B102" s="8" t="s">
        <v>140</v>
      </c>
      <c r="C102" s="29" t="s">
        <v>102</v>
      </c>
      <c r="D102" s="29" t="s">
        <v>103</v>
      </c>
      <c r="E102" s="51" t="s">
        <v>127</v>
      </c>
      <c r="F102" s="60" t="s">
        <v>229</v>
      </c>
      <c r="G102" s="60">
        <v>0.25</v>
      </c>
      <c r="H102" s="60" t="s">
        <v>247</v>
      </c>
      <c r="I102" s="61" t="b">
        <v>1</v>
      </c>
    </row>
    <row r="103" spans="1:9" x14ac:dyDescent="0.5">
      <c r="B103" s="8" t="s">
        <v>141</v>
      </c>
      <c r="C103" s="29" t="s">
        <v>102</v>
      </c>
      <c r="D103" s="29" t="s">
        <v>103</v>
      </c>
      <c r="E103" s="51" t="s">
        <v>127</v>
      </c>
      <c r="F103" s="60" t="s">
        <v>229</v>
      </c>
      <c r="G103" s="60">
        <v>0.25</v>
      </c>
      <c r="H103" s="60" t="s">
        <v>215</v>
      </c>
      <c r="I103" s="61" t="b">
        <v>1</v>
      </c>
    </row>
    <row r="104" spans="1:9" x14ac:dyDescent="0.5">
      <c r="B104" s="8" t="s">
        <v>142</v>
      </c>
      <c r="C104" s="29" t="s">
        <v>102</v>
      </c>
      <c r="D104" s="29" t="s">
        <v>103</v>
      </c>
      <c r="E104" s="51" t="s">
        <v>127</v>
      </c>
      <c r="F104" s="60" t="s">
        <v>229</v>
      </c>
      <c r="G104" s="60">
        <v>0.25</v>
      </c>
      <c r="H104" s="60" t="s">
        <v>215</v>
      </c>
      <c r="I104" s="61" t="b">
        <v>1</v>
      </c>
    </row>
    <row r="105" spans="1:9" x14ac:dyDescent="0.5">
      <c r="E105" s="49"/>
    </row>
    <row r="106" spans="1:9" ht="19" thickBot="1" x14ac:dyDescent="0.55000000000000004">
      <c r="A106" s="14" t="s">
        <v>193</v>
      </c>
      <c r="E106" s="49"/>
    </row>
    <row r="107" spans="1:9" ht="17" thickTop="1" x14ac:dyDescent="0.5">
      <c r="E107" s="49"/>
    </row>
    <row r="108" spans="1:9" ht="17" thickBot="1" x14ac:dyDescent="0.55000000000000004">
      <c r="B108" s="27" t="s">
        <v>306</v>
      </c>
      <c r="C108" s="27" t="s">
        <v>96</v>
      </c>
      <c r="D108" s="27" t="s">
        <v>97</v>
      </c>
      <c r="E108" s="50" t="s">
        <v>144</v>
      </c>
      <c r="F108" s="66" t="s">
        <v>303</v>
      </c>
      <c r="G108" s="66" t="s">
        <v>304</v>
      </c>
      <c r="H108" s="66" t="s">
        <v>70</v>
      </c>
      <c r="I108" s="68" t="s">
        <v>145</v>
      </c>
    </row>
    <row r="109" spans="1:9" x14ac:dyDescent="0.5">
      <c r="B109" s="8" t="s">
        <v>146</v>
      </c>
      <c r="C109" s="29" t="s">
        <v>102</v>
      </c>
      <c r="D109" s="29" t="s">
        <v>103</v>
      </c>
      <c r="E109" s="51" t="s">
        <v>147</v>
      </c>
      <c r="F109" s="60" t="s">
        <v>229</v>
      </c>
      <c r="G109" s="60">
        <v>1</v>
      </c>
      <c r="H109" s="60" t="s">
        <v>215</v>
      </c>
      <c r="I109" s="88"/>
    </row>
    <row r="110" spans="1:9" x14ac:dyDescent="0.5">
      <c r="B110" s="8" t="s">
        <v>148</v>
      </c>
      <c r="C110" s="29" t="s">
        <v>102</v>
      </c>
      <c r="D110" s="29" t="s">
        <v>103</v>
      </c>
      <c r="E110" s="51" t="s">
        <v>147</v>
      </c>
      <c r="F110" s="60" t="s">
        <v>229</v>
      </c>
      <c r="G110" s="60">
        <v>1</v>
      </c>
      <c r="H110" s="60" t="s">
        <v>215</v>
      </c>
      <c r="I110" s="88"/>
    </row>
    <row r="111" spans="1:9" x14ac:dyDescent="0.5">
      <c r="B111" s="8" t="s">
        <v>149</v>
      </c>
      <c r="C111" s="29" t="s">
        <v>102</v>
      </c>
      <c r="D111" s="29" t="s">
        <v>103</v>
      </c>
      <c r="E111" s="51" t="s">
        <v>147</v>
      </c>
      <c r="F111" s="60" t="s">
        <v>229</v>
      </c>
      <c r="G111" s="60">
        <v>1</v>
      </c>
      <c r="H111" s="60" t="s">
        <v>215</v>
      </c>
      <c r="I111" s="88"/>
    </row>
    <row r="112" spans="1:9" x14ac:dyDescent="0.5">
      <c r="B112" s="8" t="s">
        <v>150</v>
      </c>
      <c r="C112" s="29" t="s">
        <v>102</v>
      </c>
      <c r="D112" s="29" t="s">
        <v>103</v>
      </c>
      <c r="E112" s="51" t="s">
        <v>147</v>
      </c>
      <c r="F112" s="60" t="s">
        <v>229</v>
      </c>
      <c r="G112" s="60">
        <v>1</v>
      </c>
      <c r="H112" s="60" t="s">
        <v>215</v>
      </c>
      <c r="I112" s="88"/>
    </row>
    <row r="113" spans="2:9" x14ac:dyDescent="0.5">
      <c r="B113" s="8" t="s">
        <v>151</v>
      </c>
      <c r="C113" s="29" t="s">
        <v>102</v>
      </c>
      <c r="D113" s="29" t="s">
        <v>103</v>
      </c>
      <c r="E113" s="51" t="s">
        <v>147</v>
      </c>
      <c r="F113" s="60" t="s">
        <v>229</v>
      </c>
      <c r="G113" s="60">
        <v>1</v>
      </c>
      <c r="H113" s="60" t="s">
        <v>215</v>
      </c>
      <c r="I113" s="88"/>
    </row>
    <row r="114" spans="2:9" x14ac:dyDescent="0.5">
      <c r="B114" s="8" t="s">
        <v>152</v>
      </c>
      <c r="C114" s="29" t="s">
        <v>102</v>
      </c>
      <c r="D114" s="29" t="s">
        <v>103</v>
      </c>
      <c r="E114" s="51" t="s">
        <v>147</v>
      </c>
      <c r="F114" s="60" t="s">
        <v>229</v>
      </c>
      <c r="G114" s="60">
        <v>1</v>
      </c>
      <c r="H114" s="60" t="s">
        <v>215</v>
      </c>
      <c r="I114" s="88"/>
    </row>
    <row r="115" spans="2:9" x14ac:dyDescent="0.5">
      <c r="B115" s="8" t="s">
        <v>153</v>
      </c>
      <c r="C115" s="29" t="s">
        <v>102</v>
      </c>
      <c r="D115" s="29" t="s">
        <v>103</v>
      </c>
      <c r="E115" s="51" t="s">
        <v>147</v>
      </c>
      <c r="F115" s="60" t="s">
        <v>229</v>
      </c>
      <c r="G115" s="60">
        <v>1</v>
      </c>
      <c r="H115" s="60" t="s">
        <v>215</v>
      </c>
      <c r="I115" s="88"/>
    </row>
    <row r="116" spans="2:9" x14ac:dyDescent="0.5">
      <c r="B116" s="8" t="s">
        <v>154</v>
      </c>
      <c r="C116" s="29" t="s">
        <v>102</v>
      </c>
      <c r="D116" s="29" t="s">
        <v>103</v>
      </c>
      <c r="E116" s="51" t="s">
        <v>147</v>
      </c>
      <c r="F116" s="60" t="s">
        <v>229</v>
      </c>
      <c r="G116" s="60">
        <v>1</v>
      </c>
      <c r="H116" s="60" t="s">
        <v>215</v>
      </c>
      <c r="I116" s="88"/>
    </row>
    <row r="117" spans="2:9" x14ac:dyDescent="0.5">
      <c r="B117" s="8" t="s">
        <v>155</v>
      </c>
      <c r="C117" s="29" t="s">
        <v>102</v>
      </c>
      <c r="D117" s="29" t="s">
        <v>103</v>
      </c>
      <c r="E117" s="51" t="s">
        <v>147</v>
      </c>
      <c r="F117" s="60" t="s">
        <v>229</v>
      </c>
      <c r="G117" s="60">
        <v>1</v>
      </c>
      <c r="H117" s="60" t="s">
        <v>215</v>
      </c>
      <c r="I117" s="88"/>
    </row>
    <row r="118" spans="2:9" x14ac:dyDescent="0.5">
      <c r="B118" s="8" t="s">
        <v>156</v>
      </c>
      <c r="C118" s="29" t="s">
        <v>102</v>
      </c>
      <c r="D118" s="29" t="s">
        <v>103</v>
      </c>
      <c r="E118" s="51" t="s">
        <v>147</v>
      </c>
      <c r="F118" s="60" t="s">
        <v>229</v>
      </c>
      <c r="G118" s="60">
        <v>1</v>
      </c>
      <c r="H118" s="60" t="s">
        <v>215</v>
      </c>
      <c r="I118" s="88"/>
    </row>
    <row r="119" spans="2:9" x14ac:dyDescent="0.5">
      <c r="B119" s="8" t="s">
        <v>157</v>
      </c>
      <c r="C119" s="29" t="s">
        <v>102</v>
      </c>
      <c r="D119" s="29" t="s">
        <v>103</v>
      </c>
      <c r="E119" s="51" t="s">
        <v>147</v>
      </c>
      <c r="F119" s="60" t="s">
        <v>229</v>
      </c>
      <c r="G119" s="60">
        <v>1</v>
      </c>
      <c r="H119" s="60" t="s">
        <v>215</v>
      </c>
      <c r="I119" s="88"/>
    </row>
    <row r="120" spans="2:9" x14ac:dyDescent="0.5">
      <c r="B120" s="8" t="s">
        <v>158</v>
      </c>
      <c r="C120" s="29" t="s">
        <v>102</v>
      </c>
      <c r="D120" s="29" t="s">
        <v>103</v>
      </c>
      <c r="E120" s="51" t="s">
        <v>147</v>
      </c>
      <c r="F120" s="60" t="s">
        <v>307</v>
      </c>
      <c r="G120" s="60">
        <v>1</v>
      </c>
      <c r="H120" s="60" t="s">
        <v>215</v>
      </c>
      <c r="I120" s="60"/>
    </row>
    <row r="121" spans="2:9" x14ac:dyDescent="0.5">
      <c r="B121" s="8" t="s">
        <v>159</v>
      </c>
      <c r="C121" s="29" t="s">
        <v>102</v>
      </c>
      <c r="D121" s="29" t="s">
        <v>103</v>
      </c>
      <c r="E121" s="51" t="s">
        <v>147</v>
      </c>
      <c r="F121" s="60" t="s">
        <v>229</v>
      </c>
      <c r="G121" s="60">
        <v>1</v>
      </c>
      <c r="H121" s="60" t="s">
        <v>215</v>
      </c>
      <c r="I121" s="88"/>
    </row>
    <row r="122" spans="2:9" x14ac:dyDescent="0.5">
      <c r="B122" s="53" t="s">
        <v>160</v>
      </c>
      <c r="C122" s="29" t="s">
        <v>102</v>
      </c>
      <c r="D122" s="29" t="s">
        <v>103</v>
      </c>
      <c r="E122" s="51" t="s">
        <v>147</v>
      </c>
      <c r="F122" s="60" t="s">
        <v>229</v>
      </c>
      <c r="G122" s="60">
        <v>1</v>
      </c>
      <c r="H122" s="60" t="s">
        <v>215</v>
      </c>
      <c r="I122" s="88"/>
    </row>
    <row r="123" spans="2:9" x14ac:dyDescent="0.5">
      <c r="B123" s="53" t="s">
        <v>161</v>
      </c>
      <c r="C123" s="29" t="s">
        <v>102</v>
      </c>
      <c r="D123" s="29" t="s">
        <v>103</v>
      </c>
      <c r="E123" s="51" t="s">
        <v>147</v>
      </c>
      <c r="F123" s="60" t="s">
        <v>308</v>
      </c>
      <c r="G123" s="60"/>
      <c r="H123" s="60" t="s">
        <v>256</v>
      </c>
      <c r="I123" s="60"/>
    </row>
    <row r="124" spans="2:9" x14ac:dyDescent="0.5">
      <c r="B124" s="53" t="s">
        <v>161</v>
      </c>
      <c r="C124" s="29" t="s">
        <v>102</v>
      </c>
      <c r="D124" s="29" t="s">
        <v>103</v>
      </c>
      <c r="E124" s="51" t="s">
        <v>147</v>
      </c>
      <c r="F124" s="60" t="s">
        <v>308</v>
      </c>
      <c r="G124" s="60"/>
      <c r="H124" s="60" t="s">
        <v>256</v>
      </c>
      <c r="I124" s="60"/>
    </row>
    <row r="125" spans="2:9" x14ac:dyDescent="0.5">
      <c r="B125" s="8" t="s">
        <v>163</v>
      </c>
      <c r="C125" s="29" t="s">
        <v>102</v>
      </c>
      <c r="D125" s="29" t="s">
        <v>103</v>
      </c>
      <c r="E125" s="51" t="s">
        <v>162</v>
      </c>
      <c r="F125" s="67" t="s">
        <v>277</v>
      </c>
      <c r="G125" s="60">
        <v>1</v>
      </c>
      <c r="H125" s="60" t="s">
        <v>215</v>
      </c>
      <c r="I125" s="88">
        <v>0.01</v>
      </c>
    </row>
    <row r="126" spans="2:9" x14ac:dyDescent="0.5">
      <c r="B126" s="8" t="s">
        <v>164</v>
      </c>
      <c r="C126" s="29" t="s">
        <v>102</v>
      </c>
      <c r="D126" s="29" t="s">
        <v>103</v>
      </c>
      <c r="E126" s="51" t="s">
        <v>162</v>
      </c>
      <c r="F126" s="67" t="s">
        <v>277</v>
      </c>
      <c r="G126" s="60">
        <v>1</v>
      </c>
      <c r="H126" s="60" t="s">
        <v>215</v>
      </c>
      <c r="I126" s="88">
        <v>0.01</v>
      </c>
    </row>
    <row r="127" spans="2:9" x14ac:dyDescent="0.5">
      <c r="B127" s="53" t="s">
        <v>165</v>
      </c>
      <c r="C127" s="29" t="s">
        <v>102</v>
      </c>
      <c r="D127" s="29" t="s">
        <v>103</v>
      </c>
      <c r="E127" s="51" t="s">
        <v>162</v>
      </c>
      <c r="F127" s="67" t="s">
        <v>277</v>
      </c>
      <c r="G127" s="60">
        <v>1</v>
      </c>
      <c r="H127" s="60" t="s">
        <v>215</v>
      </c>
      <c r="I127" s="88">
        <v>0.01</v>
      </c>
    </row>
    <row r="128" spans="2:9" x14ac:dyDescent="0.5">
      <c r="B128" s="53" t="s">
        <v>161</v>
      </c>
      <c r="C128" s="29" t="s">
        <v>102</v>
      </c>
      <c r="D128" s="29" t="s">
        <v>103</v>
      </c>
      <c r="E128" s="51" t="s">
        <v>162</v>
      </c>
      <c r="F128" s="60" t="s">
        <v>308</v>
      </c>
      <c r="G128" s="60"/>
      <c r="H128" s="60" t="s">
        <v>256</v>
      </c>
      <c r="I128" s="60"/>
    </row>
    <row r="129" spans="2:9" x14ac:dyDescent="0.5">
      <c r="B129" s="8" t="s">
        <v>166</v>
      </c>
      <c r="C129" s="29" t="s">
        <v>102</v>
      </c>
      <c r="D129" s="29" t="s">
        <v>103</v>
      </c>
      <c r="E129" s="51" t="s">
        <v>166</v>
      </c>
      <c r="F129" s="202"/>
      <c r="G129" s="202"/>
      <c r="H129" s="202"/>
      <c r="I129" s="203"/>
    </row>
    <row r="130" spans="2:9" x14ac:dyDescent="0.5">
      <c r="B130" s="8" t="s">
        <v>167</v>
      </c>
      <c r="C130" s="29" t="s">
        <v>102</v>
      </c>
      <c r="D130" s="29" t="s">
        <v>103</v>
      </c>
      <c r="E130" s="51" t="s">
        <v>168</v>
      </c>
      <c r="F130" s="60" t="s">
        <v>229</v>
      </c>
      <c r="G130" s="60">
        <v>0.6</v>
      </c>
      <c r="H130" s="60" t="s">
        <v>215</v>
      </c>
      <c r="I130" s="88">
        <v>0.01</v>
      </c>
    </row>
    <row r="131" spans="2:9" x14ac:dyDescent="0.5">
      <c r="B131" s="8" t="s">
        <v>169</v>
      </c>
      <c r="C131" s="29" t="s">
        <v>102</v>
      </c>
      <c r="D131" s="29" t="s">
        <v>103</v>
      </c>
      <c r="E131" s="51" t="s">
        <v>168</v>
      </c>
      <c r="F131" s="60" t="s">
        <v>229</v>
      </c>
      <c r="G131" s="60">
        <v>0.6</v>
      </c>
      <c r="H131" s="60" t="s">
        <v>215</v>
      </c>
      <c r="I131" s="88">
        <v>0.01</v>
      </c>
    </row>
    <row r="132" spans="2:9" x14ac:dyDescent="0.5">
      <c r="B132" s="8" t="s">
        <v>170</v>
      </c>
      <c r="C132" s="29" t="s">
        <v>102</v>
      </c>
      <c r="D132" s="29" t="s">
        <v>103</v>
      </c>
      <c r="E132" s="51" t="s">
        <v>168</v>
      </c>
      <c r="F132" s="60" t="s">
        <v>229</v>
      </c>
      <c r="G132" s="60">
        <v>0.6</v>
      </c>
      <c r="H132" s="60" t="s">
        <v>215</v>
      </c>
      <c r="I132" s="88">
        <v>0.01</v>
      </c>
    </row>
    <row r="133" spans="2:9" x14ac:dyDescent="0.5">
      <c r="B133" s="8" t="s">
        <v>171</v>
      </c>
      <c r="C133" s="29" t="s">
        <v>102</v>
      </c>
      <c r="D133" s="29" t="s">
        <v>103</v>
      </c>
      <c r="E133" s="51" t="s">
        <v>172</v>
      </c>
      <c r="F133" s="60" t="s">
        <v>308</v>
      </c>
      <c r="G133" s="60"/>
      <c r="H133" s="60" t="s">
        <v>236</v>
      </c>
      <c r="I133" s="60"/>
    </row>
    <row r="134" spans="2:9" x14ac:dyDescent="0.5">
      <c r="B134" s="8" t="s">
        <v>173</v>
      </c>
      <c r="C134" s="29" t="s">
        <v>102</v>
      </c>
      <c r="D134" s="29" t="s">
        <v>103</v>
      </c>
      <c r="E134" s="51" t="s">
        <v>172</v>
      </c>
      <c r="F134" s="60" t="s">
        <v>268</v>
      </c>
      <c r="G134" s="60">
        <v>1</v>
      </c>
      <c r="H134" s="60" t="s">
        <v>215</v>
      </c>
      <c r="I134" s="60"/>
    </row>
    <row r="135" spans="2:9" x14ac:dyDescent="0.5">
      <c r="B135" s="8" t="s">
        <v>174</v>
      </c>
      <c r="C135" s="29" t="s">
        <v>102</v>
      </c>
      <c r="D135" s="29" t="s">
        <v>103</v>
      </c>
      <c r="E135" s="51" t="s">
        <v>172</v>
      </c>
      <c r="F135" s="60" t="s">
        <v>308</v>
      </c>
      <c r="G135" s="60"/>
      <c r="H135" s="60" t="s">
        <v>236</v>
      </c>
      <c r="I135" s="60"/>
    </row>
    <row r="136" spans="2:9" x14ac:dyDescent="0.5">
      <c r="B136" s="53" t="s">
        <v>161</v>
      </c>
      <c r="C136" s="29" t="s">
        <v>102</v>
      </c>
      <c r="D136" s="29" t="s">
        <v>103</v>
      </c>
      <c r="E136" s="51" t="s">
        <v>172</v>
      </c>
      <c r="F136" s="60" t="s">
        <v>308</v>
      </c>
      <c r="G136" s="60"/>
      <c r="H136" s="60" t="s">
        <v>256</v>
      </c>
      <c r="I136" s="60"/>
    </row>
    <row r="137" spans="2:9" x14ac:dyDescent="0.5">
      <c r="B137" s="53" t="s">
        <v>161</v>
      </c>
      <c r="C137" s="29" t="s">
        <v>102</v>
      </c>
      <c r="D137" s="29" t="s">
        <v>103</v>
      </c>
      <c r="E137" s="51" t="s">
        <v>172</v>
      </c>
      <c r="F137" s="60" t="s">
        <v>308</v>
      </c>
      <c r="G137" s="60"/>
      <c r="H137" s="60" t="s">
        <v>256</v>
      </c>
      <c r="I137" s="60"/>
    </row>
    <row r="138" spans="2:9" x14ac:dyDescent="0.5">
      <c r="B138" s="53" t="s">
        <v>161</v>
      </c>
      <c r="C138" s="29" t="s">
        <v>102</v>
      </c>
      <c r="D138" s="29" t="s">
        <v>103</v>
      </c>
      <c r="E138" s="51" t="s">
        <v>172</v>
      </c>
      <c r="F138" s="60" t="s">
        <v>308</v>
      </c>
      <c r="G138" s="60"/>
      <c r="H138" s="60" t="s">
        <v>256</v>
      </c>
      <c r="I138" s="60"/>
    </row>
    <row r="139" spans="2:9" x14ac:dyDescent="0.5">
      <c r="B139" s="8" t="s">
        <v>175</v>
      </c>
      <c r="C139" s="29" t="s">
        <v>102</v>
      </c>
      <c r="D139" s="29" t="s">
        <v>103</v>
      </c>
      <c r="E139" s="51" t="s">
        <v>176</v>
      </c>
      <c r="F139" s="18" t="s">
        <v>287</v>
      </c>
      <c r="G139" s="60">
        <v>0.5</v>
      </c>
      <c r="H139" s="60" t="s">
        <v>215</v>
      </c>
      <c r="I139" s="60"/>
    </row>
    <row r="140" spans="2:9" x14ac:dyDescent="0.5">
      <c r="B140" s="8" t="s">
        <v>177</v>
      </c>
      <c r="C140" s="29" t="s">
        <v>102</v>
      </c>
      <c r="D140" s="29" t="s">
        <v>103</v>
      </c>
      <c r="E140" s="51" t="s">
        <v>176</v>
      </c>
      <c r="F140" s="18" t="s">
        <v>287</v>
      </c>
      <c r="G140" s="60">
        <v>0.5</v>
      </c>
      <c r="H140" s="60" t="s">
        <v>215</v>
      </c>
      <c r="I140" s="60"/>
    </row>
    <row r="141" spans="2:9" x14ac:dyDescent="0.5">
      <c r="B141" s="8" t="s">
        <v>178</v>
      </c>
      <c r="C141" s="29" t="s">
        <v>102</v>
      </c>
      <c r="D141" s="29" t="s">
        <v>103</v>
      </c>
      <c r="E141" s="51" t="s">
        <v>176</v>
      </c>
      <c r="F141" s="18" t="s">
        <v>287</v>
      </c>
      <c r="G141" s="60">
        <v>0.5</v>
      </c>
      <c r="H141" s="60" t="s">
        <v>215</v>
      </c>
      <c r="I141" s="60"/>
    </row>
    <row r="142" spans="2:9" x14ac:dyDescent="0.5">
      <c r="B142" s="8" t="s">
        <v>179</v>
      </c>
      <c r="C142" s="29" t="s">
        <v>102</v>
      </c>
      <c r="D142" s="29" t="s">
        <v>103</v>
      </c>
      <c r="E142" s="51" t="s">
        <v>176</v>
      </c>
      <c r="F142" s="18" t="s">
        <v>287</v>
      </c>
      <c r="G142" s="60">
        <v>0.5</v>
      </c>
      <c r="H142" s="60" t="s">
        <v>215</v>
      </c>
      <c r="I142" s="60"/>
    </row>
    <row r="143" spans="2:9" x14ac:dyDescent="0.5">
      <c r="B143" s="53" t="s">
        <v>180</v>
      </c>
      <c r="C143" s="29" t="s">
        <v>102</v>
      </c>
      <c r="D143" s="29" t="s">
        <v>103</v>
      </c>
      <c r="E143" s="51" t="s">
        <v>176</v>
      </c>
      <c r="F143" s="18" t="s">
        <v>287</v>
      </c>
      <c r="G143" s="60">
        <v>0.5</v>
      </c>
      <c r="H143" s="60" t="s">
        <v>215</v>
      </c>
      <c r="I143" s="60"/>
    </row>
    <row r="144" spans="2:9" x14ac:dyDescent="0.5">
      <c r="B144" s="53" t="s">
        <v>181</v>
      </c>
      <c r="C144" s="29" t="s">
        <v>102</v>
      </c>
      <c r="D144" s="29" t="s">
        <v>103</v>
      </c>
      <c r="E144" s="51" t="s">
        <v>176</v>
      </c>
      <c r="F144" s="18" t="s">
        <v>287</v>
      </c>
      <c r="G144" s="60">
        <v>0.5</v>
      </c>
      <c r="H144" s="60" t="s">
        <v>215</v>
      </c>
      <c r="I144" s="60"/>
    </row>
    <row r="145" spans="2:9" x14ac:dyDescent="0.5">
      <c r="B145" s="53" t="s">
        <v>161</v>
      </c>
      <c r="C145" s="29" t="s">
        <v>102</v>
      </c>
      <c r="D145" s="29" t="s">
        <v>103</v>
      </c>
      <c r="E145" s="51" t="s">
        <v>176</v>
      </c>
      <c r="F145" s="60" t="s">
        <v>308</v>
      </c>
      <c r="G145" s="60"/>
      <c r="H145" s="60" t="s">
        <v>256</v>
      </c>
      <c r="I145" s="60"/>
    </row>
    <row r="146" spans="2:9" x14ac:dyDescent="0.5">
      <c r="B146" s="53" t="s">
        <v>161</v>
      </c>
      <c r="C146" s="29" t="s">
        <v>102</v>
      </c>
      <c r="D146" s="29" t="s">
        <v>103</v>
      </c>
      <c r="E146" s="51" t="s">
        <v>176</v>
      </c>
      <c r="F146" s="60" t="s">
        <v>308</v>
      </c>
      <c r="G146" s="60"/>
      <c r="H146" s="60" t="s">
        <v>256</v>
      </c>
      <c r="I146" s="60"/>
    </row>
    <row r="147" spans="2:9" x14ac:dyDescent="0.5">
      <c r="B147" s="53" t="s">
        <v>161</v>
      </c>
      <c r="C147" s="29" t="s">
        <v>102</v>
      </c>
      <c r="D147" s="29" t="s">
        <v>103</v>
      </c>
      <c r="E147" s="51" t="s">
        <v>176</v>
      </c>
      <c r="F147" s="60" t="s">
        <v>308</v>
      </c>
      <c r="G147" s="60"/>
      <c r="H147" s="60" t="s">
        <v>256</v>
      </c>
      <c r="I147" s="60"/>
    </row>
    <row r="148" spans="2:9" x14ac:dyDescent="0.5">
      <c r="B148" s="8" t="s">
        <v>182</v>
      </c>
      <c r="C148" s="29" t="s">
        <v>102</v>
      </c>
      <c r="D148" s="29" t="s">
        <v>103</v>
      </c>
      <c r="E148" s="51" t="s">
        <v>182</v>
      </c>
      <c r="F148" s="60" t="s">
        <v>308</v>
      </c>
      <c r="G148" s="60"/>
      <c r="H148" s="60" t="s">
        <v>256</v>
      </c>
      <c r="I148" s="60"/>
    </row>
    <row r="149" spans="2:9" x14ac:dyDescent="0.5">
      <c r="B149" s="8" t="s">
        <v>183</v>
      </c>
      <c r="C149" s="29" t="s">
        <v>102</v>
      </c>
      <c r="D149" s="29" t="s">
        <v>103</v>
      </c>
      <c r="E149" s="51" t="s">
        <v>184</v>
      </c>
      <c r="F149" s="60" t="s">
        <v>308</v>
      </c>
      <c r="G149" s="60"/>
      <c r="H149" s="60" t="s">
        <v>236</v>
      </c>
      <c r="I149" s="60"/>
    </row>
    <row r="150" spans="2:9" x14ac:dyDescent="0.5">
      <c r="B150" s="8" t="s">
        <v>185</v>
      </c>
      <c r="C150" s="29" t="s">
        <v>102</v>
      </c>
      <c r="D150" s="29" t="s">
        <v>103</v>
      </c>
      <c r="E150" s="51" t="s">
        <v>184</v>
      </c>
      <c r="F150" s="60" t="s">
        <v>308</v>
      </c>
      <c r="G150" s="60"/>
      <c r="H150" s="60" t="s">
        <v>236</v>
      </c>
      <c r="I150" s="60"/>
    </row>
    <row r="151" spans="2:9" x14ac:dyDescent="0.5">
      <c r="B151" s="8" t="s">
        <v>186</v>
      </c>
      <c r="C151" s="29" t="s">
        <v>102</v>
      </c>
      <c r="D151" s="29" t="s">
        <v>103</v>
      </c>
      <c r="E151" s="51" t="s">
        <v>184</v>
      </c>
      <c r="F151" s="60" t="s">
        <v>308</v>
      </c>
      <c r="G151" s="60"/>
      <c r="H151" s="60" t="s">
        <v>236</v>
      </c>
      <c r="I151" s="60"/>
    </row>
    <row r="152" spans="2:9" x14ac:dyDescent="0.5">
      <c r="B152" s="8" t="s">
        <v>161</v>
      </c>
      <c r="C152" s="29" t="s">
        <v>102</v>
      </c>
      <c r="D152" s="29" t="s">
        <v>103</v>
      </c>
      <c r="E152" s="51" t="s">
        <v>184</v>
      </c>
      <c r="F152" s="60" t="s">
        <v>308</v>
      </c>
      <c r="G152" s="60"/>
      <c r="H152" s="60" t="s">
        <v>256</v>
      </c>
      <c r="I152" s="60"/>
    </row>
    <row r="153" spans="2:9" x14ac:dyDescent="0.5">
      <c r="B153" s="53" t="s">
        <v>161</v>
      </c>
      <c r="C153" s="29" t="s">
        <v>102</v>
      </c>
      <c r="D153" s="29" t="s">
        <v>103</v>
      </c>
      <c r="E153" s="51" t="s">
        <v>184</v>
      </c>
      <c r="F153" s="60" t="s">
        <v>308</v>
      </c>
      <c r="G153" s="60"/>
      <c r="H153" s="60" t="s">
        <v>256</v>
      </c>
      <c r="I153" s="60"/>
    </row>
    <row r="154" spans="2:9" x14ac:dyDescent="0.5">
      <c r="B154" s="53" t="s">
        <v>161</v>
      </c>
      <c r="C154" s="29" t="s">
        <v>102</v>
      </c>
      <c r="D154" s="29" t="s">
        <v>103</v>
      </c>
      <c r="E154" s="51" t="s">
        <v>184</v>
      </c>
      <c r="F154" s="60" t="s">
        <v>308</v>
      </c>
      <c r="G154" s="60"/>
      <c r="H154" s="60" t="s">
        <v>256</v>
      </c>
      <c r="I154" s="60"/>
    </row>
    <row r="155" spans="2:9" x14ac:dyDescent="0.5">
      <c r="B155" s="53" t="s">
        <v>187</v>
      </c>
      <c r="C155" s="29" t="s">
        <v>102</v>
      </c>
      <c r="D155" s="29" t="s">
        <v>103</v>
      </c>
      <c r="E155" s="51" t="s">
        <v>187</v>
      </c>
      <c r="F155" s="202"/>
      <c r="G155" s="202"/>
      <c r="H155" s="202"/>
      <c r="I155" s="202"/>
    </row>
    <row r="156" spans="2:9" x14ac:dyDescent="0.5">
      <c r="B156" s="8" t="s">
        <v>161</v>
      </c>
      <c r="C156" s="29" t="s">
        <v>102</v>
      </c>
      <c r="D156" s="29" t="s">
        <v>103</v>
      </c>
      <c r="E156" s="51" t="s">
        <v>187</v>
      </c>
      <c r="F156" s="60" t="s">
        <v>308</v>
      </c>
      <c r="G156" s="60"/>
      <c r="H156" s="60" t="s">
        <v>256</v>
      </c>
      <c r="I156" s="60"/>
    </row>
    <row r="157" spans="2:9" x14ac:dyDescent="0.5">
      <c r="B157" s="53" t="s">
        <v>161</v>
      </c>
      <c r="C157" s="29" t="s">
        <v>102</v>
      </c>
      <c r="D157" s="29" t="s">
        <v>103</v>
      </c>
      <c r="E157" s="51" t="s">
        <v>187</v>
      </c>
      <c r="F157" s="60" t="s">
        <v>308</v>
      </c>
      <c r="G157" s="60"/>
      <c r="H157" s="60" t="s">
        <v>256</v>
      </c>
      <c r="I157" s="60"/>
    </row>
    <row r="158" spans="2:9" x14ac:dyDescent="0.5">
      <c r="B158" s="53" t="s">
        <v>161</v>
      </c>
      <c r="C158" s="29" t="s">
        <v>102</v>
      </c>
      <c r="D158" s="29" t="s">
        <v>103</v>
      </c>
      <c r="E158" s="51" t="s">
        <v>187</v>
      </c>
      <c r="F158" s="60" t="s">
        <v>308</v>
      </c>
      <c r="G158" s="60"/>
      <c r="H158" s="60" t="s">
        <v>256</v>
      </c>
      <c r="I158" s="60"/>
    </row>
  </sheetData>
  <dataValidations count="3">
    <dataValidation type="list" allowBlank="1" showInputMessage="1" showErrorMessage="1" sqref="C60" xr:uid="{E7CEEF6A-5BE9-40CB-8BDD-5AD06D5D2A9D}">
      <formula1>$G$12:$G$14</formula1>
    </dataValidation>
    <dataValidation type="list" allowBlank="1" showInputMessage="1" showErrorMessage="1" sqref="C58" xr:uid="{90846DAD-33F3-4710-8F3F-9CE921192E04}">
      <formula1>$G$6:$G$9</formula1>
    </dataValidation>
    <dataValidation type="list" allowBlank="1" showInputMessage="1" showErrorMessage="1" sqref="I70:I104 I129" xr:uid="{9D9B7A51-85B8-43D8-A812-CC6604AF3987}">
      <formula1>"TRUE, FALSE"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72F74-387F-42DA-AF4B-2CD150A6DA2B}">
  <sheetPr>
    <tabColor theme="6"/>
  </sheetPr>
  <dimension ref="A1:O43"/>
  <sheetViews>
    <sheetView zoomScale="74" zoomScaleNormal="74" workbookViewId="0">
      <selection activeCell="D5" sqref="D5"/>
    </sheetView>
  </sheetViews>
  <sheetFormatPr defaultColWidth="8.90625" defaultRowHeight="16.5" x14ac:dyDescent="0.5"/>
  <cols>
    <col min="1" max="3" width="20.6328125" customWidth="1"/>
    <col min="4" max="5" width="20.6328125" style="42" customWidth="1"/>
    <col min="6" max="13" width="20.6328125" customWidth="1"/>
  </cols>
  <sheetData>
    <row r="1" spans="1:13" ht="23" thickBot="1" x14ac:dyDescent="0.7">
      <c r="A1" s="13" t="s">
        <v>309</v>
      </c>
    </row>
    <row r="2" spans="1:13" ht="17" thickTop="1" x14ac:dyDescent="0.5"/>
    <row r="3" spans="1:13" ht="19" thickBot="1" x14ac:dyDescent="0.55000000000000004">
      <c r="A3" s="14" t="s">
        <v>310</v>
      </c>
    </row>
    <row r="4" spans="1:13" ht="19.5" thickTop="1" thickBot="1" x14ac:dyDescent="0.55000000000000004">
      <c r="A4" s="23"/>
    </row>
    <row r="5" spans="1:13" ht="17" thickBot="1" x14ac:dyDescent="0.55000000000000004">
      <c r="B5" s="73" t="s">
        <v>311</v>
      </c>
      <c r="C5" s="71" t="str">
        <f>Assumptions!C58</f>
        <v>CAA</v>
      </c>
      <c r="D5" s="72" t="str">
        <f>Assumptions!C60</f>
        <v>Base</v>
      </c>
    </row>
    <row r="6" spans="1:13" x14ac:dyDescent="0.5">
      <c r="I6" s="214"/>
      <c r="J6" s="214"/>
      <c r="K6" s="214"/>
      <c r="L6" s="214"/>
      <c r="M6" s="214"/>
    </row>
    <row r="7" spans="1:13" ht="19" thickBot="1" x14ac:dyDescent="0.55000000000000004">
      <c r="A7" s="14" t="s">
        <v>231</v>
      </c>
    </row>
    <row r="8" spans="1:13" ht="17" thickTop="1" x14ac:dyDescent="0.5"/>
    <row r="9" spans="1:13" ht="17" thickBot="1" x14ac:dyDescent="0.55000000000000004">
      <c r="B9" s="10" t="s">
        <v>72</v>
      </c>
      <c r="C9" s="10" t="s">
        <v>312</v>
      </c>
      <c r="D9" s="11" t="s">
        <v>96</v>
      </c>
      <c r="E9" s="11" t="s">
        <v>91</v>
      </c>
      <c r="F9" s="12">
        <v>2024</v>
      </c>
      <c r="G9" s="12">
        <v>2025</v>
      </c>
      <c r="H9" s="12">
        <v>2026</v>
      </c>
      <c r="I9" s="12">
        <v>2027</v>
      </c>
      <c r="J9" s="12">
        <v>2028</v>
      </c>
      <c r="K9" s="12">
        <v>2029</v>
      </c>
      <c r="L9" s="12">
        <v>2030</v>
      </c>
      <c r="M9" s="12">
        <v>2031</v>
      </c>
    </row>
    <row r="10" spans="1:13" x14ac:dyDescent="0.5">
      <c r="B10" s="64" t="s">
        <v>229</v>
      </c>
      <c r="C10" s="64" t="s">
        <v>254</v>
      </c>
      <c r="D10" s="28" t="s">
        <v>313</v>
      </c>
      <c r="E10" s="28" t="s">
        <v>231</v>
      </c>
      <c r="F10" s="126">
        <v>83907050.000000015</v>
      </c>
      <c r="G10" s="126">
        <v>84441508.225363865</v>
      </c>
      <c r="H10" s="126">
        <v>85661924.641717881</v>
      </c>
      <c r="I10" s="126">
        <v>86159832.743645787</v>
      </c>
      <c r="J10" s="126">
        <v>87384596.253929183</v>
      </c>
      <c r="K10" s="126">
        <v>88616646.896480918</v>
      </c>
      <c r="L10" s="126">
        <v>89855976.562204257</v>
      </c>
      <c r="M10" s="126">
        <v>91102577.142002553</v>
      </c>
    </row>
    <row r="11" spans="1:13" x14ac:dyDescent="0.5">
      <c r="B11" s="64" t="s">
        <v>229</v>
      </c>
      <c r="C11" s="64" t="s">
        <v>251</v>
      </c>
      <c r="D11" s="28" t="s">
        <v>313</v>
      </c>
      <c r="E11" s="28" t="s">
        <v>231</v>
      </c>
      <c r="F11" s="126">
        <v>83907050.000000015</v>
      </c>
      <c r="G11" s="126">
        <v>84441508.225363865</v>
      </c>
      <c r="H11" s="126">
        <v>85519856.42714107</v>
      </c>
      <c r="I11" s="126">
        <v>85861364.213440716</v>
      </c>
      <c r="J11" s="126">
        <v>86727556.139878124</v>
      </c>
      <c r="K11" s="126">
        <v>87680095.943835244</v>
      </c>
      <c r="L11" s="126">
        <v>88608470.429141209</v>
      </c>
      <c r="M11" s="126">
        <v>89403296.094009295</v>
      </c>
    </row>
    <row r="12" spans="1:13" x14ac:dyDescent="0.5">
      <c r="B12" s="64" t="s">
        <v>229</v>
      </c>
      <c r="C12" s="64" t="s">
        <v>248</v>
      </c>
      <c r="D12" s="28" t="s">
        <v>313</v>
      </c>
      <c r="E12" s="28" t="s">
        <v>231</v>
      </c>
      <c r="F12" s="126">
        <v>83907050.000000015</v>
      </c>
      <c r="G12" s="126">
        <v>84441508.225363865</v>
      </c>
      <c r="H12" s="126">
        <v>84935796.457967803</v>
      </c>
      <c r="I12" s="126">
        <v>84713803.082576036</v>
      </c>
      <c r="J12" s="126">
        <v>85206601.871344209</v>
      </c>
      <c r="K12" s="126">
        <v>85700732.504533321</v>
      </c>
      <c r="L12" s="126">
        <v>86196195.352651387</v>
      </c>
      <c r="M12" s="126">
        <v>86692990.786206275</v>
      </c>
    </row>
    <row r="14" spans="1:13" ht="19" thickBot="1" x14ac:dyDescent="0.55000000000000004">
      <c r="A14" s="14" t="s">
        <v>234</v>
      </c>
    </row>
    <row r="15" spans="1:13" ht="17" thickTop="1" x14ac:dyDescent="0.5"/>
    <row r="16" spans="1:13" ht="17" thickBot="1" x14ac:dyDescent="0.55000000000000004">
      <c r="B16" s="10" t="s">
        <v>72</v>
      </c>
      <c r="C16" s="10" t="s">
        <v>312</v>
      </c>
      <c r="D16" s="11" t="s">
        <v>96</v>
      </c>
      <c r="E16" s="11" t="s">
        <v>91</v>
      </c>
      <c r="F16" s="12">
        <v>2024</v>
      </c>
      <c r="G16" s="12">
        <v>2025</v>
      </c>
      <c r="H16" s="12">
        <v>2026</v>
      </c>
      <c r="I16" s="12">
        <v>2027</v>
      </c>
      <c r="J16" s="12">
        <v>2028</v>
      </c>
      <c r="K16" s="12">
        <v>2029</v>
      </c>
      <c r="L16" s="12">
        <v>2030</v>
      </c>
      <c r="M16" s="12">
        <v>2031</v>
      </c>
    </row>
    <row r="17" spans="1:13" x14ac:dyDescent="0.5">
      <c r="B17" s="64" t="s">
        <v>229</v>
      </c>
      <c r="C17" s="64" t="s">
        <v>254</v>
      </c>
      <c r="D17" s="28" t="s">
        <v>313</v>
      </c>
      <c r="E17" s="28" t="s">
        <v>234</v>
      </c>
      <c r="F17" s="126">
        <v>83913000</v>
      </c>
      <c r="G17" s="126">
        <v>84180368.700000003</v>
      </c>
      <c r="H17" s="126">
        <v>85320441</v>
      </c>
      <c r="I17" s="126">
        <v>86302344.900000006</v>
      </c>
      <c r="J17" s="126">
        <v>87218107.700000003</v>
      </c>
      <c r="K17" s="126">
        <v>88151599.599999994</v>
      </c>
      <c r="L17" s="126">
        <v>89480095.700000003</v>
      </c>
      <c r="M17" s="126">
        <v>90503395.200000003</v>
      </c>
    </row>
    <row r="18" spans="1:13" x14ac:dyDescent="0.5">
      <c r="B18" s="64" t="s">
        <v>229</v>
      </c>
      <c r="C18" s="64" t="s">
        <v>251</v>
      </c>
      <c r="D18" s="28" t="s">
        <v>313</v>
      </c>
      <c r="E18" s="28" t="s">
        <v>234</v>
      </c>
      <c r="F18" s="126">
        <v>83913000</v>
      </c>
      <c r="G18" s="126">
        <v>84180368.700000003</v>
      </c>
      <c r="H18" s="126">
        <v>85320441</v>
      </c>
      <c r="I18" s="126">
        <v>85253952.400000006</v>
      </c>
      <c r="J18" s="126">
        <v>86131069.700000003</v>
      </c>
      <c r="K18" s="126">
        <v>87004551.5</v>
      </c>
      <c r="L18" s="126">
        <v>88295340.299999997</v>
      </c>
      <c r="M18" s="126">
        <v>89276111</v>
      </c>
    </row>
    <row r="19" spans="1:13" x14ac:dyDescent="0.5">
      <c r="B19" s="64" t="s">
        <v>229</v>
      </c>
      <c r="C19" s="64" t="s">
        <v>248</v>
      </c>
      <c r="D19" s="28" t="s">
        <v>313</v>
      </c>
      <c r="E19" s="28" t="s">
        <v>234</v>
      </c>
      <c r="F19" s="126">
        <v>83913000</v>
      </c>
      <c r="G19" s="126">
        <v>84180368.700000003</v>
      </c>
      <c r="H19" s="126">
        <v>85320441</v>
      </c>
      <c r="I19" s="126">
        <v>84210256.5</v>
      </c>
      <c r="J19" s="126">
        <v>85024766.5</v>
      </c>
      <c r="K19" s="126">
        <v>85907666.299999997</v>
      </c>
      <c r="L19" s="126">
        <v>87065921.900000006</v>
      </c>
      <c r="M19" s="126">
        <v>88021455.200000003</v>
      </c>
    </row>
    <row r="21" spans="1:13" ht="19" thickBot="1" x14ac:dyDescent="0.55000000000000004">
      <c r="A21" s="14" t="s">
        <v>237</v>
      </c>
    </row>
    <row r="22" spans="1:13" ht="17" thickTop="1" x14ac:dyDescent="0.5"/>
    <row r="23" spans="1:13" ht="17" thickBot="1" x14ac:dyDescent="0.55000000000000004">
      <c r="B23" s="10" t="s">
        <v>72</v>
      </c>
      <c r="C23" s="10" t="s">
        <v>312</v>
      </c>
      <c r="D23" s="11" t="s">
        <v>96</v>
      </c>
      <c r="E23" s="11" t="s">
        <v>91</v>
      </c>
      <c r="F23" s="12">
        <v>2024</v>
      </c>
      <c r="G23" s="12">
        <v>2025</v>
      </c>
      <c r="H23" s="12">
        <v>2026</v>
      </c>
      <c r="I23" s="12">
        <v>2027</v>
      </c>
      <c r="J23" s="12">
        <v>2028</v>
      </c>
      <c r="K23" s="12">
        <v>2029</v>
      </c>
      <c r="L23" s="12">
        <v>2030</v>
      </c>
      <c r="M23" s="12">
        <v>2031</v>
      </c>
    </row>
    <row r="24" spans="1:13" x14ac:dyDescent="0.5">
      <c r="B24" s="64" t="s">
        <v>229</v>
      </c>
      <c r="C24" s="64" t="s">
        <v>254</v>
      </c>
      <c r="D24" s="28" t="s">
        <v>313</v>
      </c>
      <c r="E24" s="28" t="s">
        <v>237</v>
      </c>
      <c r="F24" s="126">
        <v>83913000</v>
      </c>
      <c r="G24" s="126">
        <v>85602930.298113257</v>
      </c>
      <c r="H24" s="126">
        <v>87082748.154176742</v>
      </c>
      <c r="I24" s="126">
        <v>88595723.820607409</v>
      </c>
      <c r="J24" s="126">
        <v>90198024.629558802</v>
      </c>
      <c r="K24" s="126">
        <v>91684226.651225388</v>
      </c>
      <c r="L24" s="126">
        <v>93263691.002277702</v>
      </c>
      <c r="M24" s="126">
        <v>94875080.562895373</v>
      </c>
    </row>
    <row r="25" spans="1:13" x14ac:dyDescent="0.5">
      <c r="B25" s="64" t="s">
        <v>229</v>
      </c>
      <c r="C25" s="64" t="s">
        <v>251</v>
      </c>
      <c r="D25" s="28" t="s">
        <v>313</v>
      </c>
      <c r="E25" s="28" t="s">
        <v>237</v>
      </c>
      <c r="F25" s="126">
        <v>83913000</v>
      </c>
      <c r="G25" s="126">
        <v>84868406.481618375</v>
      </c>
      <c r="H25" s="126">
        <v>85925103.010720998</v>
      </c>
      <c r="I25" s="126">
        <v>87002775.65268147</v>
      </c>
      <c r="J25" s="126">
        <v>88102473.6678157</v>
      </c>
      <c r="K25" s="126">
        <v>89206679.498685166</v>
      </c>
      <c r="L25" s="126">
        <v>90263712.331717595</v>
      </c>
      <c r="M25" s="126">
        <v>91449971.934490904</v>
      </c>
    </row>
    <row r="26" spans="1:13" x14ac:dyDescent="0.5">
      <c r="B26" s="64" t="s">
        <v>229</v>
      </c>
      <c r="C26" s="64" t="s">
        <v>248</v>
      </c>
      <c r="D26" s="28" t="s">
        <v>313</v>
      </c>
      <c r="E26" s="28" t="s">
        <v>237</v>
      </c>
      <c r="F26" s="126">
        <v>83913000</v>
      </c>
      <c r="G26" s="126">
        <v>84092820.940783665</v>
      </c>
      <c r="H26" s="126">
        <v>84751604.10003376</v>
      </c>
      <c r="I26" s="126">
        <v>85412920.866826326</v>
      </c>
      <c r="J26" s="126">
        <v>86095016.515085205</v>
      </c>
      <c r="K26" s="126">
        <v>86781894.486601561</v>
      </c>
      <c r="L26" s="126">
        <v>87494512.220130399</v>
      </c>
      <c r="M26" s="126">
        <v>88179718.005844116</v>
      </c>
    </row>
    <row r="28" spans="1:13" ht="19" thickBot="1" x14ac:dyDescent="0.55000000000000004">
      <c r="A28" s="14" t="s">
        <v>240</v>
      </c>
    </row>
    <row r="29" spans="1:13" ht="17" thickTop="1" x14ac:dyDescent="0.5"/>
    <row r="30" spans="1:13" ht="17" thickBot="1" x14ac:dyDescent="0.55000000000000004">
      <c r="B30" s="10" t="s">
        <v>72</v>
      </c>
      <c r="C30" s="10" t="s">
        <v>312</v>
      </c>
      <c r="D30" s="11" t="s">
        <v>96</v>
      </c>
      <c r="E30" s="11" t="s">
        <v>91</v>
      </c>
      <c r="F30" s="12">
        <v>2024</v>
      </c>
      <c r="G30" s="12">
        <v>2025</v>
      </c>
      <c r="H30" s="12">
        <v>2026</v>
      </c>
      <c r="I30" s="12">
        <v>2027</v>
      </c>
      <c r="J30" s="12">
        <v>2028</v>
      </c>
      <c r="K30" s="12">
        <v>2029</v>
      </c>
      <c r="L30" s="12">
        <v>2030</v>
      </c>
      <c r="M30" s="12">
        <v>2031</v>
      </c>
    </row>
    <row r="31" spans="1:13" x14ac:dyDescent="0.5">
      <c r="B31" s="64" t="s">
        <v>229</v>
      </c>
      <c r="C31" s="64" t="s">
        <v>254</v>
      </c>
      <c r="D31" s="28" t="s">
        <v>313</v>
      </c>
      <c r="E31" s="28"/>
      <c r="F31" s="125"/>
      <c r="G31" s="125"/>
      <c r="H31" s="125"/>
      <c r="I31" s="125"/>
      <c r="J31" s="125"/>
      <c r="K31" s="125"/>
      <c r="L31" s="125"/>
      <c r="M31" s="125"/>
    </row>
    <row r="32" spans="1:13" x14ac:dyDescent="0.5">
      <c r="B32" s="64" t="s">
        <v>229</v>
      </c>
      <c r="C32" s="64" t="s">
        <v>251</v>
      </c>
      <c r="D32" s="28" t="s">
        <v>313</v>
      </c>
      <c r="E32" s="28"/>
      <c r="F32" s="125"/>
      <c r="G32" s="125"/>
      <c r="H32" s="125"/>
      <c r="I32" s="125"/>
      <c r="J32" s="125"/>
      <c r="K32" s="125"/>
      <c r="L32" s="125"/>
      <c r="M32" s="125"/>
    </row>
    <row r="33" spans="2:15" x14ac:dyDescent="0.5">
      <c r="B33" s="64" t="s">
        <v>229</v>
      </c>
      <c r="C33" s="64" t="s">
        <v>248</v>
      </c>
      <c r="D33" s="28" t="s">
        <v>313</v>
      </c>
      <c r="E33" s="28"/>
      <c r="F33" s="125"/>
      <c r="G33" s="125"/>
      <c r="H33" s="125"/>
      <c r="I33" s="125"/>
      <c r="J33" s="125"/>
      <c r="K33" s="125"/>
      <c r="L33" s="125"/>
      <c r="M33" s="125"/>
    </row>
    <row r="37" spans="2:15" x14ac:dyDescent="0.5">
      <c r="D37"/>
      <c r="E37"/>
    </row>
    <row r="38" spans="2:15" x14ac:dyDescent="0.5">
      <c r="D38"/>
      <c r="E38"/>
    </row>
    <row r="39" spans="2:15" x14ac:dyDescent="0.5">
      <c r="D39"/>
      <c r="E39"/>
    </row>
    <row r="40" spans="2:15" x14ac:dyDescent="0.5">
      <c r="F40" s="42"/>
      <c r="G40" s="42"/>
      <c r="H40" s="42"/>
      <c r="I40" s="42"/>
      <c r="J40" s="42"/>
      <c r="K40" s="42"/>
      <c r="L40" s="42"/>
      <c r="M40" s="42"/>
      <c r="N40" s="42"/>
      <c r="O40" s="42"/>
    </row>
    <row r="41" spans="2:15" x14ac:dyDescent="0.5">
      <c r="D41"/>
      <c r="E41"/>
    </row>
    <row r="42" spans="2:15" x14ac:dyDescent="0.5">
      <c r="D42"/>
      <c r="E42"/>
    </row>
    <row r="43" spans="2:15" x14ac:dyDescent="0.5">
      <c r="D43"/>
      <c r="E43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/>
  </sheetPr>
  <dimension ref="A1:N127"/>
  <sheetViews>
    <sheetView tabSelected="1" topLeftCell="A2" zoomScale="76" zoomScaleNormal="90" workbookViewId="0">
      <selection activeCell="G20" sqref="G20"/>
    </sheetView>
  </sheetViews>
  <sheetFormatPr defaultColWidth="8.90625" defaultRowHeight="16.5" x14ac:dyDescent="0.5"/>
  <cols>
    <col min="1" max="1" width="20.6328125" customWidth="1"/>
    <col min="2" max="2" width="30.6328125" customWidth="1"/>
    <col min="3" max="3" width="17.453125" customWidth="1"/>
    <col min="4" max="6" width="30.6328125" customWidth="1"/>
    <col min="7" max="8" width="30.90625" customWidth="1"/>
    <col min="9" max="10" width="20.6328125" customWidth="1"/>
    <col min="11" max="11" width="8.90625" customWidth="1"/>
  </cols>
  <sheetData>
    <row r="1" spans="1:14" ht="23" thickBot="1" x14ac:dyDescent="0.7">
      <c r="A1" s="13" t="s">
        <v>36</v>
      </c>
    </row>
    <row r="2" spans="1:14" ht="17" thickTop="1" x14ac:dyDescent="0.5"/>
    <row r="3" spans="1:14" ht="19" thickBot="1" x14ac:dyDescent="0.55000000000000004">
      <c r="A3" s="14" t="s">
        <v>189</v>
      </c>
      <c r="E3" s="49"/>
      <c r="F3" s="49"/>
      <c r="G3" s="157"/>
      <c r="H3" s="49"/>
    </row>
    <row r="4" spans="1:14" ht="16" customHeight="1" thickTop="1" x14ac:dyDescent="0.5">
      <c r="E4" s="49"/>
      <c r="F4" s="157"/>
      <c r="G4" s="157"/>
      <c r="H4" s="49"/>
      <c r="I4" s="146"/>
    </row>
    <row r="5" spans="1:14" ht="16" customHeight="1" thickBot="1" x14ac:dyDescent="0.55000000000000004">
      <c r="B5" s="27" t="s">
        <v>98</v>
      </c>
      <c r="C5" s="27" t="s">
        <v>96</v>
      </c>
      <c r="D5" s="27" t="s">
        <v>97</v>
      </c>
      <c r="E5" s="50"/>
      <c r="F5" s="11" t="s">
        <v>314</v>
      </c>
      <c r="G5" s="11" t="s">
        <v>315</v>
      </c>
      <c r="H5" s="11" t="s">
        <v>316</v>
      </c>
      <c r="I5" s="11" t="s">
        <v>317</v>
      </c>
    </row>
    <row r="6" spans="1:14" ht="16" customHeight="1" x14ac:dyDescent="0.5">
      <c r="B6" s="8" t="s">
        <v>318</v>
      </c>
      <c r="C6" s="29" t="s">
        <v>102</v>
      </c>
      <c r="D6" s="29" t="s">
        <v>103</v>
      </c>
      <c r="E6" s="51" t="s">
        <v>104</v>
      </c>
      <c r="F6" s="91">
        <v>197.1</v>
      </c>
      <c r="G6" s="91">
        <v>173.62</v>
      </c>
      <c r="H6" s="140">
        <v>179.36</v>
      </c>
      <c r="I6" s="111">
        <f>G6-F6</f>
        <v>-23.47999999999999</v>
      </c>
    </row>
    <row r="7" spans="1:14" ht="16" customHeight="1" x14ac:dyDescent="0.5">
      <c r="B7" s="8" t="s">
        <v>319</v>
      </c>
      <c r="C7" s="29" t="s">
        <v>102</v>
      </c>
      <c r="D7" s="29" t="s">
        <v>103</v>
      </c>
      <c r="E7" s="51" t="s">
        <v>104</v>
      </c>
      <c r="F7" s="91">
        <v>131.13</v>
      </c>
      <c r="G7" s="91">
        <v>122.87</v>
      </c>
      <c r="H7" s="91">
        <v>127.66</v>
      </c>
      <c r="I7" s="111">
        <f>G7-F7</f>
        <v>-8.2599999999999909</v>
      </c>
    </row>
    <row r="8" spans="1:14" ht="16" customHeight="1" x14ac:dyDescent="0.5">
      <c r="B8" s="8" t="s">
        <v>320</v>
      </c>
      <c r="C8" s="29" t="s">
        <v>102</v>
      </c>
      <c r="D8" s="29" t="s">
        <v>103</v>
      </c>
      <c r="E8" s="51" t="s">
        <v>104</v>
      </c>
      <c r="F8" s="91">
        <v>155.66</v>
      </c>
      <c r="G8" s="91">
        <v>149.02000000000001</v>
      </c>
      <c r="H8" s="91">
        <v>155.13</v>
      </c>
      <c r="I8" s="111">
        <f t="shared" ref="I8:I19" si="0">G8-F8</f>
        <v>-6.6399999999999864</v>
      </c>
    </row>
    <row r="9" spans="1:14" ht="16" customHeight="1" x14ac:dyDescent="0.5">
      <c r="B9" s="8" t="s">
        <v>110</v>
      </c>
      <c r="C9" s="29" t="s">
        <v>102</v>
      </c>
      <c r="D9" s="29" t="s">
        <v>103</v>
      </c>
      <c r="E9" s="51" t="s">
        <v>104</v>
      </c>
      <c r="F9" s="132">
        <v>0.95</v>
      </c>
      <c r="G9" s="132">
        <v>0</v>
      </c>
      <c r="H9" s="132">
        <v>0</v>
      </c>
      <c r="I9" s="111">
        <f t="shared" si="0"/>
        <v>-0.95</v>
      </c>
    </row>
    <row r="10" spans="1:14" ht="16" customHeight="1" x14ac:dyDescent="0.5">
      <c r="A10" s="120"/>
      <c r="B10" s="8" t="s">
        <v>321</v>
      </c>
      <c r="C10" s="29" t="s">
        <v>102</v>
      </c>
      <c r="D10" s="29" t="s">
        <v>103</v>
      </c>
      <c r="E10" s="51" t="s">
        <v>127</v>
      </c>
      <c r="F10" s="91">
        <v>420.28647700000005</v>
      </c>
      <c r="G10" s="91">
        <v>429.31000000000006</v>
      </c>
      <c r="H10" s="91">
        <v>427.7301013895854</v>
      </c>
      <c r="I10" s="111">
        <f t="shared" si="0"/>
        <v>9.0235230000000115</v>
      </c>
      <c r="M10" s="119"/>
      <c r="N10" s="119"/>
    </row>
    <row r="11" spans="1:14" ht="16" customHeight="1" x14ac:dyDescent="0.5">
      <c r="B11" s="8" t="s">
        <v>132</v>
      </c>
      <c r="C11" s="29" t="s">
        <v>102</v>
      </c>
      <c r="D11" s="29" t="s">
        <v>103</v>
      </c>
      <c r="E11" s="51" t="s">
        <v>127</v>
      </c>
      <c r="F11" s="91">
        <v>65.185143999999994</v>
      </c>
      <c r="G11" s="91">
        <v>52.15</v>
      </c>
      <c r="H11" s="91">
        <v>66.339627320949276</v>
      </c>
      <c r="I11" s="111">
        <f t="shared" si="0"/>
        <v>-13.035143999999995</v>
      </c>
      <c r="M11" s="119"/>
      <c r="N11" s="119"/>
    </row>
    <row r="12" spans="1:14" ht="16" customHeight="1" x14ac:dyDescent="0.5">
      <c r="B12" s="8" t="s">
        <v>134</v>
      </c>
      <c r="C12" s="29" t="s">
        <v>102</v>
      </c>
      <c r="D12" s="29" t="s">
        <v>103</v>
      </c>
      <c r="E12" s="51" t="s">
        <v>127</v>
      </c>
      <c r="F12" s="91">
        <v>80.848378999999994</v>
      </c>
      <c r="G12" s="91">
        <v>72.77</v>
      </c>
      <c r="H12" s="91">
        <v>82.280271289465318</v>
      </c>
      <c r="I12" s="111">
        <f t="shared" si="0"/>
        <v>-8.0783789999999982</v>
      </c>
      <c r="N12" s="97"/>
    </row>
    <row r="13" spans="1:14" ht="16" customHeight="1" x14ac:dyDescent="0.5">
      <c r="B13" s="8" t="s">
        <v>125</v>
      </c>
      <c r="C13" s="29" t="s">
        <v>102</v>
      </c>
      <c r="D13" s="29" t="s">
        <v>103</v>
      </c>
      <c r="E13" s="51" t="s">
        <v>125</v>
      </c>
      <c r="F13" s="91">
        <v>19.72</v>
      </c>
      <c r="G13" s="91">
        <v>25.64</v>
      </c>
      <c r="H13" s="91">
        <v>19.72</v>
      </c>
      <c r="I13" s="111">
        <f t="shared" si="0"/>
        <v>5.9200000000000017</v>
      </c>
      <c r="N13" s="97"/>
    </row>
    <row r="14" spans="1:14" ht="16" customHeight="1" x14ac:dyDescent="0.5">
      <c r="B14" s="8" t="s">
        <v>322</v>
      </c>
      <c r="C14" s="29" t="s">
        <v>102</v>
      </c>
      <c r="D14" s="29" t="s">
        <v>103</v>
      </c>
      <c r="E14" s="51" t="s">
        <v>112</v>
      </c>
      <c r="F14" s="91">
        <v>239.66</v>
      </c>
      <c r="G14" s="91">
        <v>235.42</v>
      </c>
      <c r="H14" s="91">
        <v>239.66</v>
      </c>
      <c r="I14" s="111">
        <f t="shared" si="0"/>
        <v>-4.2400000000000091</v>
      </c>
    </row>
    <row r="15" spans="1:14" ht="16" customHeight="1" x14ac:dyDescent="0.5">
      <c r="B15" s="8" t="s">
        <v>323</v>
      </c>
      <c r="C15" s="29" t="s">
        <v>102</v>
      </c>
      <c r="D15" s="29" t="s">
        <v>103</v>
      </c>
      <c r="E15" s="51" t="s">
        <v>117</v>
      </c>
      <c r="F15" s="91">
        <v>116.39</v>
      </c>
      <c r="G15" s="91">
        <v>116.37</v>
      </c>
      <c r="H15" s="91">
        <v>116.37</v>
      </c>
      <c r="I15" s="111">
        <f t="shared" si="0"/>
        <v>-1.9999999999996021E-2</v>
      </c>
    </row>
    <row r="16" spans="1:14" ht="16" customHeight="1" x14ac:dyDescent="0.5">
      <c r="B16" s="8" t="s">
        <v>324</v>
      </c>
      <c r="C16" s="29" t="s">
        <v>102</v>
      </c>
      <c r="D16" s="29" t="s">
        <v>103</v>
      </c>
      <c r="E16" s="51" t="s">
        <v>119</v>
      </c>
      <c r="F16" s="91">
        <v>126.11</v>
      </c>
      <c r="G16" s="91">
        <v>109.41</v>
      </c>
      <c r="H16" s="91">
        <v>126.11</v>
      </c>
      <c r="I16" s="111">
        <f t="shared" si="0"/>
        <v>-16.700000000000003</v>
      </c>
      <c r="J16" s="146"/>
    </row>
    <row r="17" spans="2:10" ht="16" customHeight="1" x14ac:dyDescent="0.5">
      <c r="B17" s="8" t="s">
        <v>325</v>
      </c>
      <c r="C17" s="29" t="s">
        <v>102</v>
      </c>
      <c r="D17" s="29" t="s">
        <v>103</v>
      </c>
      <c r="E17" s="51" t="s">
        <v>124</v>
      </c>
      <c r="F17" s="91">
        <v>33.119999999999997</v>
      </c>
      <c r="G17" s="91">
        <v>33.119999999999997</v>
      </c>
      <c r="H17" s="91">
        <v>33.119999999999997</v>
      </c>
      <c r="I17" s="111">
        <f t="shared" si="0"/>
        <v>0</v>
      </c>
    </row>
    <row r="18" spans="2:10" ht="16" customHeight="1" thickBot="1" x14ac:dyDescent="0.55000000000000004">
      <c r="B18" s="48" t="s">
        <v>326</v>
      </c>
      <c r="C18" s="37" t="s">
        <v>102</v>
      </c>
      <c r="D18" s="37" t="s">
        <v>103</v>
      </c>
      <c r="E18" s="52" t="s">
        <v>127</v>
      </c>
      <c r="F18" s="136">
        <f>-2.65</f>
        <v>-2.65</v>
      </c>
      <c r="G18" s="156"/>
      <c r="H18" s="156"/>
      <c r="I18" s="156"/>
      <c r="J18" s="97"/>
    </row>
    <row r="19" spans="2:10" ht="16" customHeight="1" x14ac:dyDescent="0.5">
      <c r="B19" s="8" t="s">
        <v>192</v>
      </c>
      <c r="C19" s="29" t="s">
        <v>102</v>
      </c>
      <c r="D19" s="29" t="s">
        <v>103</v>
      </c>
      <c r="E19" s="8" t="s">
        <v>192</v>
      </c>
      <c r="F19" s="133">
        <f>SUM(F6:F18)</f>
        <v>1583.51</v>
      </c>
      <c r="G19" s="91">
        <f>SUM(G6:G18)</f>
        <v>1519.7</v>
      </c>
      <c r="H19" s="91">
        <f>SUM(H6:H18)</f>
        <v>1573.4799999999998</v>
      </c>
      <c r="I19" s="119">
        <f t="shared" si="0"/>
        <v>-63.809999999999945</v>
      </c>
      <c r="J19" s="119"/>
    </row>
    <row r="20" spans="2:10" ht="16" customHeight="1" x14ac:dyDescent="0.5">
      <c r="F20" s="119"/>
      <c r="G20" s="120"/>
      <c r="H20" s="119"/>
    </row>
    <row r="21" spans="2:10" ht="16" customHeight="1" thickBot="1" x14ac:dyDescent="0.55000000000000004">
      <c r="B21" s="27" t="s">
        <v>302</v>
      </c>
      <c r="C21" s="27" t="s">
        <v>96</v>
      </c>
      <c r="D21" s="27" t="s">
        <v>97</v>
      </c>
      <c r="E21" s="50" t="s">
        <v>98</v>
      </c>
      <c r="F21" s="11" t="s">
        <v>327</v>
      </c>
      <c r="G21" s="11" t="s">
        <v>328</v>
      </c>
      <c r="H21" s="11" t="s">
        <v>315</v>
      </c>
      <c r="I21" s="11" t="s">
        <v>316</v>
      </c>
    </row>
    <row r="22" spans="2:10" ht="16" customHeight="1" x14ac:dyDescent="0.5">
      <c r="B22" s="8" t="s">
        <v>101</v>
      </c>
      <c r="C22" s="29" t="s">
        <v>102</v>
      </c>
      <c r="D22" s="29" t="s">
        <v>103</v>
      </c>
      <c r="E22" s="51" t="s">
        <v>104</v>
      </c>
      <c r="F22" s="91">
        <v>197.10173700000001</v>
      </c>
      <c r="G22" s="22">
        <f>F22/F22</f>
        <v>1</v>
      </c>
      <c r="H22" s="98">
        <f>$G22*G6</f>
        <v>173.62</v>
      </c>
      <c r="I22" s="98">
        <f>$G22*H6</f>
        <v>179.36</v>
      </c>
    </row>
    <row r="23" spans="2:10" ht="16" customHeight="1" x14ac:dyDescent="0.5">
      <c r="B23" s="8" t="s">
        <v>105</v>
      </c>
      <c r="C23" s="29" t="s">
        <v>102</v>
      </c>
      <c r="D23" s="29" t="s">
        <v>103</v>
      </c>
      <c r="E23" s="51" t="s">
        <v>104</v>
      </c>
      <c r="F23" s="91">
        <v>27.578826930000002</v>
      </c>
      <c r="G23" s="22">
        <f>F23/SUM(F$23:F$26)</f>
        <v>0.21031040222073907</v>
      </c>
      <c r="H23" s="98">
        <f>$G23*G$7</f>
        <v>25.84083912086221</v>
      </c>
      <c r="I23" s="98">
        <f t="shared" ref="H23:I26" si="1">$G23*H$7</f>
        <v>26.84822594749955</v>
      </c>
    </row>
    <row r="24" spans="2:10" x14ac:dyDescent="0.5">
      <c r="B24" s="8" t="s">
        <v>106</v>
      </c>
      <c r="C24" s="29" t="s">
        <v>102</v>
      </c>
      <c r="D24" s="29" t="s">
        <v>103</v>
      </c>
      <c r="E24" s="51" t="s">
        <v>104</v>
      </c>
      <c r="F24" s="91">
        <v>21.724560749999998</v>
      </c>
      <c r="G24" s="22">
        <f>F24/SUM(F$23:F$26)</f>
        <v>0.16566698507511105</v>
      </c>
      <c r="H24" s="98">
        <f t="shared" si="1"/>
        <v>20.355502456178893</v>
      </c>
      <c r="I24" s="98">
        <f t="shared" si="1"/>
        <v>21.149047314688676</v>
      </c>
    </row>
    <row r="25" spans="2:10" x14ac:dyDescent="0.5">
      <c r="B25" s="8" t="s">
        <v>107</v>
      </c>
      <c r="C25" s="29" t="s">
        <v>102</v>
      </c>
      <c r="D25" s="29" t="s">
        <v>103</v>
      </c>
      <c r="E25" s="51" t="s">
        <v>104</v>
      </c>
      <c r="F25" s="91">
        <v>59.162924669999995</v>
      </c>
      <c r="G25" s="22">
        <f>F25/SUM(F$23:F$26)</f>
        <v>0.45116416718827368</v>
      </c>
      <c r="H25" s="98">
        <f t="shared" si="1"/>
        <v>55.434541222423192</v>
      </c>
      <c r="I25" s="98">
        <f t="shared" si="1"/>
        <v>57.595617583255013</v>
      </c>
    </row>
    <row r="26" spans="2:10" x14ac:dyDescent="0.5">
      <c r="B26" s="8" t="s">
        <v>108</v>
      </c>
      <c r="C26" s="29" t="s">
        <v>102</v>
      </c>
      <c r="D26" s="29" t="s">
        <v>103</v>
      </c>
      <c r="E26" s="51" t="s">
        <v>104</v>
      </c>
      <c r="F26" s="91">
        <v>22.667605129999998</v>
      </c>
      <c r="G26" s="22">
        <f>F26/SUM(F$23:F$26)</f>
        <v>0.17285844551587631</v>
      </c>
      <c r="H26" s="98">
        <f t="shared" si="1"/>
        <v>21.239117200535723</v>
      </c>
      <c r="I26" s="98">
        <f t="shared" si="1"/>
        <v>22.067109154556771</v>
      </c>
    </row>
    <row r="27" spans="2:10" x14ac:dyDescent="0.5">
      <c r="B27" s="8" t="s">
        <v>109</v>
      </c>
      <c r="C27" s="29" t="s">
        <v>102</v>
      </c>
      <c r="D27" s="29" t="s">
        <v>103</v>
      </c>
      <c r="E27" s="51" t="s">
        <v>104</v>
      </c>
      <c r="F27" s="91">
        <v>155.65705600000001</v>
      </c>
      <c r="G27" s="22">
        <f>F27/F27</f>
        <v>1</v>
      </c>
      <c r="H27" s="98">
        <f>G8</f>
        <v>149.02000000000001</v>
      </c>
      <c r="I27" s="98">
        <f>H8</f>
        <v>155.13</v>
      </c>
    </row>
    <row r="28" spans="2:10" x14ac:dyDescent="0.5">
      <c r="B28" s="8" t="s">
        <v>110</v>
      </c>
      <c r="C28" s="29" t="s">
        <v>102</v>
      </c>
      <c r="D28" s="29" t="s">
        <v>103</v>
      </c>
      <c r="E28" s="51" t="s">
        <v>104</v>
      </c>
      <c r="F28" s="91">
        <v>0.95</v>
      </c>
      <c r="G28" s="22">
        <f>F28/F28</f>
        <v>1</v>
      </c>
      <c r="H28" s="98">
        <f>G9</f>
        <v>0</v>
      </c>
      <c r="I28" s="98">
        <f>H9</f>
        <v>0</v>
      </c>
    </row>
    <row r="29" spans="2:10" x14ac:dyDescent="0.5">
      <c r="B29" s="8" t="s">
        <v>111</v>
      </c>
      <c r="C29" s="29" t="s">
        <v>102</v>
      </c>
      <c r="D29" s="29" t="s">
        <v>103</v>
      </c>
      <c r="E29" s="51" t="s">
        <v>112</v>
      </c>
      <c r="F29" s="91">
        <v>85.208293999999995</v>
      </c>
      <c r="G29" s="22">
        <f>F29/SUM(F$29:F$32)</f>
        <v>0.35553629708137957</v>
      </c>
      <c r="H29" s="98">
        <f>$G29*(G$14)</f>
        <v>83.700355058898367</v>
      </c>
      <c r="I29" s="98">
        <f>$G29*(H$14)</f>
        <v>85.207828958523422</v>
      </c>
    </row>
    <row r="30" spans="2:10" x14ac:dyDescent="0.5">
      <c r="B30" s="8" t="s">
        <v>113</v>
      </c>
      <c r="C30" s="29" t="s">
        <v>102</v>
      </c>
      <c r="D30" s="29" t="s">
        <v>103</v>
      </c>
      <c r="E30" s="51" t="s">
        <v>112</v>
      </c>
      <c r="F30" s="91">
        <f>89.782237-9.913251</f>
        <v>79.868985999999992</v>
      </c>
      <c r="G30" s="22">
        <f>F30/SUM(F$29:F$32)</f>
        <v>0.33325774054441865</v>
      </c>
      <c r="H30" s="98">
        <f t="shared" ref="H30:I32" si="2">$G30*(G$14)</f>
        <v>78.455537278967029</v>
      </c>
      <c r="I30" s="98">
        <f t="shared" si="2"/>
        <v>79.868550098875374</v>
      </c>
    </row>
    <row r="31" spans="2:10" x14ac:dyDescent="0.5">
      <c r="B31" s="8" t="s">
        <v>114</v>
      </c>
      <c r="C31" s="29" t="s">
        <v>102</v>
      </c>
      <c r="D31" s="29" t="s">
        <v>103</v>
      </c>
      <c r="E31" s="51" t="s">
        <v>112</v>
      </c>
      <c r="F31" s="91">
        <v>21.943897</v>
      </c>
      <c r="G31" s="22">
        <f>F31/SUM(F$29:F$32)</f>
        <v>9.1562118153840688E-2</v>
      </c>
      <c r="H31" s="98">
        <f t="shared" si="2"/>
        <v>21.555553855777173</v>
      </c>
      <c r="I31" s="98">
        <f t="shared" si="2"/>
        <v>21.943777236749458</v>
      </c>
    </row>
    <row r="32" spans="2:10" x14ac:dyDescent="0.5">
      <c r="B32" s="8" t="s">
        <v>115</v>
      </c>
      <c r="C32" s="29" t="s">
        <v>102</v>
      </c>
      <c r="D32" s="29" t="s">
        <v>103</v>
      </c>
      <c r="E32" s="51" t="s">
        <v>112</v>
      </c>
      <c r="F32" s="91">
        <v>52.640130999999997</v>
      </c>
      <c r="G32" s="22">
        <f>F32/SUM(F$29:F$32)</f>
        <v>0.21964384422036121</v>
      </c>
      <c r="H32" s="98">
        <f t="shared" si="2"/>
        <v>51.708553806357429</v>
      </c>
      <c r="I32" s="98">
        <f t="shared" si="2"/>
        <v>52.639843705851767</v>
      </c>
    </row>
    <row r="33" spans="2:10" x14ac:dyDescent="0.5">
      <c r="B33" s="8" t="s">
        <v>116</v>
      </c>
      <c r="C33" s="29" t="s">
        <v>102</v>
      </c>
      <c r="D33" s="29" t="s">
        <v>103</v>
      </c>
      <c r="E33" s="51" t="s">
        <v>117</v>
      </c>
      <c r="F33" s="116">
        <v>116.39</v>
      </c>
      <c r="G33" s="219">
        <f>F33/F33</f>
        <v>1</v>
      </c>
      <c r="H33" s="114">
        <f>G15</f>
        <v>116.37</v>
      </c>
      <c r="I33" s="114">
        <f>H15</f>
        <v>116.37</v>
      </c>
    </row>
    <row r="34" spans="2:10" x14ac:dyDescent="0.5">
      <c r="B34" s="8" t="s">
        <v>118</v>
      </c>
      <c r="C34" s="29" t="s">
        <v>102</v>
      </c>
      <c r="D34" s="29" t="s">
        <v>103</v>
      </c>
      <c r="E34" s="51" t="s">
        <v>119</v>
      </c>
      <c r="F34" s="91">
        <v>103.53791099999999</v>
      </c>
      <c r="G34" s="22">
        <f>F34/SUM(F$34:F$38)</f>
        <v>0.82099073664455868</v>
      </c>
      <c r="H34" s="98">
        <f t="shared" ref="H34:I38" si="3">$G34*G$16</f>
        <v>89.82459649628116</v>
      </c>
      <c r="I34" s="98">
        <f t="shared" si="3"/>
        <v>103.53514179824529</v>
      </c>
    </row>
    <row r="35" spans="2:10" x14ac:dyDescent="0.5">
      <c r="B35" s="8" t="s">
        <v>120</v>
      </c>
      <c r="C35" s="29" t="s">
        <v>102</v>
      </c>
      <c r="D35" s="29" t="s">
        <v>103</v>
      </c>
      <c r="E35" s="51" t="s">
        <v>119</v>
      </c>
      <c r="F35" s="91">
        <v>5.8896709999999999</v>
      </c>
      <c r="G35" s="22">
        <f>F35/SUM(F$34:F$38)</f>
        <v>4.6701399382918736E-2</v>
      </c>
      <c r="H35" s="98">
        <f t="shared" si="3"/>
        <v>5.1096001064851384</v>
      </c>
      <c r="I35" s="98">
        <f t="shared" si="3"/>
        <v>5.8895134761798822</v>
      </c>
    </row>
    <row r="36" spans="2:10" x14ac:dyDescent="0.5">
      <c r="B36" s="8" t="s">
        <v>121</v>
      </c>
      <c r="C36" s="29" t="s">
        <v>102</v>
      </c>
      <c r="D36" s="29" t="s">
        <v>103</v>
      </c>
      <c r="E36" s="51" t="s">
        <v>119</v>
      </c>
      <c r="F36" s="91">
        <v>6.2666009999999996</v>
      </c>
      <c r="G36" s="22">
        <f>F36/SUM(F$34:F$38)</f>
        <v>4.9690218023111632E-2</v>
      </c>
      <c r="H36" s="98">
        <f t="shared" si="3"/>
        <v>5.4366067539086433</v>
      </c>
      <c r="I36" s="98">
        <f t="shared" si="3"/>
        <v>6.2664333948946078</v>
      </c>
    </row>
    <row r="37" spans="2:10" x14ac:dyDescent="0.5">
      <c r="B37" s="8" t="s">
        <v>122</v>
      </c>
      <c r="C37" s="29" t="s">
        <v>102</v>
      </c>
      <c r="D37" s="29" t="s">
        <v>103</v>
      </c>
      <c r="E37" s="51" t="s">
        <v>119</v>
      </c>
      <c r="F37" s="91">
        <v>6.2996759999999998</v>
      </c>
      <c r="G37" s="22">
        <f>F37/SUM(F$34:F$38)</f>
        <v>4.9952482041694342E-2</v>
      </c>
      <c r="H37" s="98">
        <f t="shared" si="3"/>
        <v>5.465301060181778</v>
      </c>
      <c r="I37" s="98">
        <f t="shared" si="3"/>
        <v>6.2995075102780733</v>
      </c>
    </row>
    <row r="38" spans="2:10" x14ac:dyDescent="0.5">
      <c r="B38" s="8" t="s">
        <v>123</v>
      </c>
      <c r="C38" s="29" t="s">
        <v>102</v>
      </c>
      <c r="D38" s="29" t="s">
        <v>103</v>
      </c>
      <c r="E38" s="51" t="s">
        <v>119</v>
      </c>
      <c r="F38" s="91">
        <f>7.50002-3.380506</f>
        <v>4.1195140000000006</v>
      </c>
      <c r="G38" s="22">
        <f>F38/SUM(F$34:F$38)</f>
        <v>3.2665163907716593E-2</v>
      </c>
      <c r="H38" s="98">
        <f t="shared" si="3"/>
        <v>3.5738955831432722</v>
      </c>
      <c r="I38" s="98">
        <f t="shared" si="3"/>
        <v>4.1194038204021393</v>
      </c>
    </row>
    <row r="39" spans="2:10" x14ac:dyDescent="0.5">
      <c r="B39" s="8" t="s">
        <v>124</v>
      </c>
      <c r="C39" s="29" t="s">
        <v>102</v>
      </c>
      <c r="D39" s="29" t="s">
        <v>103</v>
      </c>
      <c r="E39" s="51" t="s">
        <v>124</v>
      </c>
      <c r="F39" s="91">
        <v>33.120539999999998</v>
      </c>
      <c r="G39" s="22">
        <f>F39/F39</f>
        <v>1</v>
      </c>
      <c r="H39" s="98">
        <f>G17</f>
        <v>33.119999999999997</v>
      </c>
      <c r="I39" s="98">
        <f>H17</f>
        <v>33.119999999999997</v>
      </c>
    </row>
    <row r="40" spans="2:10" x14ac:dyDescent="0.5">
      <c r="B40" s="8" t="s">
        <v>125</v>
      </c>
      <c r="C40" s="29" t="s">
        <v>102</v>
      </c>
      <c r="D40" s="29" t="s">
        <v>103</v>
      </c>
      <c r="E40" s="51" t="s">
        <v>125</v>
      </c>
      <c r="F40" s="91">
        <v>19.725076000000001</v>
      </c>
      <c r="G40" s="22">
        <f>F40/F40</f>
        <v>1</v>
      </c>
      <c r="H40" s="98">
        <f>G13</f>
        <v>25.64</v>
      </c>
      <c r="I40" s="98">
        <f>H13</f>
        <v>19.72</v>
      </c>
    </row>
    <row r="41" spans="2:10" x14ac:dyDescent="0.5">
      <c r="B41" s="8" t="s">
        <v>126</v>
      </c>
      <c r="C41" s="29" t="s">
        <v>102</v>
      </c>
      <c r="D41" s="29" t="s">
        <v>103</v>
      </c>
      <c r="E41" s="51" t="s">
        <v>127</v>
      </c>
      <c r="F41" s="91">
        <v>45.846665999999999</v>
      </c>
      <c r="G41" s="22">
        <f>F41/F$10</f>
        <v>0.10908432345302414</v>
      </c>
      <c r="H41" s="98">
        <f>$G41*G$10</f>
        <v>46.830990901617803</v>
      </c>
      <c r="I41" s="98">
        <f>$G41*H$10</f>
        <v>46.658648730576346</v>
      </c>
    </row>
    <row r="42" spans="2:10" x14ac:dyDescent="0.5">
      <c r="B42" s="8" t="s">
        <v>128</v>
      </c>
      <c r="C42" s="29" t="s">
        <v>102</v>
      </c>
      <c r="D42" s="29" t="s">
        <v>103</v>
      </c>
      <c r="E42" s="51" t="s">
        <v>127</v>
      </c>
      <c r="F42" s="91">
        <v>41.006487999999997</v>
      </c>
      <c r="G42" s="22">
        <f t="shared" ref="G42:G56" si="4">F42/F$10</f>
        <v>9.7567945304126436E-2</v>
      </c>
      <c r="H42" s="98">
        <f t="shared" ref="H42:I56" si="5">$G42*G$10</f>
        <v>41.886894598514523</v>
      </c>
      <c r="I42" s="98">
        <f t="shared" si="5"/>
        <v>41.73274713730752</v>
      </c>
    </row>
    <row r="43" spans="2:10" x14ac:dyDescent="0.5">
      <c r="B43" s="8" t="s">
        <v>129</v>
      </c>
      <c r="C43" s="29" t="s">
        <v>102</v>
      </c>
      <c r="D43" s="29" t="s">
        <v>103</v>
      </c>
      <c r="E43" s="51" t="s">
        <v>127</v>
      </c>
      <c r="F43" s="91">
        <v>45.551245000000002</v>
      </c>
      <c r="G43" s="22">
        <f t="shared" si="4"/>
        <v>0.10838141956206694</v>
      </c>
      <c r="H43" s="98">
        <f t="shared" si="5"/>
        <v>46.529227232190962</v>
      </c>
      <c r="I43" s="98">
        <f t="shared" si="5"/>
        <v>46.357995578030085</v>
      </c>
    </row>
    <row r="44" spans="2:10" x14ac:dyDescent="0.5">
      <c r="B44" s="8" t="s">
        <v>130</v>
      </c>
      <c r="C44" s="29" t="s">
        <v>102</v>
      </c>
      <c r="D44" s="29" t="s">
        <v>103</v>
      </c>
      <c r="E44" s="51" t="s">
        <v>127</v>
      </c>
      <c r="F44" s="91">
        <v>15.042509000000001</v>
      </c>
      <c r="G44" s="22">
        <f t="shared" si="4"/>
        <v>3.5791084946090235E-2</v>
      </c>
      <c r="H44" s="98">
        <f t="shared" si="5"/>
        <v>15.365470678206</v>
      </c>
      <c r="I44" s="98">
        <f t="shared" si="5"/>
        <v>15.30892439283444</v>
      </c>
    </row>
    <row r="45" spans="2:10" x14ac:dyDescent="0.5">
      <c r="B45" s="8" t="s">
        <v>131</v>
      </c>
      <c r="C45" s="29" t="s">
        <v>102</v>
      </c>
      <c r="D45" s="29" t="s">
        <v>103</v>
      </c>
      <c r="E45" s="51" t="s">
        <v>127</v>
      </c>
      <c r="F45" s="91">
        <v>19.520244000000002</v>
      </c>
      <c r="G45" s="22">
        <f t="shared" si="4"/>
        <v>4.6445091784383059E-2</v>
      </c>
      <c r="H45" s="98">
        <f t="shared" si="5"/>
        <v>19.939342353953492</v>
      </c>
      <c r="I45" s="98">
        <f t="shared" si="5"/>
        <v>19.865963817982767</v>
      </c>
    </row>
    <row r="46" spans="2:10" x14ac:dyDescent="0.5">
      <c r="B46" s="8" t="s">
        <v>132</v>
      </c>
      <c r="C46" s="29" t="s">
        <v>102</v>
      </c>
      <c r="D46" s="29" t="s">
        <v>103</v>
      </c>
      <c r="E46" s="51" t="s">
        <v>127</v>
      </c>
      <c r="F46" s="91">
        <v>65.185143999999994</v>
      </c>
      <c r="G46" s="22">
        <f>F46/F11</f>
        <v>1</v>
      </c>
      <c r="H46" s="98">
        <f>$G46*G$11</f>
        <v>52.15</v>
      </c>
      <c r="I46" s="98">
        <f>$G46*H$11</f>
        <v>66.339627320949276</v>
      </c>
      <c r="J46" s="120"/>
    </row>
    <row r="47" spans="2:10" x14ac:dyDescent="0.5">
      <c r="B47" s="8" t="s">
        <v>133</v>
      </c>
      <c r="C47" s="29" t="s">
        <v>102</v>
      </c>
      <c r="D47" s="29" t="s">
        <v>103</v>
      </c>
      <c r="E47" s="51" t="s">
        <v>127</v>
      </c>
      <c r="F47" s="91">
        <f>40.688719-0.846753</f>
        <v>39.841965999999999</v>
      </c>
      <c r="G47" s="22">
        <f t="shared" si="4"/>
        <v>9.47971637926385E-2</v>
      </c>
      <c r="H47" s="98">
        <f>$G47*G$10</f>
        <v>40.697370387817642</v>
      </c>
      <c r="I47" s="98">
        <f>$G47*H$10</f>
        <v>40.5476004804704</v>
      </c>
      <c r="J47" s="120"/>
    </row>
    <row r="48" spans="2:10" x14ac:dyDescent="0.5">
      <c r="B48" s="8" t="s">
        <v>134</v>
      </c>
      <c r="C48" s="29" t="s">
        <v>102</v>
      </c>
      <c r="D48" s="29" t="s">
        <v>103</v>
      </c>
      <c r="E48" s="51" t="s">
        <v>127</v>
      </c>
      <c r="F48" s="91">
        <v>80.848378999999994</v>
      </c>
      <c r="G48" s="22">
        <f>F48/F$12</f>
        <v>1</v>
      </c>
      <c r="H48" s="98">
        <f>$G48*G$12</f>
        <v>72.77</v>
      </c>
      <c r="I48" s="98">
        <f>$G48*H$12</f>
        <v>82.280271289465318</v>
      </c>
      <c r="J48" s="120"/>
    </row>
    <row r="49" spans="1:10" x14ac:dyDescent="0.5">
      <c r="B49" s="8" t="s">
        <v>135</v>
      </c>
      <c r="C49" s="29" t="s">
        <v>102</v>
      </c>
      <c r="D49" s="29" t="s">
        <v>103</v>
      </c>
      <c r="E49" s="51" t="s">
        <v>127</v>
      </c>
      <c r="F49" s="91">
        <v>9.0065150000000003</v>
      </c>
      <c r="G49" s="22">
        <f t="shared" si="4"/>
        <v>2.1429466549312742E-2</v>
      </c>
      <c r="H49" s="98">
        <f t="shared" si="5"/>
        <v>9.1998842842854547</v>
      </c>
      <c r="I49" s="98">
        <f t="shared" si="5"/>
        <v>9.166027899862268</v>
      </c>
    </row>
    <row r="50" spans="1:10" x14ac:dyDescent="0.5">
      <c r="B50" s="8" t="s">
        <v>136</v>
      </c>
      <c r="C50" s="29" t="s">
        <v>102</v>
      </c>
      <c r="D50" s="29" t="s">
        <v>103</v>
      </c>
      <c r="E50" s="51" t="s">
        <v>127</v>
      </c>
      <c r="F50" s="91">
        <v>35.633046999999998</v>
      </c>
      <c r="G50" s="22">
        <f t="shared" si="4"/>
        <v>8.4782758784789539E-2</v>
      </c>
      <c r="H50" s="98">
        <f t="shared" si="5"/>
        <v>36.398086173898001</v>
      </c>
      <c r="I50" s="98">
        <f t="shared" si="5"/>
        <v>36.264138011106795</v>
      </c>
    </row>
    <row r="51" spans="1:10" x14ac:dyDescent="0.5">
      <c r="B51" s="8" t="s">
        <v>137</v>
      </c>
      <c r="C51" s="29" t="s">
        <v>102</v>
      </c>
      <c r="D51" s="29" t="s">
        <v>103</v>
      </c>
      <c r="E51" s="51" t="s">
        <v>127</v>
      </c>
      <c r="F51" s="91">
        <v>6.37263</v>
      </c>
      <c r="G51" s="22">
        <f t="shared" si="4"/>
        <v>1.5162586351784997E-2</v>
      </c>
      <c r="H51" s="98">
        <f t="shared" si="5"/>
        <v>6.5094499466848186</v>
      </c>
      <c r="I51" s="98">
        <f t="shared" si="5"/>
        <v>6.4854945975773406</v>
      </c>
    </row>
    <row r="52" spans="1:10" x14ac:dyDescent="0.5">
      <c r="B52" s="8" t="s">
        <v>138</v>
      </c>
      <c r="C52" s="29" t="s">
        <v>102</v>
      </c>
      <c r="D52" s="29" t="s">
        <v>103</v>
      </c>
      <c r="E52" s="51" t="s">
        <v>127</v>
      </c>
      <c r="F52" s="91">
        <v>18.907277000000001</v>
      </c>
      <c r="G52" s="22">
        <f t="shared" si="4"/>
        <v>4.4986641337974809E-2</v>
      </c>
      <c r="H52" s="98">
        <f t="shared" si="5"/>
        <v>19.313214992805968</v>
      </c>
      <c r="I52" s="98">
        <f t="shared" si="5"/>
        <v>19.242140660668877</v>
      </c>
    </row>
    <row r="53" spans="1:10" x14ac:dyDescent="0.5">
      <c r="B53" s="8" t="s">
        <v>139</v>
      </c>
      <c r="C53" s="29" t="s">
        <v>102</v>
      </c>
      <c r="D53" s="29" t="s">
        <v>103</v>
      </c>
      <c r="E53" s="51" t="s">
        <v>127</v>
      </c>
      <c r="F53" s="91">
        <v>26.005393999999999</v>
      </c>
      <c r="G53" s="22">
        <f t="shared" si="4"/>
        <v>6.1875400287980227E-2</v>
      </c>
      <c r="H53" s="98">
        <f t="shared" si="5"/>
        <v>26.563728097632794</v>
      </c>
      <c r="I53" s="98">
        <f t="shared" si="5"/>
        <v>26.465971238698963</v>
      </c>
    </row>
    <row r="54" spans="1:10" x14ac:dyDescent="0.5">
      <c r="B54" s="8" t="s">
        <v>140</v>
      </c>
      <c r="C54" s="29" t="s">
        <v>102</v>
      </c>
      <c r="D54" s="29" t="s">
        <v>103</v>
      </c>
      <c r="E54" s="51" t="s">
        <v>127</v>
      </c>
      <c r="F54" s="91">
        <v>31.162106000000001</v>
      </c>
      <c r="G54" s="22">
        <f t="shared" si="4"/>
        <v>7.4144917110906705E-2</v>
      </c>
      <c r="H54" s="98">
        <f t="shared" si="5"/>
        <v>31.831154364883361</v>
      </c>
      <c r="I54" s="98">
        <f t="shared" si="5"/>
        <v>31.714012913370532</v>
      </c>
    </row>
    <row r="55" spans="1:10" x14ac:dyDescent="0.5">
      <c r="B55" s="8" t="s">
        <v>141</v>
      </c>
      <c r="C55" s="29" t="s">
        <v>102</v>
      </c>
      <c r="D55" s="29" t="s">
        <v>103</v>
      </c>
      <c r="E55" s="51" t="s">
        <v>127</v>
      </c>
      <c r="F55" s="91">
        <v>11.200151</v>
      </c>
      <c r="G55" s="22">
        <f t="shared" si="4"/>
        <v>2.6648849327598038E-2</v>
      </c>
      <c r="H55" s="98">
        <f t="shared" si="5"/>
        <v>11.440617504831115</v>
      </c>
      <c r="I55" s="98">
        <f t="shared" si="5"/>
        <v>11.398515024809294</v>
      </c>
    </row>
    <row r="56" spans="1:10" x14ac:dyDescent="0.5">
      <c r="B56" s="8" t="s">
        <v>142</v>
      </c>
      <c r="C56" s="29" t="s">
        <v>102</v>
      </c>
      <c r="D56" s="29" t="s">
        <v>103</v>
      </c>
      <c r="E56" s="51" t="s">
        <v>127</v>
      </c>
      <c r="F56" s="91">
        <f>75.188629</f>
        <v>75.188629000000006</v>
      </c>
      <c r="G56" s="22">
        <f t="shared" si="4"/>
        <v>0.178898520686879</v>
      </c>
      <c r="H56" s="98">
        <f t="shared" si="5"/>
        <v>76.80292391608404</v>
      </c>
      <c r="I56" s="98">
        <f t="shared" si="5"/>
        <v>76.520282391845598</v>
      </c>
    </row>
    <row r="57" spans="1:10" x14ac:dyDescent="0.5">
      <c r="E57" s="49"/>
      <c r="F57" s="119"/>
      <c r="G57" s="131"/>
      <c r="H57" s="119"/>
      <c r="I57" s="152"/>
    </row>
    <row r="58" spans="1:10" ht="19" thickBot="1" x14ac:dyDescent="0.55000000000000004">
      <c r="A58" s="14" t="s">
        <v>193</v>
      </c>
      <c r="E58" s="49"/>
      <c r="F58" s="119"/>
      <c r="G58" s="119"/>
    </row>
    <row r="59" spans="1:10" ht="17" thickTop="1" x14ac:dyDescent="0.5">
      <c r="G59" s="216"/>
      <c r="H59" s="119"/>
    </row>
    <row r="60" spans="1:10" ht="16" customHeight="1" thickBot="1" x14ac:dyDescent="0.55000000000000004">
      <c r="B60" s="66" t="s">
        <v>144</v>
      </c>
      <c r="C60" s="66" t="s">
        <v>96</v>
      </c>
      <c r="D60" s="66" t="s">
        <v>97</v>
      </c>
      <c r="E60" s="50"/>
      <c r="F60" s="11" t="s">
        <v>314</v>
      </c>
      <c r="G60" s="11" t="s">
        <v>329</v>
      </c>
      <c r="H60" s="11" t="s">
        <v>330</v>
      </c>
      <c r="I60" s="11" t="s">
        <v>317</v>
      </c>
    </row>
    <row r="61" spans="1:10" ht="16" customHeight="1" x14ac:dyDescent="0.5">
      <c r="B61" s="59" t="s">
        <v>146</v>
      </c>
      <c r="C61" s="137" t="s">
        <v>102</v>
      </c>
      <c r="D61" s="137" t="s">
        <v>103</v>
      </c>
      <c r="E61" s="51" t="s">
        <v>147</v>
      </c>
      <c r="F61" s="91">
        <v>88.63</v>
      </c>
      <c r="G61" s="91">
        <v>97.05</v>
      </c>
      <c r="H61" s="91">
        <v>88.63</v>
      </c>
      <c r="I61" s="111">
        <f>G61-F61</f>
        <v>8.4200000000000017</v>
      </c>
      <c r="J61" s="97">
        <f t="shared" ref="J61:J73" si="6">(G61-F61)/F61</f>
        <v>9.5001692429200063E-2</v>
      </c>
    </row>
    <row r="62" spans="1:10" ht="16" customHeight="1" x14ac:dyDescent="0.5">
      <c r="B62" s="59" t="s">
        <v>331</v>
      </c>
      <c r="C62" s="137" t="s">
        <v>102</v>
      </c>
      <c r="D62" s="137" t="s">
        <v>103</v>
      </c>
      <c r="E62" s="51" t="s">
        <v>147</v>
      </c>
      <c r="F62" s="91">
        <v>272.66000000000003</v>
      </c>
      <c r="G62" s="91">
        <v>287.66000000000003</v>
      </c>
      <c r="H62" s="91">
        <v>272.66000000000003</v>
      </c>
      <c r="I62" s="111">
        <f t="shared" ref="I62:I73" si="7">G62-F62</f>
        <v>15</v>
      </c>
      <c r="J62" s="97">
        <f t="shared" si="6"/>
        <v>5.5013570013936766E-2</v>
      </c>
    </row>
    <row r="63" spans="1:10" ht="16" customHeight="1" x14ac:dyDescent="0.5">
      <c r="B63" s="59" t="s">
        <v>332</v>
      </c>
      <c r="C63" s="137" t="s">
        <v>102</v>
      </c>
      <c r="D63" s="137" t="s">
        <v>103</v>
      </c>
      <c r="E63" s="51" t="s">
        <v>147</v>
      </c>
      <c r="F63" s="91">
        <v>49.09</v>
      </c>
      <c r="G63" s="91">
        <v>51.54</v>
      </c>
      <c r="H63" s="91">
        <v>49.09</v>
      </c>
      <c r="I63" s="111">
        <f t="shared" si="7"/>
        <v>2.4499999999999957</v>
      </c>
      <c r="J63" s="97">
        <f t="shared" si="6"/>
        <v>4.9908331635770943E-2</v>
      </c>
    </row>
    <row r="64" spans="1:10" ht="16" customHeight="1" x14ac:dyDescent="0.5">
      <c r="B64" s="59" t="s">
        <v>333</v>
      </c>
      <c r="C64" s="137" t="s">
        <v>102</v>
      </c>
      <c r="D64" s="137" t="s">
        <v>103</v>
      </c>
      <c r="E64" s="51" t="s">
        <v>147</v>
      </c>
      <c r="F64" s="91">
        <v>22.98</v>
      </c>
      <c r="G64" s="91">
        <v>22.98</v>
      </c>
      <c r="H64" s="132">
        <v>22.98</v>
      </c>
      <c r="I64" s="111">
        <f t="shared" si="7"/>
        <v>0</v>
      </c>
      <c r="J64" s="97">
        <f t="shared" si="6"/>
        <v>0</v>
      </c>
    </row>
    <row r="65" spans="2:14" ht="16" customHeight="1" x14ac:dyDescent="0.5">
      <c r="B65" s="59" t="s">
        <v>159</v>
      </c>
      <c r="C65" s="137" t="s">
        <v>102</v>
      </c>
      <c r="D65" s="137" t="s">
        <v>103</v>
      </c>
      <c r="E65" s="51" t="s">
        <v>147</v>
      </c>
      <c r="F65" s="91">
        <v>3.74</v>
      </c>
      <c r="G65" s="91">
        <v>3.74</v>
      </c>
      <c r="H65" s="91">
        <v>3.74</v>
      </c>
      <c r="I65" s="111">
        <f t="shared" si="7"/>
        <v>0</v>
      </c>
      <c r="J65" s="97">
        <f t="shared" si="6"/>
        <v>0</v>
      </c>
      <c r="L65" s="119"/>
      <c r="M65" s="119"/>
      <c r="N65" s="97"/>
    </row>
    <row r="66" spans="2:14" ht="16" customHeight="1" x14ac:dyDescent="0.5">
      <c r="B66" s="59" t="s">
        <v>163</v>
      </c>
      <c r="C66" s="137" t="s">
        <v>102</v>
      </c>
      <c r="D66" s="137" t="s">
        <v>103</v>
      </c>
      <c r="E66" s="51" t="s">
        <v>162</v>
      </c>
      <c r="F66" s="91">
        <v>175.62</v>
      </c>
      <c r="G66" s="91">
        <v>175.62</v>
      </c>
      <c r="H66" s="91">
        <v>175.62</v>
      </c>
      <c r="I66" s="111">
        <f t="shared" si="7"/>
        <v>0</v>
      </c>
      <c r="J66" s="97">
        <f t="shared" si="6"/>
        <v>0</v>
      </c>
    </row>
    <row r="67" spans="2:14" ht="16" customHeight="1" x14ac:dyDescent="0.5">
      <c r="B67" s="59" t="s">
        <v>164</v>
      </c>
      <c r="C67" s="137" t="s">
        <v>102</v>
      </c>
      <c r="D67" s="137" t="s">
        <v>103</v>
      </c>
      <c r="E67" s="51" t="s">
        <v>162</v>
      </c>
      <c r="F67" s="91">
        <v>27.28</v>
      </c>
      <c r="G67" s="91">
        <v>27.28</v>
      </c>
      <c r="H67" s="91">
        <v>27.28</v>
      </c>
      <c r="I67" s="111">
        <f t="shared" si="7"/>
        <v>0</v>
      </c>
      <c r="J67" s="97">
        <f t="shared" si="6"/>
        <v>0</v>
      </c>
      <c r="K67" s="119"/>
    </row>
    <row r="68" spans="2:14" ht="16" customHeight="1" x14ac:dyDescent="0.5">
      <c r="B68" s="59" t="s">
        <v>334</v>
      </c>
      <c r="C68" s="137" t="s">
        <v>102</v>
      </c>
      <c r="D68" s="137" t="s">
        <v>103</v>
      </c>
      <c r="E68" s="51" t="s">
        <v>168</v>
      </c>
      <c r="F68" s="91">
        <v>69.58</v>
      </c>
      <c r="G68" s="91">
        <v>69.739999999999995</v>
      </c>
      <c r="H68" s="91">
        <v>69.739999999999995</v>
      </c>
      <c r="I68" s="111">
        <f>G68-F68</f>
        <v>0.15999999999999659</v>
      </c>
      <c r="J68" s="97">
        <f t="shared" si="6"/>
        <v>2.2995113538372604E-3</v>
      </c>
    </row>
    <row r="69" spans="2:14" ht="16" customHeight="1" x14ac:dyDescent="0.5">
      <c r="B69" s="59" t="s">
        <v>264</v>
      </c>
      <c r="C69" s="137" t="s">
        <v>102</v>
      </c>
      <c r="D69" s="137" t="s">
        <v>103</v>
      </c>
      <c r="E69" s="51" t="s">
        <v>166</v>
      </c>
      <c r="F69" s="91">
        <v>53.08</v>
      </c>
      <c r="G69" s="91">
        <v>53.08</v>
      </c>
      <c r="H69" s="91">
        <v>53.08</v>
      </c>
      <c r="I69" s="111">
        <f t="shared" si="7"/>
        <v>0</v>
      </c>
      <c r="J69" s="97">
        <f t="shared" si="6"/>
        <v>0</v>
      </c>
    </row>
    <row r="70" spans="2:14" ht="16" customHeight="1" x14ac:dyDescent="0.5">
      <c r="B70" s="59" t="s">
        <v>176</v>
      </c>
      <c r="C70" s="137" t="s">
        <v>102</v>
      </c>
      <c r="D70" s="137" t="s">
        <v>103</v>
      </c>
      <c r="E70" s="51" t="s">
        <v>176</v>
      </c>
      <c r="F70" s="91">
        <v>145.02000000000001</v>
      </c>
      <c r="G70" s="91">
        <v>146.43</v>
      </c>
      <c r="H70" s="91">
        <v>146.43</v>
      </c>
      <c r="I70" s="111">
        <f t="shared" si="7"/>
        <v>1.4099999999999966</v>
      </c>
      <c r="J70" s="97">
        <f t="shared" si="6"/>
        <v>9.7227968556060987E-3</v>
      </c>
    </row>
    <row r="71" spans="2:14" ht="16" customHeight="1" x14ac:dyDescent="0.5">
      <c r="B71" s="59" t="s">
        <v>172</v>
      </c>
      <c r="C71" s="137" t="s">
        <v>102</v>
      </c>
      <c r="D71" s="137" t="s">
        <v>103</v>
      </c>
      <c r="E71" s="51" t="s">
        <v>172</v>
      </c>
      <c r="F71" s="91">
        <v>117.75</v>
      </c>
      <c r="G71" s="91">
        <v>121.24</v>
      </c>
      <c r="H71" s="91">
        <v>121.28</v>
      </c>
      <c r="I71" s="111">
        <f t="shared" si="7"/>
        <v>3.4899999999999949</v>
      </c>
      <c r="J71" s="97">
        <f t="shared" si="6"/>
        <v>2.9639065817409722E-2</v>
      </c>
    </row>
    <row r="72" spans="2:14" ht="16" customHeight="1" x14ac:dyDescent="0.5">
      <c r="B72" s="59" t="s">
        <v>335</v>
      </c>
      <c r="C72" s="137" t="s">
        <v>102</v>
      </c>
      <c r="D72" s="137" t="s">
        <v>103</v>
      </c>
      <c r="E72" s="51" t="s">
        <v>184</v>
      </c>
      <c r="F72" s="91">
        <v>7.32</v>
      </c>
      <c r="G72" s="91">
        <v>7.32</v>
      </c>
      <c r="H72" s="91">
        <v>7.32</v>
      </c>
      <c r="I72" s="111">
        <f t="shared" si="7"/>
        <v>0</v>
      </c>
      <c r="J72" s="97">
        <f t="shared" si="6"/>
        <v>0</v>
      </c>
    </row>
    <row r="73" spans="2:14" ht="16" customHeight="1" thickBot="1" x14ac:dyDescent="0.55000000000000004">
      <c r="B73" s="138" t="s">
        <v>336</v>
      </c>
      <c r="C73" s="139" t="s">
        <v>102</v>
      </c>
      <c r="D73" s="139" t="s">
        <v>103</v>
      </c>
      <c r="E73" s="52" t="s">
        <v>187</v>
      </c>
      <c r="F73" s="136">
        <v>21.389655999999999</v>
      </c>
      <c r="G73" s="136">
        <v>21.389655999999999</v>
      </c>
      <c r="H73" s="136">
        <v>21.389655999999999</v>
      </c>
      <c r="I73" s="100">
        <f t="shared" si="7"/>
        <v>0</v>
      </c>
      <c r="J73" s="97">
        <f t="shared" si="6"/>
        <v>0</v>
      </c>
    </row>
    <row r="74" spans="2:14" ht="16" customHeight="1" x14ac:dyDescent="0.5">
      <c r="B74" s="59" t="s">
        <v>337</v>
      </c>
      <c r="C74" s="137" t="s">
        <v>102</v>
      </c>
      <c r="D74" s="137" t="s">
        <v>103</v>
      </c>
      <c r="E74" s="51" t="s">
        <v>124</v>
      </c>
      <c r="F74" s="91">
        <f>SUM(F61:F73)</f>
        <v>1054.1396560000001</v>
      </c>
      <c r="G74" s="91">
        <f>SUM(G61:G73)</f>
        <v>1085.0696560000001</v>
      </c>
      <c r="H74" s="91">
        <f>SUM(H61:H73)</f>
        <v>1059.239656</v>
      </c>
      <c r="I74" s="111">
        <f>G74-F74</f>
        <v>30.930000000000064</v>
      </c>
      <c r="J74" s="97">
        <f>(G74-F74)/F74</f>
        <v>2.9341463271921591E-2</v>
      </c>
      <c r="K74" s="97"/>
    </row>
    <row r="75" spans="2:14" ht="16" customHeight="1" x14ac:dyDescent="0.5">
      <c r="F75" s="119"/>
      <c r="G75" s="119"/>
      <c r="H75" s="97"/>
      <c r="I75" s="97"/>
      <c r="J75" s="97"/>
      <c r="K75" s="97"/>
    </row>
    <row r="76" spans="2:14" ht="17" thickBot="1" x14ac:dyDescent="0.55000000000000004">
      <c r="B76" s="27" t="s">
        <v>306</v>
      </c>
      <c r="C76" s="27" t="s">
        <v>96</v>
      </c>
      <c r="D76" s="27" t="s">
        <v>97</v>
      </c>
      <c r="E76" s="50" t="s">
        <v>144</v>
      </c>
      <c r="F76" s="11" t="s">
        <v>314</v>
      </c>
      <c r="G76" s="11" t="s">
        <v>328</v>
      </c>
      <c r="H76" s="11" t="s">
        <v>329</v>
      </c>
    </row>
    <row r="77" spans="2:14" x14ac:dyDescent="0.5">
      <c r="B77" s="8" t="s">
        <v>146</v>
      </c>
      <c r="C77" s="29" t="s">
        <v>102</v>
      </c>
      <c r="D77" s="29" t="s">
        <v>103</v>
      </c>
      <c r="E77" s="51" t="s">
        <v>147</v>
      </c>
      <c r="F77" s="91">
        <v>88.626523000000006</v>
      </c>
      <c r="G77" s="22">
        <f>F77/F61</f>
        <v>0.9999607694911431</v>
      </c>
      <c r="H77" s="98">
        <f>G77*G61</f>
        <v>97.046192679115435</v>
      </c>
    </row>
    <row r="78" spans="2:14" x14ac:dyDescent="0.5">
      <c r="B78" s="8" t="s">
        <v>148</v>
      </c>
      <c r="C78" s="29" t="s">
        <v>102</v>
      </c>
      <c r="D78" s="29" t="s">
        <v>103</v>
      </c>
      <c r="E78" s="51" t="s">
        <v>147</v>
      </c>
      <c r="F78" s="91">
        <v>3.83475162797312</v>
      </c>
      <c r="G78" s="22">
        <f>F78/F$62</f>
        <v>1.4064225144770482E-2</v>
      </c>
      <c r="H78" s="98">
        <f>G78*G$62</f>
        <v>4.0457150051446771</v>
      </c>
    </row>
    <row r="79" spans="2:14" x14ac:dyDescent="0.5">
      <c r="B79" s="8" t="s">
        <v>149</v>
      </c>
      <c r="C79" s="29" t="s">
        <v>102</v>
      </c>
      <c r="D79" s="29" t="s">
        <v>103</v>
      </c>
      <c r="E79" s="51" t="s">
        <v>147</v>
      </c>
      <c r="F79" s="91">
        <v>30.116549962321756</v>
      </c>
      <c r="G79" s="22">
        <f t="shared" ref="G79:G86" si="8">F79/F$62</f>
        <v>0.11045459532869417</v>
      </c>
      <c r="H79" s="98">
        <f t="shared" ref="H79:H87" si="9">G79*G$62</f>
        <v>31.773368892252169</v>
      </c>
    </row>
    <row r="80" spans="2:14" x14ac:dyDescent="0.5">
      <c r="B80" s="8" t="s">
        <v>150</v>
      </c>
      <c r="C80" s="29" t="s">
        <v>102</v>
      </c>
      <c r="D80" s="29" t="s">
        <v>103</v>
      </c>
      <c r="E80" s="51" t="s">
        <v>147</v>
      </c>
      <c r="F80" s="91">
        <v>20.372248470208369</v>
      </c>
      <c r="G80" s="22">
        <f t="shared" si="8"/>
        <v>7.4716674503808284E-2</v>
      </c>
      <c r="H80" s="98">
        <f t="shared" si="9"/>
        <v>21.492998587765491</v>
      </c>
    </row>
    <row r="81" spans="2:8" x14ac:dyDescent="0.5">
      <c r="B81" s="8" t="s">
        <v>151</v>
      </c>
      <c r="C81" s="29" t="s">
        <v>102</v>
      </c>
      <c r="D81" s="29" t="s">
        <v>103</v>
      </c>
      <c r="E81" s="51" t="s">
        <v>147</v>
      </c>
      <c r="F81" s="91">
        <v>13.085253469238936</v>
      </c>
      <c r="G81" s="22">
        <f t="shared" si="8"/>
        <v>4.799110052533901E-2</v>
      </c>
      <c r="H81" s="98">
        <f t="shared" si="9"/>
        <v>13.805119977119022</v>
      </c>
    </row>
    <row r="82" spans="2:8" x14ac:dyDescent="0.5">
      <c r="B82" s="8" t="s">
        <v>152</v>
      </c>
      <c r="C82" s="29" t="s">
        <v>102</v>
      </c>
      <c r="D82" s="29" t="s">
        <v>103</v>
      </c>
      <c r="E82" s="51" t="s">
        <v>147</v>
      </c>
      <c r="F82" s="91">
        <v>26.821904018239749</v>
      </c>
      <c r="G82" s="22">
        <f t="shared" si="8"/>
        <v>9.8371246307634955E-2</v>
      </c>
      <c r="H82" s="98">
        <f t="shared" si="9"/>
        <v>28.297472712854272</v>
      </c>
    </row>
    <row r="83" spans="2:8" x14ac:dyDescent="0.5">
      <c r="B83" s="8" t="s">
        <v>153</v>
      </c>
      <c r="C83" s="29" t="s">
        <v>102</v>
      </c>
      <c r="D83" s="29" t="s">
        <v>103</v>
      </c>
      <c r="E83" s="51" t="s">
        <v>147</v>
      </c>
      <c r="F83" s="91">
        <v>5.8806217677128902</v>
      </c>
      <c r="G83" s="22">
        <f t="shared" si="8"/>
        <v>2.1567599822903578E-2</v>
      </c>
      <c r="H83" s="98">
        <f t="shared" si="9"/>
        <v>6.2041357650564439</v>
      </c>
    </row>
    <row r="84" spans="2:8" x14ac:dyDescent="0.5">
      <c r="B84" s="8" t="s">
        <v>154</v>
      </c>
      <c r="C84" s="29" t="s">
        <v>102</v>
      </c>
      <c r="D84" s="29" t="s">
        <v>103</v>
      </c>
      <c r="E84" s="51" t="s">
        <v>147</v>
      </c>
      <c r="F84" s="91">
        <v>30.219690555242945</v>
      </c>
      <c r="G84" s="22">
        <f t="shared" si="8"/>
        <v>0.11083287081069076</v>
      </c>
      <c r="H84" s="98">
        <f t="shared" si="9"/>
        <v>31.882183617403307</v>
      </c>
    </row>
    <row r="85" spans="2:8" x14ac:dyDescent="0.5">
      <c r="B85" s="8" t="s">
        <v>155</v>
      </c>
      <c r="C85" s="29" t="s">
        <v>102</v>
      </c>
      <c r="D85" s="29" t="s">
        <v>103</v>
      </c>
      <c r="E85" s="51" t="s">
        <v>147</v>
      </c>
      <c r="F85" s="91">
        <v>16.408204129062284</v>
      </c>
      <c r="G85" s="22">
        <f t="shared" si="8"/>
        <v>6.017825911047562E-2</v>
      </c>
      <c r="H85" s="98">
        <f t="shared" si="9"/>
        <v>17.310878015719418</v>
      </c>
    </row>
    <row r="86" spans="2:8" x14ac:dyDescent="0.5">
      <c r="B86" s="8" t="s">
        <v>156</v>
      </c>
      <c r="C86" s="29" t="s">
        <v>102</v>
      </c>
      <c r="D86" s="29" t="s">
        <v>103</v>
      </c>
      <c r="E86" s="51" t="s">
        <v>147</v>
      </c>
      <c r="F86" s="91">
        <v>58.908906999999999</v>
      </c>
      <c r="G86" s="22">
        <f t="shared" si="8"/>
        <v>0.21605261864593264</v>
      </c>
      <c r="H86" s="98">
        <f t="shared" si="9"/>
        <v>62.149696279688989</v>
      </c>
    </row>
    <row r="87" spans="2:8" x14ac:dyDescent="0.5">
      <c r="B87" s="8" t="s">
        <v>157</v>
      </c>
      <c r="C87" s="29" t="s">
        <v>102</v>
      </c>
      <c r="D87" s="29" t="s">
        <v>103</v>
      </c>
      <c r="E87" s="51" t="s">
        <v>147</v>
      </c>
      <c r="F87" s="91">
        <v>67.014339000000007</v>
      </c>
      <c r="G87" s="22">
        <f>F87/F$62</f>
        <v>0.24577986870094623</v>
      </c>
      <c r="H87" s="98">
        <f t="shared" si="9"/>
        <v>70.7010370305142</v>
      </c>
    </row>
    <row r="88" spans="2:8" x14ac:dyDescent="0.5">
      <c r="B88" s="8" t="s">
        <v>158</v>
      </c>
      <c r="C88" s="29" t="s">
        <v>102</v>
      </c>
      <c r="D88" s="29" t="s">
        <v>103</v>
      </c>
      <c r="E88" s="51" t="s">
        <v>147</v>
      </c>
      <c r="F88" s="91">
        <v>22.976572000000001</v>
      </c>
      <c r="G88" s="22">
        <f>F88/F64</f>
        <v>0.99985082680591819</v>
      </c>
      <c r="H88" s="98">
        <f>G88*G64</f>
        <v>22.976572000000001</v>
      </c>
    </row>
    <row r="89" spans="2:8" x14ac:dyDescent="0.5">
      <c r="B89" s="8" t="s">
        <v>159</v>
      </c>
      <c r="C89" s="29" t="s">
        <v>102</v>
      </c>
      <c r="D89" s="29" t="s">
        <v>103</v>
      </c>
      <c r="E89" s="51" t="s">
        <v>147</v>
      </c>
      <c r="F89" s="91">
        <v>3.7439849999999999</v>
      </c>
      <c r="G89" s="22">
        <f>F89/F65</f>
        <v>1.0010655080213904</v>
      </c>
      <c r="H89" s="98">
        <f>G89*G65</f>
        <v>3.7439850000000003</v>
      </c>
    </row>
    <row r="90" spans="2:8" x14ac:dyDescent="0.5">
      <c r="B90" s="53" t="s">
        <v>160</v>
      </c>
      <c r="C90" s="29" t="s">
        <v>102</v>
      </c>
      <c r="D90" s="29" t="s">
        <v>103</v>
      </c>
      <c r="E90" s="51" t="s">
        <v>147</v>
      </c>
      <c r="F90" s="91">
        <v>49.094980999999997</v>
      </c>
      <c r="G90" s="22">
        <f>F90/F63</f>
        <v>1.0001014666938275</v>
      </c>
      <c r="H90" s="98">
        <f>G90*G63</f>
        <v>51.545229593399867</v>
      </c>
    </row>
    <row r="91" spans="2:8" x14ac:dyDescent="0.5">
      <c r="B91" s="53" t="s">
        <v>161</v>
      </c>
      <c r="C91" s="29" t="s">
        <v>102</v>
      </c>
      <c r="D91" s="29" t="s">
        <v>103</v>
      </c>
      <c r="E91" s="51" t="s">
        <v>147</v>
      </c>
      <c r="F91" s="18"/>
      <c r="G91" s="22"/>
      <c r="H91" s="98"/>
    </row>
    <row r="92" spans="2:8" x14ac:dyDescent="0.5">
      <c r="B92" s="53" t="s">
        <v>161</v>
      </c>
      <c r="C92" s="29" t="s">
        <v>102</v>
      </c>
      <c r="D92" s="29" t="s">
        <v>103</v>
      </c>
      <c r="E92" s="51" t="s">
        <v>147</v>
      </c>
      <c r="F92" s="91"/>
      <c r="G92" s="22"/>
      <c r="H92" s="98"/>
    </row>
    <row r="93" spans="2:8" x14ac:dyDescent="0.5">
      <c r="B93" s="8" t="s">
        <v>163</v>
      </c>
      <c r="C93" s="29" t="s">
        <v>102</v>
      </c>
      <c r="D93" s="29" t="s">
        <v>103</v>
      </c>
      <c r="E93" s="51" t="s">
        <v>162</v>
      </c>
      <c r="F93" s="91">
        <v>175.62</v>
      </c>
      <c r="G93" s="22">
        <f>F93/F66</f>
        <v>1</v>
      </c>
      <c r="H93" s="98">
        <f>G93*G66</f>
        <v>175.62</v>
      </c>
    </row>
    <row r="94" spans="2:8" x14ac:dyDescent="0.5">
      <c r="B94" s="8" t="s">
        <v>164</v>
      </c>
      <c r="C94" s="29" t="s">
        <v>102</v>
      </c>
      <c r="D94" s="29" t="s">
        <v>103</v>
      </c>
      <c r="E94" s="51" t="s">
        <v>162</v>
      </c>
      <c r="F94" s="91">
        <v>27.275317000000001</v>
      </c>
      <c r="G94" s="22">
        <f>F94/F67</f>
        <v>0.99982833577712615</v>
      </c>
      <c r="H94" s="98">
        <f>G94*G67</f>
        <v>27.275317000000001</v>
      </c>
    </row>
    <row r="95" spans="2:8" x14ac:dyDescent="0.5">
      <c r="B95" s="53" t="s">
        <v>165</v>
      </c>
      <c r="C95" s="29" t="s">
        <v>102</v>
      </c>
      <c r="D95" s="29" t="s">
        <v>103</v>
      </c>
      <c r="E95" s="51" t="s">
        <v>162</v>
      </c>
      <c r="F95" s="91"/>
      <c r="G95" s="22"/>
      <c r="H95" s="98"/>
    </row>
    <row r="96" spans="2:8" x14ac:dyDescent="0.5">
      <c r="B96" s="53" t="s">
        <v>161</v>
      </c>
      <c r="C96" s="29" t="s">
        <v>102</v>
      </c>
      <c r="D96" s="29" t="s">
        <v>103</v>
      </c>
      <c r="E96" s="51" t="s">
        <v>162</v>
      </c>
      <c r="F96" s="91"/>
      <c r="G96" s="22"/>
      <c r="H96" s="98"/>
    </row>
    <row r="97" spans="2:8" x14ac:dyDescent="0.5">
      <c r="B97" s="8" t="s">
        <v>166</v>
      </c>
      <c r="C97" s="29" t="s">
        <v>102</v>
      </c>
      <c r="D97" s="29" t="s">
        <v>103</v>
      </c>
      <c r="E97" s="51" t="s">
        <v>166</v>
      </c>
      <c r="F97" s="116">
        <v>53.079143000000002</v>
      </c>
      <c r="G97" s="219">
        <f>F97/F69</f>
        <v>0.99998385455915606</v>
      </c>
      <c r="H97" s="114">
        <f>G97*G69</f>
        <v>53.079143000000002</v>
      </c>
    </row>
    <row r="98" spans="2:8" x14ac:dyDescent="0.5">
      <c r="B98" s="8" t="s">
        <v>167</v>
      </c>
      <c r="C98" s="29" t="s">
        <v>102</v>
      </c>
      <c r="D98" s="29" t="s">
        <v>103</v>
      </c>
      <c r="E98" s="51" t="s">
        <v>168</v>
      </c>
      <c r="F98" s="91">
        <v>15.750733</v>
      </c>
      <c r="G98" s="22">
        <f>F98/F$68</f>
        <v>0.22636868352974993</v>
      </c>
      <c r="H98" s="98">
        <f>G98*G$68</f>
        <v>15.786951989364759</v>
      </c>
    </row>
    <row r="99" spans="2:8" x14ac:dyDescent="0.5">
      <c r="B99" s="8" t="s">
        <v>169</v>
      </c>
      <c r="C99" s="29" t="s">
        <v>102</v>
      </c>
      <c r="D99" s="29" t="s">
        <v>103</v>
      </c>
      <c r="E99" s="51" t="s">
        <v>168</v>
      </c>
      <c r="F99" s="91">
        <v>32.203845000000001</v>
      </c>
      <c r="G99" s="22">
        <f t="shared" ref="G99:G100" si="10">F99/F$68</f>
        <v>0.46283192009198049</v>
      </c>
      <c r="H99" s="98">
        <f t="shared" ref="H99:H100" si="11">G99*G$68</f>
        <v>32.277898107214718</v>
      </c>
    </row>
    <row r="100" spans="2:8" x14ac:dyDescent="0.5">
      <c r="B100" s="8" t="s">
        <v>170</v>
      </c>
      <c r="C100" s="29" t="s">
        <v>102</v>
      </c>
      <c r="D100" s="29" t="s">
        <v>103</v>
      </c>
      <c r="E100" s="51" t="s">
        <v>168</v>
      </c>
      <c r="F100" s="91">
        <v>21.627948</v>
      </c>
      <c r="G100" s="22">
        <f t="shared" si="10"/>
        <v>0.3108356999137683</v>
      </c>
      <c r="H100" s="98">
        <f t="shared" si="11"/>
        <v>21.6776817119862</v>
      </c>
    </row>
    <row r="101" spans="2:8" x14ac:dyDescent="0.5">
      <c r="B101" s="8" t="s">
        <v>171</v>
      </c>
      <c r="C101" s="29" t="s">
        <v>102</v>
      </c>
      <c r="D101" s="29" t="s">
        <v>103</v>
      </c>
      <c r="E101" s="51" t="s">
        <v>172</v>
      </c>
      <c r="F101" s="91">
        <v>18.554539999999999</v>
      </c>
      <c r="G101" s="22">
        <f>F101/F$71</f>
        <v>0.15757571125265393</v>
      </c>
      <c r="H101" s="98">
        <f>G101*G$71</f>
        <v>19.10447923227176</v>
      </c>
    </row>
    <row r="102" spans="2:8" x14ac:dyDescent="0.5">
      <c r="B102" s="8" t="s">
        <v>173</v>
      </c>
      <c r="C102" s="29" t="s">
        <v>102</v>
      </c>
      <c r="D102" s="29" t="s">
        <v>103</v>
      </c>
      <c r="E102" s="51" t="s">
        <v>172</v>
      </c>
      <c r="F102" s="91">
        <v>94.613403000000005</v>
      </c>
      <c r="G102" s="22">
        <f t="shared" ref="G102:G103" si="12">F102/F$71</f>
        <v>0.80351085350318474</v>
      </c>
      <c r="H102" s="98">
        <f t="shared" ref="H102:H103" si="13">G102*G$71</f>
        <v>97.417655878726109</v>
      </c>
    </row>
    <row r="103" spans="2:8" x14ac:dyDescent="0.5">
      <c r="B103" s="8" t="s">
        <v>174</v>
      </c>
      <c r="C103" s="29" t="s">
        <v>102</v>
      </c>
      <c r="D103" s="29" t="s">
        <v>103</v>
      </c>
      <c r="E103" s="51" t="s">
        <v>172</v>
      </c>
      <c r="F103" s="91">
        <v>4.5815190000000001</v>
      </c>
      <c r="G103" s="22">
        <f t="shared" si="12"/>
        <v>3.8908866242038216E-2</v>
      </c>
      <c r="H103" s="98">
        <f t="shared" si="13"/>
        <v>4.7173109431847129</v>
      </c>
    </row>
    <row r="104" spans="2:8" x14ac:dyDescent="0.5">
      <c r="B104" s="53" t="s">
        <v>161</v>
      </c>
      <c r="C104" s="29" t="s">
        <v>102</v>
      </c>
      <c r="D104" s="29" t="s">
        <v>103</v>
      </c>
      <c r="E104" s="51" t="s">
        <v>172</v>
      </c>
      <c r="F104" s="91"/>
      <c r="G104" s="22"/>
      <c r="H104" s="98"/>
    </row>
    <row r="105" spans="2:8" x14ac:dyDescent="0.5">
      <c r="B105" s="53" t="s">
        <v>161</v>
      </c>
      <c r="C105" s="29" t="s">
        <v>102</v>
      </c>
      <c r="D105" s="29" t="s">
        <v>103</v>
      </c>
      <c r="E105" s="51" t="s">
        <v>172</v>
      </c>
      <c r="F105" s="91"/>
      <c r="G105" s="22"/>
      <c r="H105" s="98"/>
    </row>
    <row r="106" spans="2:8" x14ac:dyDescent="0.5">
      <c r="B106" s="53" t="s">
        <v>161</v>
      </c>
      <c r="C106" s="29" t="s">
        <v>102</v>
      </c>
      <c r="D106" s="29" t="s">
        <v>103</v>
      </c>
      <c r="E106" s="51" t="s">
        <v>172</v>
      </c>
      <c r="F106" s="91"/>
      <c r="G106" s="22"/>
      <c r="H106" s="98"/>
    </row>
    <row r="107" spans="2:8" x14ac:dyDescent="0.5">
      <c r="B107" s="8" t="s">
        <v>175</v>
      </c>
      <c r="C107" s="29" t="s">
        <v>102</v>
      </c>
      <c r="D107" s="29" t="s">
        <v>103</v>
      </c>
      <c r="E107" s="51" t="s">
        <v>176</v>
      </c>
      <c r="F107" s="91"/>
      <c r="G107" s="22"/>
      <c r="H107" s="98"/>
    </row>
    <row r="108" spans="2:8" x14ac:dyDescent="0.5">
      <c r="B108" s="8" t="s">
        <v>177</v>
      </c>
      <c r="C108" s="29" t="s">
        <v>102</v>
      </c>
      <c r="D108" s="29" t="s">
        <v>103</v>
      </c>
      <c r="E108" s="51" t="s">
        <v>176</v>
      </c>
      <c r="F108" s="91"/>
      <c r="G108" s="22"/>
      <c r="H108" s="98"/>
    </row>
    <row r="109" spans="2:8" x14ac:dyDescent="0.5">
      <c r="B109" s="8" t="s">
        <v>178</v>
      </c>
      <c r="C109" s="29" t="s">
        <v>102</v>
      </c>
      <c r="D109" s="29" t="s">
        <v>103</v>
      </c>
      <c r="E109" s="51" t="s">
        <v>176</v>
      </c>
      <c r="F109" s="91"/>
      <c r="G109" s="22"/>
      <c r="H109" s="98"/>
    </row>
    <row r="110" spans="2:8" x14ac:dyDescent="0.5">
      <c r="B110" s="8" t="s">
        <v>179</v>
      </c>
      <c r="C110" s="29" t="s">
        <v>102</v>
      </c>
      <c r="D110" s="29" t="s">
        <v>103</v>
      </c>
      <c r="E110" s="51" t="s">
        <v>176</v>
      </c>
      <c r="F110" s="91">
        <v>89.189811109999965</v>
      </c>
      <c r="G110" s="22">
        <f>F110/F$70</f>
        <v>0.61501731561163953</v>
      </c>
      <c r="H110" s="98">
        <f>G110*G$70</f>
        <v>90.056985525012379</v>
      </c>
    </row>
    <row r="111" spans="2:8" x14ac:dyDescent="0.5">
      <c r="B111" s="53" t="s">
        <v>180</v>
      </c>
      <c r="C111" s="29" t="s">
        <v>102</v>
      </c>
      <c r="D111" s="29" t="s">
        <v>103</v>
      </c>
      <c r="E111" s="51" t="s">
        <v>176</v>
      </c>
      <c r="F111" s="91">
        <v>43.327706639999988</v>
      </c>
      <c r="G111" s="22">
        <f t="shared" ref="G111:G112" si="14">F111/F$70</f>
        <v>0.29877056019859322</v>
      </c>
      <c r="H111" s="98">
        <f t="shared" ref="H111:H112" si="15">G111*G$70</f>
        <v>43.748973129880007</v>
      </c>
    </row>
    <row r="112" spans="2:8" x14ac:dyDescent="0.5">
      <c r="B112" s="53" t="s">
        <v>181</v>
      </c>
      <c r="C112" s="29" t="s">
        <v>102</v>
      </c>
      <c r="D112" s="29" t="s">
        <v>103</v>
      </c>
      <c r="E112" s="51" t="s">
        <v>176</v>
      </c>
      <c r="F112" s="91">
        <v>12.499228250000044</v>
      </c>
      <c r="G112" s="22">
        <f t="shared" si="14"/>
        <v>8.6189685905392652E-2</v>
      </c>
      <c r="H112" s="98">
        <f t="shared" si="15"/>
        <v>12.620755707126646</v>
      </c>
    </row>
    <row r="113" spans="2:8" x14ac:dyDescent="0.5">
      <c r="B113" s="53" t="s">
        <v>161</v>
      </c>
      <c r="C113" s="29" t="s">
        <v>102</v>
      </c>
      <c r="D113" s="29" t="s">
        <v>103</v>
      </c>
      <c r="E113" s="51" t="s">
        <v>176</v>
      </c>
      <c r="F113" s="91"/>
      <c r="G113" s="22"/>
      <c r="H113" s="98"/>
    </row>
    <row r="114" spans="2:8" x14ac:dyDescent="0.5">
      <c r="B114" s="53" t="s">
        <v>161</v>
      </c>
      <c r="C114" s="29" t="s">
        <v>102</v>
      </c>
      <c r="D114" s="29" t="s">
        <v>103</v>
      </c>
      <c r="E114" s="51" t="s">
        <v>176</v>
      </c>
      <c r="F114" s="91"/>
      <c r="G114" s="22"/>
      <c r="H114" s="98"/>
    </row>
    <row r="115" spans="2:8" x14ac:dyDescent="0.5">
      <c r="B115" s="53" t="s">
        <v>161</v>
      </c>
      <c r="C115" s="29" t="s">
        <v>102</v>
      </c>
      <c r="D115" s="29" t="s">
        <v>103</v>
      </c>
      <c r="E115" s="51" t="s">
        <v>176</v>
      </c>
      <c r="F115" s="91"/>
      <c r="G115" s="22"/>
      <c r="H115" s="98"/>
    </row>
    <row r="116" spans="2:8" x14ac:dyDescent="0.5">
      <c r="B116" s="8" t="s">
        <v>182</v>
      </c>
      <c r="C116" s="29" t="s">
        <v>102</v>
      </c>
      <c r="D116" s="29" t="s">
        <v>103</v>
      </c>
      <c r="E116" s="51" t="s">
        <v>182</v>
      </c>
      <c r="F116" s="91"/>
      <c r="G116" s="22"/>
      <c r="H116" s="98"/>
    </row>
    <row r="117" spans="2:8" x14ac:dyDescent="0.5">
      <c r="B117" s="8" t="s">
        <v>183</v>
      </c>
      <c r="C117" s="29" t="s">
        <v>102</v>
      </c>
      <c r="D117" s="29" t="s">
        <v>103</v>
      </c>
      <c r="E117" s="51" t="s">
        <v>184</v>
      </c>
      <c r="F117" s="91"/>
      <c r="G117" s="22"/>
      <c r="H117" s="98"/>
    </row>
    <row r="118" spans="2:8" x14ac:dyDescent="0.5">
      <c r="B118" s="8" t="s">
        <v>185</v>
      </c>
      <c r="C118" s="29" t="s">
        <v>102</v>
      </c>
      <c r="D118" s="29" t="s">
        <v>103</v>
      </c>
      <c r="E118" s="51" t="s">
        <v>184</v>
      </c>
      <c r="F118" s="91"/>
      <c r="G118" s="22"/>
      <c r="H118" s="98"/>
    </row>
    <row r="119" spans="2:8" x14ac:dyDescent="0.5">
      <c r="B119" s="8" t="s">
        <v>186</v>
      </c>
      <c r="C119" s="29" t="s">
        <v>102</v>
      </c>
      <c r="D119" s="29" t="s">
        <v>103</v>
      </c>
      <c r="E119" s="51" t="s">
        <v>184</v>
      </c>
      <c r="F119" s="91">
        <v>7.3246539999999998</v>
      </c>
      <c r="G119" s="22">
        <f>F119/F72</f>
        <v>1.0006357923497267</v>
      </c>
      <c r="H119" s="98">
        <f>G119*G72</f>
        <v>7.3246539999999998</v>
      </c>
    </row>
    <row r="120" spans="2:8" x14ac:dyDescent="0.5">
      <c r="B120" s="8" t="s">
        <v>161</v>
      </c>
      <c r="C120" s="29" t="s">
        <v>102</v>
      </c>
      <c r="D120" s="29" t="s">
        <v>103</v>
      </c>
      <c r="E120" s="51" t="s">
        <v>184</v>
      </c>
      <c r="F120" s="91"/>
      <c r="G120" s="22"/>
      <c r="H120" s="98"/>
    </row>
    <row r="121" spans="2:8" x14ac:dyDescent="0.5">
      <c r="B121" s="53" t="s">
        <v>161</v>
      </c>
      <c r="C121" s="29" t="s">
        <v>102</v>
      </c>
      <c r="D121" s="29" t="s">
        <v>103</v>
      </c>
      <c r="E121" s="51" t="s">
        <v>184</v>
      </c>
      <c r="F121" s="91"/>
      <c r="G121" s="22"/>
      <c r="H121" s="98"/>
    </row>
    <row r="122" spans="2:8" x14ac:dyDescent="0.5">
      <c r="B122" s="53" t="s">
        <v>161</v>
      </c>
      <c r="C122" s="29" t="s">
        <v>102</v>
      </c>
      <c r="D122" s="29" t="s">
        <v>103</v>
      </c>
      <c r="E122" s="51" t="s">
        <v>184</v>
      </c>
      <c r="F122" s="91"/>
      <c r="G122" s="22"/>
      <c r="H122" s="98"/>
    </row>
    <row r="123" spans="2:8" x14ac:dyDescent="0.5">
      <c r="B123" s="53" t="s">
        <v>187</v>
      </c>
      <c r="C123" s="29" t="s">
        <v>102</v>
      </c>
      <c r="D123" s="29" t="s">
        <v>103</v>
      </c>
      <c r="E123" s="51" t="s">
        <v>187</v>
      </c>
      <c r="F123" s="116">
        <v>21.389655999999999</v>
      </c>
      <c r="G123" s="219">
        <f>F123/F73</f>
        <v>1</v>
      </c>
      <c r="H123" s="114">
        <f>G123*G73</f>
        <v>21.389655999999999</v>
      </c>
    </row>
    <row r="124" spans="2:8" x14ac:dyDescent="0.5">
      <c r="B124" s="8" t="s">
        <v>161</v>
      </c>
      <c r="C124" s="29" t="s">
        <v>102</v>
      </c>
      <c r="D124" s="29" t="s">
        <v>103</v>
      </c>
      <c r="E124" s="51" t="s">
        <v>187</v>
      </c>
      <c r="F124" s="18"/>
      <c r="G124" s="22"/>
      <c r="H124" s="98"/>
    </row>
    <row r="125" spans="2:8" x14ac:dyDescent="0.5">
      <c r="B125" s="53" t="s">
        <v>161</v>
      </c>
      <c r="C125" s="29" t="s">
        <v>102</v>
      </c>
      <c r="D125" s="29" t="s">
        <v>103</v>
      </c>
      <c r="E125" s="51" t="s">
        <v>187</v>
      </c>
      <c r="F125" s="91"/>
      <c r="G125" s="22"/>
      <c r="H125" s="98"/>
    </row>
    <row r="126" spans="2:8" x14ac:dyDescent="0.5">
      <c r="B126" s="53" t="s">
        <v>161</v>
      </c>
      <c r="C126" s="29" t="s">
        <v>102</v>
      </c>
      <c r="D126" s="29" t="s">
        <v>103</v>
      </c>
      <c r="E126" s="51" t="s">
        <v>187</v>
      </c>
      <c r="F126" s="91"/>
      <c r="G126" s="22"/>
      <c r="H126" s="98"/>
    </row>
    <row r="127" spans="2:8" x14ac:dyDescent="0.5">
      <c r="F127" s="119"/>
      <c r="H127" s="119"/>
    </row>
  </sheetData>
  <pageMargins left="0.7" right="0.7" top="0.75" bottom="0.75" header="0.3" footer="0.3"/>
  <headerFooter>
    <oddHeader>&amp;C&amp;"Calibri"&amp;8&amp;K000000 OFFICIAL - CAA Use Only: This information is for CAA use only &amp;1#_x000D_</oddHeader>
    <oddFooter>&amp;C_x000D_&amp;1#&amp;"Calibri"&amp;8&amp;K000000 OFFICIAL - CAA Use Only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25616-6C30-4608-A4F5-436302F77DA9}">
  <sheetPr>
    <tabColor theme="6"/>
  </sheetPr>
  <dimension ref="A1:N145"/>
  <sheetViews>
    <sheetView zoomScale="90" zoomScaleNormal="90" workbookViewId="0">
      <selection activeCell="G12" sqref="G12"/>
    </sheetView>
  </sheetViews>
  <sheetFormatPr defaultColWidth="8.90625" defaultRowHeight="16.5" x14ac:dyDescent="0.5"/>
  <cols>
    <col min="1" max="1" width="20.6328125" customWidth="1"/>
    <col min="2" max="2" width="30.6328125" customWidth="1"/>
    <col min="3" max="6" width="20.6328125" customWidth="1"/>
    <col min="7" max="14" width="10.6328125" customWidth="1"/>
  </cols>
  <sheetData>
    <row r="1" spans="1:14" ht="23" thickBot="1" x14ac:dyDescent="0.7">
      <c r="A1" s="13" t="s">
        <v>338</v>
      </c>
      <c r="F1" s="46"/>
      <c r="G1" s="46"/>
      <c r="H1" s="46"/>
      <c r="I1" s="46"/>
      <c r="J1" s="46"/>
      <c r="K1" s="46"/>
      <c r="L1" s="46"/>
      <c r="M1" s="46"/>
      <c r="N1" s="46"/>
    </row>
    <row r="2" spans="1:14" ht="23" thickTop="1" x14ac:dyDescent="0.65">
      <c r="A2" s="21"/>
      <c r="F2" s="46"/>
      <c r="G2" s="46"/>
      <c r="H2" s="46"/>
      <c r="I2" s="46"/>
      <c r="J2" s="46"/>
      <c r="K2" s="46"/>
      <c r="L2" s="46"/>
      <c r="M2" s="46"/>
      <c r="N2" s="46"/>
    </row>
    <row r="3" spans="1:14" ht="19" thickBot="1" x14ac:dyDescent="0.55000000000000004">
      <c r="A3" s="14" t="s">
        <v>197</v>
      </c>
      <c r="F3" s="46"/>
      <c r="G3" s="46"/>
      <c r="H3" s="46"/>
      <c r="I3" s="46"/>
      <c r="J3" s="46"/>
      <c r="K3" s="46"/>
      <c r="L3" s="46"/>
      <c r="M3" s="46"/>
      <c r="N3" s="46"/>
    </row>
    <row r="4" spans="1:14" ht="17.5" thickTop="1" thickBot="1" x14ac:dyDescent="0.55000000000000004">
      <c r="B4" s="11" t="s">
        <v>339</v>
      </c>
      <c r="C4" s="11" t="s">
        <v>340</v>
      </c>
      <c r="D4" s="11" t="s">
        <v>341</v>
      </c>
      <c r="E4" s="11" t="s">
        <v>96</v>
      </c>
      <c r="F4" s="11" t="s">
        <v>97</v>
      </c>
      <c r="G4" s="11">
        <v>2024</v>
      </c>
      <c r="H4" s="12">
        <v>2025</v>
      </c>
      <c r="I4" s="12">
        <v>2026</v>
      </c>
      <c r="J4" s="12">
        <v>2027</v>
      </c>
      <c r="K4" s="12">
        <v>2028</v>
      </c>
      <c r="L4" s="12">
        <v>2029</v>
      </c>
      <c r="M4" s="12">
        <v>2030</v>
      </c>
      <c r="N4" s="12">
        <v>2031</v>
      </c>
    </row>
    <row r="5" spans="1:14" x14ac:dyDescent="0.5">
      <c r="B5" s="8" t="s">
        <v>197</v>
      </c>
      <c r="C5" s="28" t="s">
        <v>342</v>
      </c>
      <c r="D5" s="28" t="s">
        <v>343</v>
      </c>
      <c r="E5" s="29" t="s">
        <v>344</v>
      </c>
      <c r="F5" s="29" t="s">
        <v>103</v>
      </c>
      <c r="G5" s="128"/>
      <c r="H5" s="128"/>
      <c r="I5" s="128"/>
      <c r="J5" s="128"/>
      <c r="K5" s="128"/>
      <c r="L5" s="128"/>
      <c r="M5" s="128"/>
      <c r="N5" s="128"/>
    </row>
    <row r="6" spans="1:14" x14ac:dyDescent="0.5">
      <c r="B6" s="8" t="s">
        <v>197</v>
      </c>
      <c r="C6" s="28" t="s">
        <v>342</v>
      </c>
      <c r="D6" s="28" t="s">
        <v>345</v>
      </c>
      <c r="E6" s="29" t="s">
        <v>344</v>
      </c>
      <c r="F6" s="29" t="s">
        <v>103</v>
      </c>
      <c r="G6" s="128"/>
      <c r="H6" s="128"/>
      <c r="I6" s="128"/>
      <c r="J6" s="128"/>
      <c r="K6" s="128"/>
      <c r="L6" s="128"/>
      <c r="M6" s="128"/>
      <c r="N6" s="128"/>
    </row>
    <row r="7" spans="1:14" x14ac:dyDescent="0.5">
      <c r="B7" s="8" t="s">
        <v>197</v>
      </c>
      <c r="C7" s="28" t="s">
        <v>342</v>
      </c>
      <c r="D7" s="28" t="s">
        <v>346</v>
      </c>
      <c r="E7" s="29" t="s">
        <v>344</v>
      </c>
      <c r="F7" s="29" t="s">
        <v>103</v>
      </c>
      <c r="G7" s="128">
        <v>7491.1069150911771</v>
      </c>
      <c r="H7" s="114"/>
      <c r="I7" s="114"/>
      <c r="J7" s="114"/>
      <c r="K7" s="114"/>
      <c r="L7" s="114"/>
      <c r="M7" s="114"/>
      <c r="N7" s="114"/>
    </row>
    <row r="8" spans="1:14" x14ac:dyDescent="0.5">
      <c r="B8" s="8" t="s">
        <v>197</v>
      </c>
      <c r="C8" s="28" t="s">
        <v>347</v>
      </c>
      <c r="D8" s="28" t="s">
        <v>343</v>
      </c>
      <c r="E8" s="29" t="s">
        <v>344</v>
      </c>
      <c r="F8" s="29" t="s">
        <v>103</v>
      </c>
      <c r="G8" s="128">
        <v>2550.0610623718994</v>
      </c>
      <c r="H8" s="128">
        <v>2550.0610623718994</v>
      </c>
      <c r="I8" s="128">
        <v>2550.0610623718994</v>
      </c>
      <c r="J8" s="128">
        <v>2550.0610623718994</v>
      </c>
      <c r="K8" s="128">
        <v>2550.0610623718994</v>
      </c>
      <c r="L8" s="128">
        <v>2550.0610623718994</v>
      </c>
      <c r="M8" s="128">
        <v>2550.0610623718994</v>
      </c>
      <c r="N8" s="128">
        <v>2550.0610623718999</v>
      </c>
    </row>
    <row r="9" spans="1:14" x14ac:dyDescent="0.5">
      <c r="B9" s="8" t="s">
        <v>197</v>
      </c>
      <c r="C9" s="28" t="s">
        <v>347</v>
      </c>
      <c r="D9" s="28" t="s">
        <v>345</v>
      </c>
      <c r="E9" s="29" t="s">
        <v>344</v>
      </c>
      <c r="F9" s="29" t="s">
        <v>103</v>
      </c>
      <c r="G9" s="128">
        <v>2942.1921612666147</v>
      </c>
      <c r="H9" s="128">
        <v>2942.1921612666147</v>
      </c>
      <c r="I9" s="128">
        <v>2942.1921612666147</v>
      </c>
      <c r="J9" s="128">
        <v>2942.1921612666147</v>
      </c>
      <c r="K9" s="128">
        <v>2942.1921612666147</v>
      </c>
      <c r="L9" s="128">
        <v>2942.1921612666147</v>
      </c>
      <c r="M9" s="128">
        <v>2942.1921612666147</v>
      </c>
      <c r="N9" s="128">
        <v>2942.1921612666147</v>
      </c>
    </row>
    <row r="10" spans="1:14" ht="17" thickBot="1" x14ac:dyDescent="0.55000000000000004">
      <c r="B10" s="48" t="s">
        <v>197</v>
      </c>
      <c r="C10" s="79" t="s">
        <v>347</v>
      </c>
      <c r="D10" s="79" t="s">
        <v>346</v>
      </c>
      <c r="E10" s="37" t="s">
        <v>344</v>
      </c>
      <c r="F10" s="37" t="s">
        <v>103</v>
      </c>
      <c r="G10" s="129">
        <v>6449.3473492893754</v>
      </c>
      <c r="H10" s="121"/>
      <c r="I10" s="121"/>
      <c r="J10" s="121"/>
      <c r="K10" s="121"/>
      <c r="L10" s="121"/>
      <c r="M10" s="121"/>
      <c r="N10" s="121"/>
    </row>
    <row r="12" spans="1:14" ht="19" thickBot="1" x14ac:dyDescent="0.55000000000000004">
      <c r="A12" s="14" t="s">
        <v>198</v>
      </c>
      <c r="F12" s="46"/>
      <c r="G12" s="46"/>
      <c r="H12" s="46"/>
      <c r="I12" s="46"/>
      <c r="J12" s="46"/>
      <c r="K12" s="46"/>
      <c r="L12" s="46"/>
      <c r="M12" s="46"/>
      <c r="N12" s="46"/>
    </row>
    <row r="13" spans="1:14" ht="17.5" thickTop="1" thickBot="1" x14ac:dyDescent="0.55000000000000004">
      <c r="B13" s="11" t="s">
        <v>339</v>
      </c>
      <c r="C13" s="11" t="s">
        <v>340</v>
      </c>
      <c r="D13" s="11" t="s">
        <v>341</v>
      </c>
      <c r="E13" s="11" t="s">
        <v>96</v>
      </c>
      <c r="F13" s="11" t="s">
        <v>97</v>
      </c>
      <c r="G13" s="11">
        <v>2024</v>
      </c>
      <c r="H13" s="12">
        <v>2025</v>
      </c>
      <c r="I13" s="12">
        <v>2026</v>
      </c>
      <c r="J13" s="12">
        <v>2027</v>
      </c>
      <c r="K13" s="12">
        <v>2028</v>
      </c>
      <c r="L13" s="12">
        <v>2029</v>
      </c>
      <c r="M13" s="12">
        <v>2030</v>
      </c>
      <c r="N13" s="12">
        <v>2031</v>
      </c>
    </row>
    <row r="14" spans="1:14" x14ac:dyDescent="0.5">
      <c r="B14" s="8" t="s">
        <v>198</v>
      </c>
      <c r="C14" s="28" t="s">
        <v>342</v>
      </c>
      <c r="D14" s="28" t="s">
        <v>343</v>
      </c>
      <c r="E14" s="29" t="s">
        <v>344</v>
      </c>
      <c r="F14" s="29" t="s">
        <v>103</v>
      </c>
      <c r="G14" s="128"/>
      <c r="H14" s="128"/>
      <c r="I14" s="128"/>
      <c r="J14" s="128"/>
      <c r="K14" s="128"/>
      <c r="L14" s="128"/>
      <c r="M14" s="128"/>
      <c r="N14" s="128"/>
    </row>
    <row r="15" spans="1:14" x14ac:dyDescent="0.5">
      <c r="B15" s="8" t="s">
        <v>198</v>
      </c>
      <c r="C15" s="28" t="s">
        <v>342</v>
      </c>
      <c r="D15" s="28" t="s">
        <v>345</v>
      </c>
      <c r="E15" s="29" t="s">
        <v>344</v>
      </c>
      <c r="F15" s="29" t="s">
        <v>103</v>
      </c>
      <c r="G15" s="128"/>
      <c r="H15" s="128"/>
      <c r="I15" s="128"/>
      <c r="J15" s="128"/>
      <c r="K15" s="128"/>
      <c r="L15" s="128"/>
      <c r="M15" s="128"/>
      <c r="N15" s="128"/>
    </row>
    <row r="16" spans="1:14" x14ac:dyDescent="0.5">
      <c r="B16" s="8" t="s">
        <v>198</v>
      </c>
      <c r="C16" s="28" t="s">
        <v>342</v>
      </c>
      <c r="D16" s="28" t="s">
        <v>346</v>
      </c>
      <c r="E16" s="29" t="s">
        <v>344</v>
      </c>
      <c r="F16" s="29" t="s">
        <v>103</v>
      </c>
      <c r="G16" s="128">
        <v>707.79530115884529</v>
      </c>
      <c r="H16" s="114"/>
      <c r="I16" s="114"/>
      <c r="J16" s="114"/>
      <c r="K16" s="114"/>
      <c r="L16" s="114"/>
      <c r="M16" s="114"/>
      <c r="N16" s="114"/>
    </row>
    <row r="17" spans="1:14" x14ac:dyDescent="0.5">
      <c r="B17" s="8" t="s">
        <v>198</v>
      </c>
      <c r="C17" s="28" t="s">
        <v>347</v>
      </c>
      <c r="D17" s="28" t="s">
        <v>343</v>
      </c>
      <c r="E17" s="29" t="s">
        <v>344</v>
      </c>
      <c r="F17" s="29" t="s">
        <v>103</v>
      </c>
      <c r="G17" s="128">
        <v>197.10665215907736</v>
      </c>
      <c r="H17" s="128">
        <v>197.10665215907736</v>
      </c>
      <c r="I17" s="128">
        <v>197.10665215907736</v>
      </c>
      <c r="J17" s="128">
        <v>197.10665215907736</v>
      </c>
      <c r="K17" s="128">
        <v>197.10665215907736</v>
      </c>
      <c r="L17" s="128">
        <v>197.10665215907736</v>
      </c>
      <c r="M17" s="128">
        <v>197.10665215907736</v>
      </c>
      <c r="N17" s="128">
        <v>197.10665215907736</v>
      </c>
    </row>
    <row r="18" spans="1:14" x14ac:dyDescent="0.5">
      <c r="B18" s="8" t="s">
        <v>198</v>
      </c>
      <c r="C18" s="28" t="s">
        <v>347</v>
      </c>
      <c r="D18" s="28" t="s">
        <v>345</v>
      </c>
      <c r="E18" s="29" t="s">
        <v>344</v>
      </c>
      <c r="F18" s="29" t="s">
        <v>103</v>
      </c>
      <c r="G18" s="128">
        <v>110.02910892016334</v>
      </c>
      <c r="H18" s="128">
        <v>110.02910892016334</v>
      </c>
      <c r="I18" s="128">
        <v>110.02910892016334</v>
      </c>
      <c r="J18" s="128">
        <v>110.02910892016334</v>
      </c>
      <c r="K18" s="128">
        <v>110.02910892016334</v>
      </c>
      <c r="L18" s="128">
        <v>110.02910892016334</v>
      </c>
      <c r="M18" s="128">
        <v>110.02910892016334</v>
      </c>
      <c r="N18" s="128">
        <v>110.02910892016334</v>
      </c>
    </row>
    <row r="19" spans="1:14" ht="17" thickBot="1" x14ac:dyDescent="0.55000000000000004">
      <c r="B19" s="48" t="s">
        <v>198</v>
      </c>
      <c r="C19" s="79" t="s">
        <v>347</v>
      </c>
      <c r="D19" s="79" t="s">
        <v>346</v>
      </c>
      <c r="E19" s="37" t="s">
        <v>344</v>
      </c>
      <c r="F19" s="37" t="s">
        <v>103</v>
      </c>
      <c r="G19" s="129">
        <v>1909.4983907321307</v>
      </c>
      <c r="H19" s="121"/>
      <c r="I19" s="121"/>
      <c r="J19" s="121"/>
      <c r="K19" s="121"/>
      <c r="L19" s="121"/>
      <c r="M19" s="121"/>
      <c r="N19" s="121"/>
    </row>
    <row r="21" spans="1:14" ht="19" thickBot="1" x14ac:dyDescent="0.55000000000000004">
      <c r="A21" s="14" t="s">
        <v>199</v>
      </c>
      <c r="F21" s="46"/>
      <c r="G21" s="46"/>
      <c r="H21" s="46"/>
      <c r="I21" s="46"/>
      <c r="J21" s="46"/>
      <c r="K21" s="46"/>
      <c r="L21" s="46"/>
      <c r="M21" s="46"/>
      <c r="N21" s="46"/>
    </row>
    <row r="22" spans="1:14" ht="17.5" thickTop="1" thickBot="1" x14ac:dyDescent="0.55000000000000004">
      <c r="B22" s="11" t="s">
        <v>339</v>
      </c>
      <c r="C22" s="11" t="s">
        <v>340</v>
      </c>
      <c r="D22" s="11" t="s">
        <v>341</v>
      </c>
      <c r="E22" s="11" t="s">
        <v>96</v>
      </c>
      <c r="F22" s="11" t="s">
        <v>97</v>
      </c>
      <c r="G22" s="11">
        <v>2024</v>
      </c>
      <c r="H22" s="12">
        <v>2025</v>
      </c>
      <c r="I22" s="12">
        <v>2026</v>
      </c>
      <c r="J22" s="12">
        <v>2027</v>
      </c>
      <c r="K22" s="12">
        <v>2028</v>
      </c>
      <c r="L22" s="12">
        <v>2029</v>
      </c>
      <c r="M22" s="12">
        <v>2030</v>
      </c>
      <c r="N22" s="12">
        <v>2031</v>
      </c>
    </row>
    <row r="23" spans="1:14" x14ac:dyDescent="0.5">
      <c r="B23" s="8" t="s">
        <v>199</v>
      </c>
      <c r="C23" s="28" t="s">
        <v>342</v>
      </c>
      <c r="D23" s="28" t="s">
        <v>343</v>
      </c>
      <c r="E23" s="29" t="s">
        <v>344</v>
      </c>
      <c r="F23" s="29" t="s">
        <v>103</v>
      </c>
      <c r="G23" s="128"/>
      <c r="H23" s="128"/>
      <c r="I23" s="128"/>
      <c r="J23" s="128"/>
      <c r="K23" s="128"/>
      <c r="L23" s="128"/>
      <c r="M23" s="128"/>
      <c r="N23" s="128"/>
    </row>
    <row r="24" spans="1:14" x14ac:dyDescent="0.5">
      <c r="B24" s="8" t="s">
        <v>199</v>
      </c>
      <c r="C24" s="28" t="s">
        <v>342</v>
      </c>
      <c r="D24" s="28" t="s">
        <v>345</v>
      </c>
      <c r="E24" s="29" t="s">
        <v>344</v>
      </c>
      <c r="F24" s="29" t="s">
        <v>103</v>
      </c>
      <c r="G24" s="128"/>
      <c r="H24" s="128"/>
      <c r="I24" s="128"/>
      <c r="J24" s="128"/>
      <c r="K24" s="128"/>
      <c r="L24" s="128"/>
      <c r="M24" s="128"/>
      <c r="N24" s="128"/>
    </row>
    <row r="25" spans="1:14" x14ac:dyDescent="0.5">
      <c r="B25" s="8" t="s">
        <v>199</v>
      </c>
      <c r="C25" s="28" t="s">
        <v>342</v>
      </c>
      <c r="D25" s="28" t="s">
        <v>346</v>
      </c>
      <c r="E25" s="29" t="s">
        <v>344</v>
      </c>
      <c r="F25" s="29" t="s">
        <v>103</v>
      </c>
      <c r="G25" s="128">
        <v>127.40249093232293</v>
      </c>
      <c r="H25" s="114"/>
      <c r="I25" s="114"/>
      <c r="J25" s="114"/>
      <c r="K25" s="114"/>
      <c r="L25" s="114"/>
      <c r="M25" s="114"/>
      <c r="N25" s="114"/>
    </row>
    <row r="26" spans="1:14" x14ac:dyDescent="0.5">
      <c r="B26" s="8" t="s">
        <v>199</v>
      </c>
      <c r="C26" s="28" t="s">
        <v>347</v>
      </c>
      <c r="D26" s="28" t="s">
        <v>343</v>
      </c>
      <c r="E26" s="29" t="s">
        <v>344</v>
      </c>
      <c r="F26" s="29" t="s">
        <v>103</v>
      </c>
      <c r="G26" s="128">
        <v>144.60399893808184</v>
      </c>
      <c r="H26" s="128">
        <v>144.60399893808184</v>
      </c>
      <c r="I26" s="128">
        <v>144.60399893808184</v>
      </c>
      <c r="J26" s="128">
        <v>144.60399893808184</v>
      </c>
      <c r="K26" s="128">
        <v>144.60399893808184</v>
      </c>
      <c r="L26" s="128">
        <v>144.60399893808184</v>
      </c>
      <c r="M26" s="128">
        <v>144.60399893808184</v>
      </c>
      <c r="N26" s="128">
        <v>144.60399893808184</v>
      </c>
    </row>
    <row r="27" spans="1:14" x14ac:dyDescent="0.5">
      <c r="B27" s="8" t="s">
        <v>199</v>
      </c>
      <c r="C27" s="28" t="s">
        <v>347</v>
      </c>
      <c r="D27" s="28" t="s">
        <v>345</v>
      </c>
      <c r="E27" s="29" t="s">
        <v>344</v>
      </c>
      <c r="F27" s="29" t="s">
        <v>103</v>
      </c>
      <c r="G27" s="128">
        <v>36.948337266991722</v>
      </c>
      <c r="H27" s="128">
        <v>36.948337266991722</v>
      </c>
      <c r="I27" s="128">
        <v>36.948337266991722</v>
      </c>
      <c r="J27" s="128">
        <v>36.948337266991722</v>
      </c>
      <c r="K27" s="128">
        <v>36.948337266991722</v>
      </c>
      <c r="L27" s="128">
        <v>36.948337266991722</v>
      </c>
      <c r="M27" s="128">
        <v>36.948337266991722</v>
      </c>
      <c r="N27" s="128">
        <v>36.948337266991722</v>
      </c>
    </row>
    <row r="28" spans="1:14" ht="17" thickBot="1" x14ac:dyDescent="0.55000000000000004">
      <c r="B28" s="48" t="s">
        <v>199</v>
      </c>
      <c r="C28" s="79" t="s">
        <v>347</v>
      </c>
      <c r="D28" s="79" t="s">
        <v>346</v>
      </c>
      <c r="E28" s="37" t="s">
        <v>344</v>
      </c>
      <c r="F28" s="37" t="s">
        <v>103</v>
      </c>
      <c r="G28" s="129">
        <v>1161.5391743224236</v>
      </c>
      <c r="H28" s="121"/>
      <c r="I28" s="121"/>
      <c r="J28" s="121"/>
      <c r="K28" s="121"/>
      <c r="L28" s="121"/>
      <c r="M28" s="121"/>
      <c r="N28" s="121"/>
    </row>
    <row r="30" spans="1:14" ht="19" thickBot="1" x14ac:dyDescent="0.55000000000000004">
      <c r="A30" s="14" t="s">
        <v>118</v>
      </c>
      <c r="F30" s="46"/>
      <c r="G30" s="46"/>
      <c r="H30" s="46"/>
      <c r="I30" s="46"/>
      <c r="J30" s="46"/>
      <c r="K30" s="46"/>
      <c r="L30" s="46"/>
      <c r="M30" s="46"/>
      <c r="N30" s="46"/>
    </row>
    <row r="31" spans="1:14" ht="17.5" thickTop="1" thickBot="1" x14ac:dyDescent="0.55000000000000004">
      <c r="B31" s="11" t="s">
        <v>339</v>
      </c>
      <c r="C31" s="11" t="s">
        <v>340</v>
      </c>
      <c r="D31" s="11" t="s">
        <v>341</v>
      </c>
      <c r="E31" s="11" t="s">
        <v>96</v>
      </c>
      <c r="F31" s="11" t="s">
        <v>97</v>
      </c>
      <c r="G31" s="11">
        <v>2024</v>
      </c>
      <c r="H31" s="12">
        <v>2025</v>
      </c>
      <c r="I31" s="12">
        <v>2026</v>
      </c>
      <c r="J31" s="12">
        <v>2027</v>
      </c>
      <c r="K31" s="12">
        <v>2028</v>
      </c>
      <c r="L31" s="12">
        <v>2029</v>
      </c>
      <c r="M31" s="12">
        <v>2030</v>
      </c>
      <c r="N31" s="12">
        <v>2031</v>
      </c>
    </row>
    <row r="32" spans="1:14" x14ac:dyDescent="0.5">
      <c r="B32" s="8" t="s">
        <v>118</v>
      </c>
      <c r="C32" s="28" t="s">
        <v>342</v>
      </c>
      <c r="D32" s="28" t="s">
        <v>343</v>
      </c>
      <c r="E32" s="29" t="s">
        <v>344</v>
      </c>
      <c r="F32" s="29" t="s">
        <v>103</v>
      </c>
      <c r="G32" s="128"/>
      <c r="H32" s="128"/>
      <c r="I32" s="128"/>
      <c r="J32" s="128"/>
      <c r="K32" s="128"/>
      <c r="L32" s="128"/>
      <c r="M32" s="128"/>
      <c r="N32" s="128"/>
    </row>
    <row r="33" spans="1:14" x14ac:dyDescent="0.5">
      <c r="B33" s="8" t="s">
        <v>118</v>
      </c>
      <c r="C33" s="28" t="s">
        <v>342</v>
      </c>
      <c r="D33" s="28" t="s">
        <v>345</v>
      </c>
      <c r="E33" s="29" t="s">
        <v>344</v>
      </c>
      <c r="F33" s="29" t="s">
        <v>103</v>
      </c>
      <c r="G33" s="128"/>
      <c r="H33" s="128"/>
      <c r="I33" s="128"/>
      <c r="J33" s="128"/>
      <c r="K33" s="128"/>
      <c r="L33" s="128"/>
      <c r="M33" s="128"/>
      <c r="N33" s="128"/>
    </row>
    <row r="34" spans="1:14" x14ac:dyDescent="0.5">
      <c r="B34" s="8" t="s">
        <v>118</v>
      </c>
      <c r="C34" s="28" t="s">
        <v>342</v>
      </c>
      <c r="D34" s="28" t="s">
        <v>346</v>
      </c>
      <c r="E34" s="29" t="s">
        <v>344</v>
      </c>
      <c r="F34" s="29" t="s">
        <v>103</v>
      </c>
      <c r="G34" s="128">
        <v>13544.395210902157</v>
      </c>
      <c r="H34" s="114"/>
      <c r="I34" s="114"/>
      <c r="J34" s="114"/>
      <c r="K34" s="114"/>
      <c r="L34" s="114"/>
      <c r="M34" s="114"/>
      <c r="N34" s="114"/>
    </row>
    <row r="35" spans="1:14" x14ac:dyDescent="0.5">
      <c r="B35" s="8" t="s">
        <v>118</v>
      </c>
      <c r="C35" s="28" t="s">
        <v>347</v>
      </c>
      <c r="D35" s="28" t="s">
        <v>343</v>
      </c>
      <c r="E35" s="29" t="s">
        <v>344</v>
      </c>
      <c r="F35" s="29" t="s">
        <v>103</v>
      </c>
      <c r="G35" s="128">
        <v>1135.8442250724911</v>
      </c>
      <c r="H35" s="128">
        <v>1135.8442250724911</v>
      </c>
      <c r="I35" s="128">
        <v>1135.8442250724911</v>
      </c>
      <c r="J35" s="128">
        <v>1135.8442250724911</v>
      </c>
      <c r="K35" s="128">
        <v>1135.8442250724911</v>
      </c>
      <c r="L35" s="128">
        <v>1135.8442250724911</v>
      </c>
      <c r="M35" s="128">
        <v>1135.8442250724911</v>
      </c>
      <c r="N35" s="128">
        <v>1135.8442250724911</v>
      </c>
    </row>
    <row r="36" spans="1:14" x14ac:dyDescent="0.5">
      <c r="B36" s="8" t="s">
        <v>118</v>
      </c>
      <c r="C36" s="28" t="s">
        <v>347</v>
      </c>
      <c r="D36" s="28" t="s">
        <v>345</v>
      </c>
      <c r="E36" s="29" t="s">
        <v>344</v>
      </c>
      <c r="F36" s="29" t="s">
        <v>103</v>
      </c>
      <c r="G36" s="128">
        <v>13444.575368005206</v>
      </c>
      <c r="H36" s="128">
        <v>13444.575368005206</v>
      </c>
      <c r="I36" s="128">
        <v>13444.575368005206</v>
      </c>
      <c r="J36" s="128">
        <v>13444.575368005206</v>
      </c>
      <c r="K36" s="128">
        <v>13444.575368005206</v>
      </c>
      <c r="L36" s="128">
        <v>13444.575368005206</v>
      </c>
      <c r="M36" s="128">
        <v>13444.575368005206</v>
      </c>
      <c r="N36" s="128">
        <v>13444.575368005206</v>
      </c>
    </row>
    <row r="37" spans="1:14" ht="17" thickBot="1" x14ac:dyDescent="0.55000000000000004">
      <c r="B37" s="48" t="s">
        <v>118</v>
      </c>
      <c r="C37" s="79" t="s">
        <v>347</v>
      </c>
      <c r="D37" s="79" t="s">
        <v>346</v>
      </c>
      <c r="E37" s="37" t="s">
        <v>344</v>
      </c>
      <c r="F37" s="37" t="s">
        <v>103</v>
      </c>
      <c r="G37" s="129">
        <v>11495.604789097839</v>
      </c>
      <c r="H37" s="121"/>
      <c r="I37" s="121"/>
      <c r="J37" s="121"/>
      <c r="K37" s="121"/>
      <c r="L37" s="121"/>
      <c r="M37" s="121"/>
      <c r="N37" s="121"/>
    </row>
    <row r="39" spans="1:14" ht="19" thickBot="1" x14ac:dyDescent="0.55000000000000004">
      <c r="A39" s="14" t="s">
        <v>200</v>
      </c>
      <c r="F39" s="46"/>
      <c r="G39" s="46"/>
      <c r="H39" s="46"/>
      <c r="I39" s="46"/>
      <c r="J39" s="46"/>
      <c r="K39" s="46"/>
      <c r="L39" s="46"/>
      <c r="M39" s="46"/>
      <c r="N39" s="46"/>
    </row>
    <row r="40" spans="1:14" ht="17.5" thickTop="1" thickBot="1" x14ac:dyDescent="0.55000000000000004">
      <c r="B40" s="11" t="s">
        <v>339</v>
      </c>
      <c r="C40" s="11" t="s">
        <v>340</v>
      </c>
      <c r="D40" s="11" t="s">
        <v>341</v>
      </c>
      <c r="E40" s="11" t="s">
        <v>96</v>
      </c>
      <c r="F40" s="11" t="s">
        <v>97</v>
      </c>
      <c r="G40" s="11">
        <v>2024</v>
      </c>
      <c r="H40" s="12">
        <v>2025</v>
      </c>
      <c r="I40" s="12">
        <v>2026</v>
      </c>
      <c r="J40" s="12">
        <v>2027</v>
      </c>
      <c r="K40" s="12">
        <v>2028</v>
      </c>
      <c r="L40" s="12">
        <v>2029</v>
      </c>
      <c r="M40" s="12">
        <v>2030</v>
      </c>
      <c r="N40" s="12">
        <v>2031</v>
      </c>
    </row>
    <row r="41" spans="1:14" x14ac:dyDescent="0.5">
      <c r="B41" s="8" t="s">
        <v>200</v>
      </c>
      <c r="C41" s="28" t="s">
        <v>342</v>
      </c>
      <c r="D41" s="28" t="s">
        <v>343</v>
      </c>
      <c r="E41" s="29" t="s">
        <v>344</v>
      </c>
      <c r="F41" s="29" t="s">
        <v>103</v>
      </c>
      <c r="G41" s="128"/>
      <c r="H41" s="128"/>
      <c r="I41" s="128"/>
      <c r="J41" s="128"/>
      <c r="K41" s="128"/>
      <c r="L41" s="128"/>
      <c r="M41" s="128"/>
      <c r="N41" s="128"/>
    </row>
    <row r="42" spans="1:14" x14ac:dyDescent="0.5">
      <c r="B42" s="8" t="s">
        <v>200</v>
      </c>
      <c r="C42" s="28" t="s">
        <v>342</v>
      </c>
      <c r="D42" s="28" t="s">
        <v>345</v>
      </c>
      <c r="E42" s="29" t="s">
        <v>344</v>
      </c>
      <c r="F42" s="29" t="s">
        <v>103</v>
      </c>
      <c r="G42" s="128"/>
      <c r="H42" s="128"/>
      <c r="I42" s="128"/>
      <c r="J42" s="128"/>
      <c r="K42" s="128"/>
      <c r="L42" s="128"/>
      <c r="M42" s="128"/>
      <c r="N42" s="128"/>
    </row>
    <row r="43" spans="1:14" x14ac:dyDescent="0.5">
      <c r="B43" s="8" t="s">
        <v>200</v>
      </c>
      <c r="C43" s="28" t="s">
        <v>342</v>
      </c>
      <c r="D43" s="28" t="s">
        <v>346</v>
      </c>
      <c r="E43" s="29" t="s">
        <v>344</v>
      </c>
      <c r="F43" s="29" t="s">
        <v>103</v>
      </c>
      <c r="G43" s="128">
        <v>513.70051599016949</v>
      </c>
      <c r="H43" s="114"/>
      <c r="I43" s="114"/>
      <c r="J43" s="114"/>
      <c r="K43" s="114"/>
      <c r="L43" s="114"/>
      <c r="M43" s="114"/>
      <c r="N43" s="114"/>
    </row>
    <row r="44" spans="1:14" x14ac:dyDescent="0.5">
      <c r="B44" s="8" t="s">
        <v>200</v>
      </c>
      <c r="C44" s="28" t="s">
        <v>347</v>
      </c>
      <c r="D44" s="28" t="s">
        <v>343</v>
      </c>
      <c r="E44" s="29" t="s">
        <v>344</v>
      </c>
      <c r="F44" s="29" t="s">
        <v>103</v>
      </c>
      <c r="G44" s="128">
        <v>174.30939917245496</v>
      </c>
      <c r="H44" s="128">
        <v>174.30939917245496</v>
      </c>
      <c r="I44" s="128">
        <v>174.30939917245496</v>
      </c>
      <c r="J44" s="128">
        <v>174.30939917245496</v>
      </c>
      <c r="K44" s="128">
        <v>174.30939917245496</v>
      </c>
      <c r="L44" s="128">
        <v>174.30939917245496</v>
      </c>
      <c r="M44" s="128">
        <v>174.30939917245496</v>
      </c>
      <c r="N44" s="128">
        <v>174.30939917245496</v>
      </c>
    </row>
    <row r="45" spans="1:14" x14ac:dyDescent="0.5">
      <c r="B45" s="8" t="s">
        <v>200</v>
      </c>
      <c r="C45" s="28" t="s">
        <v>347</v>
      </c>
      <c r="D45" s="28" t="s">
        <v>345</v>
      </c>
      <c r="E45" s="29" t="s">
        <v>344</v>
      </c>
      <c r="F45" s="29" t="s">
        <v>103</v>
      </c>
      <c r="G45" s="128">
        <v>3547.1533398099141</v>
      </c>
      <c r="H45" s="128">
        <v>3547.1533398099141</v>
      </c>
      <c r="I45" s="128">
        <v>3547.1533398099141</v>
      </c>
      <c r="J45" s="128">
        <v>3547.1533398099141</v>
      </c>
      <c r="K45" s="128">
        <v>3547.1533398099141</v>
      </c>
      <c r="L45" s="128">
        <v>3547.1533398099141</v>
      </c>
      <c r="M45" s="128">
        <v>3547.1533398099141</v>
      </c>
      <c r="N45" s="128">
        <v>3547.1533398099141</v>
      </c>
    </row>
    <row r="46" spans="1:14" ht="17" thickBot="1" x14ac:dyDescent="0.55000000000000004">
      <c r="B46" s="48" t="s">
        <v>200</v>
      </c>
      <c r="C46" s="79" t="s">
        <v>347</v>
      </c>
      <c r="D46" s="79" t="s">
        <v>346</v>
      </c>
      <c r="E46" s="37" t="s">
        <v>344</v>
      </c>
      <c r="F46" s="37" t="s">
        <v>103</v>
      </c>
      <c r="G46" s="129">
        <v>680.29948400983051</v>
      </c>
      <c r="H46" s="121"/>
      <c r="I46" s="121"/>
      <c r="J46" s="121"/>
      <c r="K46" s="121"/>
      <c r="L46" s="121"/>
      <c r="M46" s="121"/>
      <c r="N46" s="121"/>
    </row>
    <row r="48" spans="1:14" ht="19" thickBot="1" x14ac:dyDescent="0.55000000000000004">
      <c r="A48" s="14" t="s">
        <v>201</v>
      </c>
      <c r="F48" s="46"/>
      <c r="G48" s="46"/>
      <c r="H48" s="46"/>
      <c r="I48" s="46"/>
      <c r="J48" s="46"/>
      <c r="K48" s="46"/>
      <c r="L48" s="46"/>
      <c r="M48" s="46"/>
      <c r="N48" s="46"/>
    </row>
    <row r="49" spans="1:14" ht="17.5" thickTop="1" thickBot="1" x14ac:dyDescent="0.55000000000000004">
      <c r="B49" s="11" t="s">
        <v>339</v>
      </c>
      <c r="C49" s="11" t="s">
        <v>340</v>
      </c>
      <c r="D49" s="11" t="s">
        <v>341</v>
      </c>
      <c r="E49" s="11" t="s">
        <v>96</v>
      </c>
      <c r="F49" s="11" t="s">
        <v>97</v>
      </c>
      <c r="G49" s="11">
        <v>2024</v>
      </c>
      <c r="H49" s="12">
        <v>2025</v>
      </c>
      <c r="I49" s="12">
        <v>2026</v>
      </c>
      <c r="J49" s="12">
        <v>2027</v>
      </c>
      <c r="K49" s="12">
        <v>2028</v>
      </c>
      <c r="L49" s="12">
        <v>2029</v>
      </c>
      <c r="M49" s="12">
        <v>2030</v>
      </c>
      <c r="N49" s="12">
        <v>2031</v>
      </c>
    </row>
    <row r="50" spans="1:14" x14ac:dyDescent="0.5">
      <c r="B50" s="8" t="s">
        <v>201</v>
      </c>
      <c r="C50" s="28" t="s">
        <v>342</v>
      </c>
      <c r="D50" s="28" t="s">
        <v>343</v>
      </c>
      <c r="E50" s="29" t="s">
        <v>344</v>
      </c>
      <c r="F50" s="29" t="s">
        <v>103</v>
      </c>
      <c r="G50" s="128"/>
      <c r="H50" s="128"/>
      <c r="I50" s="128"/>
      <c r="J50" s="128"/>
      <c r="K50" s="128"/>
      <c r="L50" s="128"/>
      <c r="M50" s="128"/>
      <c r="N50" s="128"/>
    </row>
    <row r="51" spans="1:14" x14ac:dyDescent="0.5">
      <c r="B51" s="8" t="s">
        <v>201</v>
      </c>
      <c r="C51" s="28" t="s">
        <v>342</v>
      </c>
      <c r="D51" s="28" t="s">
        <v>345</v>
      </c>
      <c r="E51" s="29" t="s">
        <v>344</v>
      </c>
      <c r="F51" s="29" t="s">
        <v>103</v>
      </c>
      <c r="G51" s="128"/>
      <c r="H51" s="128"/>
      <c r="I51" s="128"/>
      <c r="J51" s="128"/>
      <c r="K51" s="128"/>
      <c r="L51" s="128"/>
      <c r="M51" s="128"/>
      <c r="N51" s="128"/>
    </row>
    <row r="52" spans="1:14" x14ac:dyDescent="0.5">
      <c r="B52" s="8" t="s">
        <v>201</v>
      </c>
      <c r="C52" s="28" t="s">
        <v>342</v>
      </c>
      <c r="D52" s="28" t="s">
        <v>346</v>
      </c>
      <c r="E52" s="29" t="s">
        <v>344</v>
      </c>
      <c r="F52" s="29" t="s">
        <v>103</v>
      </c>
      <c r="G52" s="128">
        <v>349.47181023790449</v>
      </c>
      <c r="H52" s="114"/>
      <c r="I52" s="114"/>
      <c r="J52" s="114"/>
      <c r="K52" s="114"/>
      <c r="L52" s="114"/>
      <c r="M52" s="114"/>
      <c r="N52" s="114"/>
    </row>
    <row r="53" spans="1:14" x14ac:dyDescent="0.5">
      <c r="B53" s="8" t="s">
        <v>201</v>
      </c>
      <c r="C53" s="28" t="s">
        <v>347</v>
      </c>
      <c r="D53" s="28" t="s">
        <v>343</v>
      </c>
      <c r="E53" s="29" t="s">
        <v>344</v>
      </c>
      <c r="F53" s="29" t="s">
        <v>103</v>
      </c>
      <c r="G53" s="128">
        <v>111.04667026750435</v>
      </c>
      <c r="H53" s="128">
        <v>111.04667026750435</v>
      </c>
      <c r="I53" s="128">
        <v>111.04667026750435</v>
      </c>
      <c r="J53" s="128">
        <v>111.04667026750435</v>
      </c>
      <c r="K53" s="128">
        <v>111.04667026750435</v>
      </c>
      <c r="L53" s="128">
        <v>111.04667026750435</v>
      </c>
      <c r="M53" s="128">
        <v>111.04667026750435</v>
      </c>
      <c r="N53" s="128">
        <v>111.04667026750435</v>
      </c>
    </row>
    <row r="54" spans="1:14" x14ac:dyDescent="0.5">
      <c r="B54" s="8" t="s">
        <v>201</v>
      </c>
      <c r="C54" s="28" t="s">
        <v>347</v>
      </c>
      <c r="D54" s="28" t="s">
        <v>345</v>
      </c>
      <c r="E54" s="29" t="s">
        <v>344</v>
      </c>
      <c r="F54" s="29" t="s">
        <v>103</v>
      </c>
      <c r="G54" s="128">
        <v>119.89821644824745</v>
      </c>
      <c r="H54" s="128">
        <v>119.89821644824745</v>
      </c>
      <c r="I54" s="128">
        <v>119.89821644824745</v>
      </c>
      <c r="J54" s="128">
        <v>119.89821644824745</v>
      </c>
      <c r="K54" s="128">
        <v>119.89821644824745</v>
      </c>
      <c r="L54" s="128">
        <v>119.89821644824745</v>
      </c>
      <c r="M54" s="128">
        <v>119.89821644824745</v>
      </c>
      <c r="N54" s="128">
        <v>119.89821644824745</v>
      </c>
    </row>
    <row r="55" spans="1:14" ht="17" thickBot="1" x14ac:dyDescent="0.55000000000000004">
      <c r="B55" s="48" t="s">
        <v>201</v>
      </c>
      <c r="C55" s="79" t="s">
        <v>347</v>
      </c>
      <c r="D55" s="79" t="s">
        <v>346</v>
      </c>
      <c r="E55" s="37" t="s">
        <v>344</v>
      </c>
      <c r="F55" s="37" t="s">
        <v>103</v>
      </c>
      <c r="G55" s="129">
        <v>2499.5281897620971</v>
      </c>
      <c r="H55" s="121"/>
      <c r="I55" s="121"/>
      <c r="J55" s="121"/>
      <c r="K55" s="121"/>
      <c r="L55" s="121"/>
      <c r="M55" s="121"/>
      <c r="N55" s="121"/>
    </row>
    <row r="57" spans="1:14" ht="19" thickBot="1" x14ac:dyDescent="0.55000000000000004">
      <c r="A57" s="14" t="s">
        <v>202</v>
      </c>
      <c r="F57" s="46"/>
      <c r="G57" s="46"/>
      <c r="H57" s="46"/>
      <c r="I57" s="46"/>
      <c r="J57" s="46"/>
      <c r="K57" s="46"/>
      <c r="L57" s="46"/>
      <c r="M57" s="46"/>
      <c r="N57" s="46"/>
    </row>
    <row r="58" spans="1:14" ht="17.5" thickTop="1" thickBot="1" x14ac:dyDescent="0.55000000000000004">
      <c r="B58" s="11" t="s">
        <v>339</v>
      </c>
      <c r="C58" s="11" t="s">
        <v>340</v>
      </c>
      <c r="D58" s="11" t="s">
        <v>341</v>
      </c>
      <c r="E58" s="11" t="s">
        <v>96</v>
      </c>
      <c r="F58" s="11" t="s">
        <v>97</v>
      </c>
      <c r="G58" s="11">
        <v>2024</v>
      </c>
      <c r="H58" s="12">
        <v>2025</v>
      </c>
      <c r="I58" s="12">
        <v>2026</v>
      </c>
      <c r="J58" s="12">
        <v>2027</v>
      </c>
      <c r="K58" s="12">
        <v>2028</v>
      </c>
      <c r="L58" s="12">
        <v>2029</v>
      </c>
      <c r="M58" s="12">
        <v>2030</v>
      </c>
      <c r="N58" s="12">
        <v>2031</v>
      </c>
    </row>
    <row r="59" spans="1:14" x14ac:dyDescent="0.5">
      <c r="B59" s="8" t="s">
        <v>202</v>
      </c>
      <c r="C59" s="28" t="s">
        <v>342</v>
      </c>
      <c r="D59" s="28" t="s">
        <v>343</v>
      </c>
      <c r="E59" s="29" t="s">
        <v>344</v>
      </c>
      <c r="F59" s="29" t="s">
        <v>103</v>
      </c>
      <c r="G59" s="128"/>
      <c r="H59" s="128"/>
      <c r="I59" s="128"/>
      <c r="J59" s="128"/>
      <c r="K59" s="128"/>
      <c r="L59" s="128"/>
      <c r="M59" s="128"/>
      <c r="N59" s="128"/>
    </row>
    <row r="60" spans="1:14" x14ac:dyDescent="0.5">
      <c r="B60" s="8" t="s">
        <v>202</v>
      </c>
      <c r="C60" s="28" t="s">
        <v>342</v>
      </c>
      <c r="D60" s="28" t="s">
        <v>345</v>
      </c>
      <c r="E60" s="29" t="s">
        <v>344</v>
      </c>
      <c r="F60" s="29" t="s">
        <v>103</v>
      </c>
      <c r="G60" s="128"/>
      <c r="H60" s="128"/>
      <c r="I60" s="128"/>
      <c r="J60" s="128"/>
      <c r="K60" s="128"/>
      <c r="L60" s="128"/>
      <c r="M60" s="128"/>
      <c r="N60" s="128"/>
    </row>
    <row r="61" spans="1:14" x14ac:dyDescent="0.5">
      <c r="B61" s="8" t="s">
        <v>202</v>
      </c>
      <c r="C61" s="28" t="s">
        <v>342</v>
      </c>
      <c r="D61" s="28" t="s">
        <v>346</v>
      </c>
      <c r="E61" s="29" t="s">
        <v>344</v>
      </c>
      <c r="F61" s="29" t="s">
        <v>103</v>
      </c>
      <c r="G61" s="128"/>
      <c r="H61" s="114"/>
      <c r="I61" s="114"/>
      <c r="J61" s="114"/>
      <c r="K61" s="114"/>
      <c r="L61" s="114"/>
      <c r="M61" s="114"/>
      <c r="N61" s="114"/>
    </row>
    <row r="62" spans="1:14" x14ac:dyDescent="0.5">
      <c r="B62" s="8" t="s">
        <v>202</v>
      </c>
      <c r="C62" s="28" t="s">
        <v>347</v>
      </c>
      <c r="D62" s="28" t="s">
        <v>343</v>
      </c>
      <c r="E62" s="29" t="s">
        <v>344</v>
      </c>
      <c r="F62" s="29" t="s">
        <v>103</v>
      </c>
      <c r="G62" s="128">
        <v>391.02474674255882</v>
      </c>
      <c r="H62" s="128">
        <v>391.02474674255882</v>
      </c>
      <c r="I62" s="128">
        <v>391.02474674255882</v>
      </c>
      <c r="J62" s="128">
        <v>391.02474674255882</v>
      </c>
      <c r="K62" s="128">
        <v>391.02474674255882</v>
      </c>
      <c r="L62" s="128">
        <v>391.02474674255882</v>
      </c>
      <c r="M62" s="128">
        <v>391.02474674255882</v>
      </c>
      <c r="N62" s="128">
        <v>391.02474674255882</v>
      </c>
    </row>
    <row r="63" spans="1:14" x14ac:dyDescent="0.5">
      <c r="B63" s="8" t="s">
        <v>202</v>
      </c>
      <c r="C63" s="28" t="s">
        <v>347</v>
      </c>
      <c r="D63" s="28" t="s">
        <v>345</v>
      </c>
      <c r="E63" s="29" t="s">
        <v>344</v>
      </c>
      <c r="F63" s="29" t="s">
        <v>103</v>
      </c>
      <c r="G63" s="128">
        <v>662.86319394996826</v>
      </c>
      <c r="H63" s="128">
        <v>662.86319394996826</v>
      </c>
      <c r="I63" s="128">
        <v>662.86319394996826</v>
      </c>
      <c r="J63" s="128">
        <v>662.86319394996826</v>
      </c>
      <c r="K63" s="128">
        <v>662.86319394996826</v>
      </c>
      <c r="L63" s="128">
        <v>662.86319394996826</v>
      </c>
      <c r="M63" s="128">
        <v>662.86319394996826</v>
      </c>
      <c r="N63" s="128">
        <v>662.86319394996826</v>
      </c>
    </row>
    <row r="64" spans="1:14" ht="17" thickBot="1" x14ac:dyDescent="0.55000000000000004">
      <c r="B64" s="48" t="s">
        <v>202</v>
      </c>
      <c r="C64" s="79" t="s">
        <v>347</v>
      </c>
      <c r="D64" s="79" t="s">
        <v>346</v>
      </c>
      <c r="E64" s="37" t="s">
        <v>344</v>
      </c>
      <c r="F64" s="37" t="s">
        <v>103</v>
      </c>
      <c r="G64" s="129">
        <v>1105.5058235198353</v>
      </c>
      <c r="H64" s="121"/>
      <c r="I64" s="121"/>
      <c r="J64" s="121"/>
      <c r="K64" s="121"/>
      <c r="L64" s="121"/>
      <c r="M64" s="121"/>
      <c r="N64" s="121"/>
    </row>
    <row r="66" spans="1:14" ht="19" thickBot="1" x14ac:dyDescent="0.55000000000000004">
      <c r="A66" s="14" t="s">
        <v>203</v>
      </c>
      <c r="F66" s="46"/>
      <c r="G66" s="46"/>
      <c r="H66" s="46"/>
      <c r="I66" s="46"/>
      <c r="J66" s="46"/>
      <c r="K66" s="46"/>
      <c r="L66" s="46"/>
      <c r="M66" s="46"/>
      <c r="N66" s="46"/>
    </row>
    <row r="67" spans="1:14" ht="17.5" thickTop="1" thickBot="1" x14ac:dyDescent="0.55000000000000004">
      <c r="B67" s="11" t="s">
        <v>339</v>
      </c>
      <c r="C67" s="11" t="s">
        <v>340</v>
      </c>
      <c r="D67" s="11" t="s">
        <v>341</v>
      </c>
      <c r="E67" s="11" t="s">
        <v>96</v>
      </c>
      <c r="F67" s="11" t="s">
        <v>97</v>
      </c>
      <c r="G67" s="12">
        <v>2024</v>
      </c>
      <c r="H67" s="12">
        <v>2025</v>
      </c>
      <c r="I67" s="12">
        <v>2026</v>
      </c>
      <c r="J67" s="12">
        <v>2027</v>
      </c>
      <c r="K67" s="12">
        <v>2028</v>
      </c>
      <c r="L67" s="12">
        <v>2029</v>
      </c>
      <c r="M67" s="12">
        <v>2030</v>
      </c>
      <c r="N67" s="12">
        <v>2031</v>
      </c>
    </row>
    <row r="68" spans="1:14" x14ac:dyDescent="0.5">
      <c r="B68" s="8" t="s">
        <v>203</v>
      </c>
      <c r="C68" s="28" t="s">
        <v>342</v>
      </c>
      <c r="D68" s="28" t="s">
        <v>343</v>
      </c>
      <c r="E68" s="29" t="s">
        <v>344</v>
      </c>
      <c r="F68" s="127" t="s">
        <v>103</v>
      </c>
      <c r="G68" s="67"/>
      <c r="H68" s="67"/>
      <c r="I68" s="67"/>
      <c r="J68" s="67"/>
      <c r="K68" s="67"/>
      <c r="L68" s="67"/>
      <c r="M68" s="67"/>
      <c r="N68" s="67"/>
    </row>
    <row r="69" spans="1:14" x14ac:dyDescent="0.5">
      <c r="B69" s="8" t="s">
        <v>203</v>
      </c>
      <c r="C69" s="28" t="s">
        <v>342</v>
      </c>
      <c r="D69" s="28" t="s">
        <v>345</v>
      </c>
      <c r="E69" s="29" t="s">
        <v>344</v>
      </c>
      <c r="F69" s="29" t="s">
        <v>103</v>
      </c>
      <c r="G69" s="67"/>
      <c r="H69" s="67"/>
      <c r="I69" s="67"/>
      <c r="J69" s="67"/>
      <c r="K69" s="67"/>
      <c r="L69" s="67"/>
      <c r="M69" s="67"/>
      <c r="N69" s="67"/>
    </row>
    <row r="70" spans="1:14" ht="17" thickBot="1" x14ac:dyDescent="0.55000000000000004">
      <c r="B70" s="48" t="s">
        <v>203</v>
      </c>
      <c r="C70" s="79" t="s">
        <v>342</v>
      </c>
      <c r="D70" s="79" t="s">
        <v>346</v>
      </c>
      <c r="E70" s="37" t="s">
        <v>344</v>
      </c>
      <c r="F70" s="37" t="s">
        <v>103</v>
      </c>
      <c r="G70" s="129">
        <v>123395</v>
      </c>
      <c r="H70" s="84"/>
      <c r="I70" s="84"/>
      <c r="J70" s="84"/>
      <c r="K70" s="84"/>
      <c r="L70" s="84"/>
      <c r="M70" s="84"/>
      <c r="N70" s="84"/>
    </row>
    <row r="72" spans="1:14" ht="19" thickBot="1" x14ac:dyDescent="0.55000000000000004">
      <c r="A72" s="14" t="s">
        <v>204</v>
      </c>
      <c r="F72" s="46"/>
      <c r="G72" s="46"/>
      <c r="H72" s="46"/>
      <c r="I72" s="46"/>
      <c r="J72" s="46"/>
      <c r="K72" s="46"/>
      <c r="L72" s="46"/>
      <c r="M72" s="46"/>
      <c r="N72" s="46"/>
    </row>
    <row r="73" spans="1:14" ht="17.5" thickTop="1" thickBot="1" x14ac:dyDescent="0.55000000000000004">
      <c r="B73" s="11" t="s">
        <v>339</v>
      </c>
      <c r="C73" s="11" t="s">
        <v>340</v>
      </c>
      <c r="D73" s="11" t="s">
        <v>341</v>
      </c>
      <c r="E73" s="11" t="s">
        <v>96</v>
      </c>
      <c r="F73" s="11" t="s">
        <v>97</v>
      </c>
      <c r="G73" s="12">
        <v>2024</v>
      </c>
      <c r="H73" s="12">
        <v>2025</v>
      </c>
      <c r="I73" s="12">
        <v>2026</v>
      </c>
      <c r="J73" s="12">
        <v>2027</v>
      </c>
      <c r="K73" s="12">
        <v>2028</v>
      </c>
      <c r="L73" s="12">
        <v>2029</v>
      </c>
      <c r="M73" s="12">
        <v>2030</v>
      </c>
      <c r="N73" s="12">
        <v>2031</v>
      </c>
    </row>
    <row r="74" spans="1:14" x14ac:dyDescent="0.5">
      <c r="B74" s="8" t="s">
        <v>204</v>
      </c>
      <c r="C74" s="28" t="s">
        <v>342</v>
      </c>
      <c r="D74" s="28" t="s">
        <v>343</v>
      </c>
      <c r="E74" s="29" t="s">
        <v>344</v>
      </c>
      <c r="F74" s="127" t="s">
        <v>103</v>
      </c>
      <c r="G74" s="67"/>
      <c r="H74" s="67"/>
      <c r="I74" s="67"/>
      <c r="J74" s="67"/>
      <c r="K74" s="67"/>
      <c r="L74" s="67"/>
      <c r="M74" s="67"/>
      <c r="N74" s="67"/>
    </row>
    <row r="75" spans="1:14" x14ac:dyDescent="0.5">
      <c r="B75" s="8" t="s">
        <v>204</v>
      </c>
      <c r="C75" s="28" t="s">
        <v>342</v>
      </c>
      <c r="D75" s="28" t="s">
        <v>345</v>
      </c>
      <c r="E75" s="29" t="s">
        <v>344</v>
      </c>
      <c r="F75" s="29" t="s">
        <v>103</v>
      </c>
      <c r="G75" s="67"/>
      <c r="H75" s="67"/>
      <c r="I75" s="67"/>
      <c r="J75" s="67"/>
      <c r="K75" s="67"/>
      <c r="L75" s="67"/>
      <c r="M75" s="67"/>
      <c r="N75" s="67"/>
    </row>
    <row r="76" spans="1:14" ht="17" thickBot="1" x14ac:dyDescent="0.55000000000000004">
      <c r="B76" s="48" t="s">
        <v>204</v>
      </c>
      <c r="C76" s="79" t="s">
        <v>342</v>
      </c>
      <c r="D76" s="79" t="s">
        <v>346</v>
      </c>
      <c r="E76" s="37" t="s">
        <v>344</v>
      </c>
      <c r="F76" s="37" t="s">
        <v>103</v>
      </c>
      <c r="G76" s="129">
        <v>11020</v>
      </c>
      <c r="H76" s="84"/>
      <c r="I76" s="84"/>
      <c r="J76" s="84"/>
      <c r="K76" s="84"/>
      <c r="L76" s="84"/>
      <c r="M76" s="84"/>
      <c r="N76" s="84"/>
    </row>
    <row r="78" spans="1:14" ht="19" thickBot="1" x14ac:dyDescent="0.55000000000000004">
      <c r="A78" s="14" t="s">
        <v>205</v>
      </c>
      <c r="F78" s="46"/>
      <c r="G78" s="46"/>
      <c r="H78" s="46"/>
      <c r="I78" s="46"/>
      <c r="J78" s="46"/>
      <c r="K78" s="46"/>
      <c r="L78" s="46"/>
      <c r="M78" s="46"/>
      <c r="N78" s="46"/>
    </row>
    <row r="79" spans="1:14" ht="17.5" thickTop="1" thickBot="1" x14ac:dyDescent="0.55000000000000004">
      <c r="B79" s="11" t="s">
        <v>339</v>
      </c>
      <c r="C79" s="11" t="s">
        <v>340</v>
      </c>
      <c r="D79" s="11" t="s">
        <v>341</v>
      </c>
      <c r="E79" s="11" t="s">
        <v>96</v>
      </c>
      <c r="F79" s="11" t="s">
        <v>97</v>
      </c>
      <c r="G79" s="12">
        <v>2024</v>
      </c>
      <c r="H79" s="12">
        <v>2025</v>
      </c>
      <c r="I79" s="12">
        <v>2026</v>
      </c>
      <c r="J79" s="12">
        <v>2027</v>
      </c>
      <c r="K79" s="12">
        <v>2028</v>
      </c>
      <c r="L79" s="12">
        <v>2029</v>
      </c>
      <c r="M79" s="12">
        <v>2030</v>
      </c>
      <c r="N79" s="12">
        <v>2031</v>
      </c>
    </row>
    <row r="80" spans="1:14" x14ac:dyDescent="0.5">
      <c r="B80" s="8" t="s">
        <v>205</v>
      </c>
      <c r="C80" s="28" t="s">
        <v>342</v>
      </c>
      <c r="D80" s="28" t="s">
        <v>343</v>
      </c>
      <c r="E80" s="29" t="s">
        <v>344</v>
      </c>
      <c r="F80" s="127" t="s">
        <v>103</v>
      </c>
      <c r="G80" s="67"/>
      <c r="H80" s="67"/>
      <c r="I80" s="67"/>
      <c r="J80" s="67"/>
      <c r="K80" s="67"/>
      <c r="L80" s="67"/>
      <c r="M80" s="67"/>
      <c r="N80" s="67"/>
    </row>
    <row r="81" spans="1:14" x14ac:dyDescent="0.5">
      <c r="B81" s="8" t="s">
        <v>205</v>
      </c>
      <c r="C81" s="28" t="s">
        <v>342</v>
      </c>
      <c r="D81" s="28" t="s">
        <v>345</v>
      </c>
      <c r="E81" s="29" t="s">
        <v>344</v>
      </c>
      <c r="F81" s="29" t="s">
        <v>103</v>
      </c>
      <c r="G81" s="67"/>
      <c r="H81" s="67"/>
      <c r="I81" s="67"/>
      <c r="J81" s="67"/>
      <c r="K81" s="67"/>
      <c r="L81" s="67"/>
      <c r="M81" s="67"/>
      <c r="N81" s="67"/>
    </row>
    <row r="82" spans="1:14" ht="17" thickBot="1" x14ac:dyDescent="0.55000000000000004">
      <c r="B82" s="48" t="s">
        <v>205</v>
      </c>
      <c r="C82" s="79" t="s">
        <v>342</v>
      </c>
      <c r="D82" s="79" t="s">
        <v>346</v>
      </c>
      <c r="E82" s="37" t="s">
        <v>344</v>
      </c>
      <c r="F82" s="37" t="s">
        <v>103</v>
      </c>
      <c r="G82" s="129">
        <v>65749.736999999994</v>
      </c>
      <c r="H82" s="84"/>
      <c r="I82" s="84"/>
      <c r="J82" s="84"/>
      <c r="K82" s="84"/>
      <c r="L82" s="84"/>
      <c r="M82" s="84"/>
      <c r="N82" s="84"/>
    </row>
    <row r="84" spans="1:14" ht="19" thickBot="1" x14ac:dyDescent="0.55000000000000004">
      <c r="A84" s="14" t="s">
        <v>206</v>
      </c>
      <c r="F84" s="46"/>
      <c r="G84" s="46"/>
      <c r="H84" s="46"/>
      <c r="I84" s="46"/>
      <c r="J84" s="46"/>
      <c r="K84" s="46"/>
      <c r="L84" s="46"/>
      <c r="M84" s="46"/>
      <c r="N84" s="46"/>
    </row>
    <row r="85" spans="1:14" ht="17.5" thickTop="1" thickBot="1" x14ac:dyDescent="0.55000000000000004">
      <c r="B85" s="11" t="s">
        <v>339</v>
      </c>
      <c r="C85" s="11" t="s">
        <v>340</v>
      </c>
      <c r="D85" s="11" t="s">
        <v>341</v>
      </c>
      <c r="E85" s="11" t="s">
        <v>96</v>
      </c>
      <c r="F85" s="11" t="s">
        <v>97</v>
      </c>
      <c r="G85" s="12">
        <v>2024</v>
      </c>
      <c r="H85" s="12">
        <v>2025</v>
      </c>
      <c r="I85" s="12">
        <v>2026</v>
      </c>
      <c r="J85" s="12">
        <v>2027</v>
      </c>
      <c r="K85" s="12">
        <v>2028</v>
      </c>
      <c r="L85" s="12">
        <v>2029</v>
      </c>
      <c r="M85" s="12">
        <v>2030</v>
      </c>
      <c r="N85" s="12">
        <v>2031</v>
      </c>
    </row>
    <row r="86" spans="1:14" x14ac:dyDescent="0.5">
      <c r="B86" s="8" t="s">
        <v>206</v>
      </c>
      <c r="C86" s="28" t="s">
        <v>342</v>
      </c>
      <c r="D86" s="28" t="s">
        <v>343</v>
      </c>
      <c r="E86" s="29" t="s">
        <v>344</v>
      </c>
      <c r="F86" s="127" t="s">
        <v>103</v>
      </c>
      <c r="G86" s="67"/>
      <c r="H86" s="67"/>
      <c r="I86" s="67"/>
      <c r="J86" s="67"/>
      <c r="K86" s="67"/>
      <c r="L86" s="67"/>
      <c r="M86" s="67"/>
      <c r="N86" s="67"/>
    </row>
    <row r="87" spans="1:14" x14ac:dyDescent="0.5">
      <c r="B87" s="8" t="s">
        <v>206</v>
      </c>
      <c r="C87" s="28" t="s">
        <v>342</v>
      </c>
      <c r="D87" s="28" t="s">
        <v>345</v>
      </c>
      <c r="E87" s="29" t="s">
        <v>344</v>
      </c>
      <c r="F87" s="29" t="s">
        <v>103</v>
      </c>
      <c r="G87" s="67"/>
      <c r="H87" s="67"/>
      <c r="I87" s="67"/>
      <c r="J87" s="67"/>
      <c r="K87" s="67"/>
      <c r="L87" s="67"/>
      <c r="M87" s="67"/>
      <c r="N87" s="67"/>
    </row>
    <row r="88" spans="1:14" ht="17" thickBot="1" x14ac:dyDescent="0.55000000000000004">
      <c r="B88" s="48" t="s">
        <v>206</v>
      </c>
      <c r="C88" s="79" t="s">
        <v>342</v>
      </c>
      <c r="D88" s="79" t="s">
        <v>346</v>
      </c>
      <c r="E88" s="37" t="s">
        <v>344</v>
      </c>
      <c r="F88" s="37" t="s">
        <v>103</v>
      </c>
      <c r="G88" s="129">
        <v>610.5</v>
      </c>
      <c r="H88" s="84"/>
      <c r="I88" s="84"/>
      <c r="J88" s="84"/>
      <c r="K88" s="84"/>
      <c r="L88" s="84"/>
      <c r="M88" s="84"/>
      <c r="N88" s="84"/>
    </row>
    <row r="90" spans="1:14" ht="19" thickBot="1" x14ac:dyDescent="0.55000000000000004">
      <c r="A90" s="14" t="s">
        <v>207</v>
      </c>
      <c r="F90" s="46"/>
      <c r="G90" s="46"/>
      <c r="H90" s="46"/>
      <c r="I90" s="46"/>
      <c r="J90" s="46"/>
      <c r="K90" s="46"/>
      <c r="L90" s="46"/>
      <c r="M90" s="46"/>
      <c r="N90" s="46"/>
    </row>
    <row r="91" spans="1:14" ht="17.5" thickTop="1" thickBot="1" x14ac:dyDescent="0.55000000000000004">
      <c r="B91" s="11" t="s">
        <v>339</v>
      </c>
      <c r="C91" s="11" t="s">
        <v>340</v>
      </c>
      <c r="D91" s="11" t="s">
        <v>341</v>
      </c>
      <c r="E91" s="11" t="s">
        <v>96</v>
      </c>
      <c r="F91" s="11" t="s">
        <v>97</v>
      </c>
      <c r="G91" s="12">
        <v>2024</v>
      </c>
      <c r="H91" s="12">
        <v>2025</v>
      </c>
      <c r="I91" s="12">
        <v>2026</v>
      </c>
      <c r="J91" s="12">
        <v>2027</v>
      </c>
      <c r="K91" s="12">
        <v>2028</v>
      </c>
      <c r="L91" s="12">
        <v>2029</v>
      </c>
      <c r="M91" s="12">
        <v>2030</v>
      </c>
      <c r="N91" s="12">
        <v>2031</v>
      </c>
    </row>
    <row r="92" spans="1:14" x14ac:dyDescent="0.5">
      <c r="B92" s="8" t="s">
        <v>207</v>
      </c>
      <c r="C92" s="28" t="s">
        <v>342</v>
      </c>
      <c r="D92" s="28" t="s">
        <v>343</v>
      </c>
      <c r="E92" s="29" t="s">
        <v>344</v>
      </c>
      <c r="F92" s="127" t="s">
        <v>103</v>
      </c>
      <c r="G92" s="67"/>
      <c r="H92" s="67"/>
      <c r="I92" s="67"/>
      <c r="J92" s="67"/>
      <c r="K92" s="67"/>
      <c r="L92" s="67"/>
      <c r="M92" s="67"/>
      <c r="N92" s="67"/>
    </row>
    <row r="93" spans="1:14" x14ac:dyDescent="0.5">
      <c r="B93" s="8" t="s">
        <v>207</v>
      </c>
      <c r="C93" s="28" t="s">
        <v>342</v>
      </c>
      <c r="D93" s="28" t="s">
        <v>345</v>
      </c>
      <c r="E93" s="29" t="s">
        <v>344</v>
      </c>
      <c r="F93" s="29" t="s">
        <v>103</v>
      </c>
      <c r="G93" s="67"/>
      <c r="H93" s="67"/>
      <c r="I93" s="67"/>
      <c r="J93" s="67"/>
      <c r="K93" s="67"/>
      <c r="L93" s="67"/>
      <c r="M93" s="67"/>
      <c r="N93" s="67"/>
    </row>
    <row r="94" spans="1:14" ht="17" thickBot="1" x14ac:dyDescent="0.55000000000000004">
      <c r="B94" s="48" t="s">
        <v>207</v>
      </c>
      <c r="C94" s="79" t="s">
        <v>342</v>
      </c>
      <c r="D94" s="79" t="s">
        <v>346</v>
      </c>
      <c r="E94" s="37" t="s">
        <v>344</v>
      </c>
      <c r="F94" s="37" t="s">
        <v>103</v>
      </c>
      <c r="G94" s="129">
        <v>9538</v>
      </c>
      <c r="H94" s="84"/>
      <c r="I94" s="84"/>
      <c r="J94" s="84"/>
      <c r="K94" s="84"/>
      <c r="L94" s="84"/>
      <c r="M94" s="84"/>
      <c r="N94" s="84"/>
    </row>
    <row r="96" spans="1:14" ht="19" thickBot="1" x14ac:dyDescent="0.55000000000000004">
      <c r="A96" s="14" t="s">
        <v>208</v>
      </c>
      <c r="F96" s="46"/>
      <c r="G96" s="46"/>
      <c r="H96" s="46"/>
      <c r="I96" s="46"/>
      <c r="J96" s="46"/>
      <c r="K96" s="46"/>
      <c r="L96" s="46"/>
      <c r="M96" s="46"/>
      <c r="N96" s="46"/>
    </row>
    <row r="97" spans="1:14" ht="17.5" thickTop="1" thickBot="1" x14ac:dyDescent="0.55000000000000004">
      <c r="B97" s="11" t="s">
        <v>339</v>
      </c>
      <c r="C97" s="11" t="s">
        <v>340</v>
      </c>
      <c r="D97" s="11" t="s">
        <v>341</v>
      </c>
      <c r="E97" s="11" t="s">
        <v>96</v>
      </c>
      <c r="F97" s="11" t="s">
        <v>97</v>
      </c>
      <c r="G97" s="12">
        <v>2024</v>
      </c>
      <c r="H97" s="12">
        <v>2025</v>
      </c>
      <c r="I97" s="12">
        <v>2026</v>
      </c>
      <c r="J97" s="12">
        <v>2027</v>
      </c>
      <c r="K97" s="12">
        <v>2028</v>
      </c>
      <c r="L97" s="12">
        <v>2029</v>
      </c>
      <c r="M97" s="12">
        <v>2030</v>
      </c>
      <c r="N97" s="12">
        <v>2031</v>
      </c>
    </row>
    <row r="98" spans="1:14" x14ac:dyDescent="0.5">
      <c r="B98" s="8" t="s">
        <v>208</v>
      </c>
      <c r="C98" s="28" t="s">
        <v>342</v>
      </c>
      <c r="D98" s="28" t="s">
        <v>343</v>
      </c>
      <c r="E98" s="29" t="s">
        <v>344</v>
      </c>
      <c r="F98" s="127" t="s">
        <v>103</v>
      </c>
      <c r="G98" s="67"/>
      <c r="H98" s="67"/>
      <c r="I98" s="67"/>
      <c r="J98" s="67"/>
      <c r="K98" s="67"/>
      <c r="L98" s="67"/>
      <c r="M98" s="67"/>
      <c r="N98" s="67"/>
    </row>
    <row r="99" spans="1:14" x14ac:dyDescent="0.5">
      <c r="B99" s="8" t="s">
        <v>208</v>
      </c>
      <c r="C99" s="28" t="s">
        <v>342</v>
      </c>
      <c r="D99" s="28" t="s">
        <v>345</v>
      </c>
      <c r="E99" s="29" t="s">
        <v>344</v>
      </c>
      <c r="F99" s="29" t="s">
        <v>103</v>
      </c>
      <c r="G99" s="67"/>
      <c r="H99" s="67"/>
      <c r="I99" s="67"/>
      <c r="J99" s="67"/>
      <c r="K99" s="67"/>
      <c r="L99" s="67"/>
      <c r="M99" s="67"/>
      <c r="N99" s="67"/>
    </row>
    <row r="100" spans="1:14" ht="17" thickBot="1" x14ac:dyDescent="0.55000000000000004">
      <c r="B100" s="48" t="s">
        <v>208</v>
      </c>
      <c r="C100" s="79" t="s">
        <v>342</v>
      </c>
      <c r="D100" s="79" t="s">
        <v>346</v>
      </c>
      <c r="E100" s="37" t="s">
        <v>344</v>
      </c>
      <c r="F100" s="37" t="s">
        <v>103</v>
      </c>
      <c r="G100" s="130">
        <v>978</v>
      </c>
      <c r="H100" s="84"/>
      <c r="I100" s="84"/>
      <c r="J100" s="84"/>
      <c r="K100" s="84"/>
      <c r="L100" s="84"/>
      <c r="M100" s="84"/>
      <c r="N100" s="84"/>
    </row>
    <row r="102" spans="1:14" ht="19" thickBot="1" x14ac:dyDescent="0.55000000000000004">
      <c r="A102" s="14" t="s">
        <v>240</v>
      </c>
      <c r="F102" s="46"/>
      <c r="G102" s="46"/>
      <c r="H102" s="46"/>
      <c r="I102" s="46"/>
      <c r="J102" s="46"/>
      <c r="K102" s="46"/>
      <c r="L102" s="46"/>
      <c r="M102" s="46"/>
      <c r="N102" s="46"/>
    </row>
    <row r="103" spans="1:14" ht="17.5" thickTop="1" thickBot="1" x14ac:dyDescent="0.55000000000000004">
      <c r="B103" s="11" t="s">
        <v>339</v>
      </c>
      <c r="C103" s="11" t="s">
        <v>340</v>
      </c>
      <c r="D103" s="11" t="s">
        <v>341</v>
      </c>
      <c r="E103" s="11" t="s">
        <v>96</v>
      </c>
      <c r="F103" s="11" t="s">
        <v>97</v>
      </c>
      <c r="G103" s="11">
        <v>2024</v>
      </c>
      <c r="H103" s="12">
        <v>2025</v>
      </c>
      <c r="I103" s="12">
        <v>2026</v>
      </c>
      <c r="J103" s="12">
        <v>2027</v>
      </c>
      <c r="K103" s="12">
        <v>2028</v>
      </c>
      <c r="L103" s="12">
        <v>2029</v>
      </c>
      <c r="M103" s="12">
        <v>2030</v>
      </c>
      <c r="N103" s="12">
        <v>2031</v>
      </c>
    </row>
    <row r="104" spans="1:14" x14ac:dyDescent="0.5">
      <c r="B104" s="8" t="s">
        <v>240</v>
      </c>
      <c r="C104" s="28" t="s">
        <v>342</v>
      </c>
      <c r="D104" s="28" t="s">
        <v>343</v>
      </c>
      <c r="E104" s="29" t="s">
        <v>344</v>
      </c>
      <c r="F104" s="29" t="s">
        <v>103</v>
      </c>
      <c r="G104" s="67"/>
      <c r="H104" s="67"/>
      <c r="I104" s="67"/>
      <c r="J104" s="67"/>
      <c r="K104" s="67"/>
      <c r="L104" s="67"/>
      <c r="M104" s="67"/>
      <c r="N104" s="67"/>
    </row>
    <row r="105" spans="1:14" x14ac:dyDescent="0.5">
      <c r="B105" s="8" t="s">
        <v>240</v>
      </c>
      <c r="C105" s="28" t="s">
        <v>342</v>
      </c>
      <c r="D105" s="28" t="s">
        <v>345</v>
      </c>
      <c r="E105" s="29" t="s">
        <v>344</v>
      </c>
      <c r="F105" s="29" t="s">
        <v>103</v>
      </c>
      <c r="G105" s="67"/>
      <c r="H105" s="67"/>
      <c r="I105" s="67"/>
      <c r="J105" s="67"/>
      <c r="K105" s="67"/>
      <c r="L105" s="67"/>
      <c r="M105" s="67"/>
      <c r="N105" s="67"/>
    </row>
    <row r="106" spans="1:14" x14ac:dyDescent="0.5">
      <c r="B106" s="8" t="s">
        <v>240</v>
      </c>
      <c r="C106" s="28" t="s">
        <v>342</v>
      </c>
      <c r="D106" s="28" t="s">
        <v>346</v>
      </c>
      <c r="E106" s="29" t="s">
        <v>344</v>
      </c>
      <c r="F106" s="29" t="s">
        <v>103</v>
      </c>
      <c r="G106" s="67"/>
      <c r="H106" s="64"/>
      <c r="I106" s="64"/>
      <c r="J106" s="64"/>
      <c r="K106" s="64"/>
      <c r="L106" s="64"/>
      <c r="M106" s="64"/>
      <c r="N106" s="64"/>
    </row>
    <row r="107" spans="1:14" x14ac:dyDescent="0.5">
      <c r="B107" s="8" t="s">
        <v>240</v>
      </c>
      <c r="C107" s="28" t="s">
        <v>347</v>
      </c>
      <c r="D107" s="28" t="s">
        <v>343</v>
      </c>
      <c r="E107" s="29" t="s">
        <v>344</v>
      </c>
      <c r="F107" s="29" t="s">
        <v>103</v>
      </c>
      <c r="G107" s="67"/>
      <c r="H107" s="67"/>
      <c r="I107" s="67"/>
      <c r="J107" s="67"/>
      <c r="K107" s="67"/>
      <c r="L107" s="67"/>
      <c r="M107" s="67"/>
      <c r="N107" s="67"/>
    </row>
    <row r="108" spans="1:14" x14ac:dyDescent="0.5">
      <c r="B108" s="8" t="s">
        <v>240</v>
      </c>
      <c r="C108" s="28" t="s">
        <v>347</v>
      </c>
      <c r="D108" s="28" t="s">
        <v>345</v>
      </c>
      <c r="E108" s="29" t="s">
        <v>344</v>
      </c>
      <c r="F108" s="29" t="s">
        <v>103</v>
      </c>
      <c r="G108" s="67"/>
      <c r="H108" s="67"/>
      <c r="I108" s="67"/>
      <c r="J108" s="67"/>
      <c r="K108" s="67"/>
      <c r="L108" s="67"/>
      <c r="M108" s="67"/>
      <c r="N108" s="67"/>
    </row>
    <row r="109" spans="1:14" ht="17" thickBot="1" x14ac:dyDescent="0.55000000000000004">
      <c r="B109" s="48" t="s">
        <v>240</v>
      </c>
      <c r="C109" s="79" t="s">
        <v>347</v>
      </c>
      <c r="D109" s="79" t="s">
        <v>346</v>
      </c>
      <c r="E109" s="37" t="s">
        <v>344</v>
      </c>
      <c r="F109" s="37" t="s">
        <v>103</v>
      </c>
      <c r="G109" s="80"/>
      <c r="H109" s="84"/>
      <c r="I109" s="84"/>
      <c r="J109" s="84"/>
      <c r="K109" s="84"/>
      <c r="L109" s="84"/>
      <c r="M109" s="84"/>
      <c r="N109" s="84"/>
    </row>
    <row r="111" spans="1:14" ht="19" thickBot="1" x14ac:dyDescent="0.55000000000000004">
      <c r="A111" s="14" t="s">
        <v>240</v>
      </c>
      <c r="F111" s="46"/>
      <c r="G111" s="46"/>
      <c r="H111" s="46"/>
      <c r="I111" s="46"/>
      <c r="J111" s="46"/>
      <c r="K111" s="46"/>
      <c r="L111" s="46"/>
      <c r="M111" s="46"/>
      <c r="N111" s="46"/>
    </row>
    <row r="112" spans="1:14" ht="17.5" thickTop="1" thickBot="1" x14ac:dyDescent="0.55000000000000004">
      <c r="B112" s="11" t="s">
        <v>339</v>
      </c>
      <c r="C112" s="11" t="s">
        <v>340</v>
      </c>
      <c r="D112" s="11" t="s">
        <v>341</v>
      </c>
      <c r="E112" s="11" t="s">
        <v>96</v>
      </c>
      <c r="F112" s="11" t="s">
        <v>97</v>
      </c>
      <c r="G112" s="11">
        <v>2024</v>
      </c>
      <c r="H112" s="12">
        <v>2025</v>
      </c>
      <c r="I112" s="12">
        <v>2026</v>
      </c>
      <c r="J112" s="12">
        <v>2027</v>
      </c>
      <c r="K112" s="12">
        <v>2028</v>
      </c>
      <c r="L112" s="12">
        <v>2029</v>
      </c>
      <c r="M112" s="12">
        <v>2030</v>
      </c>
      <c r="N112" s="12">
        <v>2031</v>
      </c>
    </row>
    <row r="113" spans="1:14" x14ac:dyDescent="0.5">
      <c r="B113" s="8" t="s">
        <v>240</v>
      </c>
      <c r="C113" s="28" t="s">
        <v>342</v>
      </c>
      <c r="D113" s="28" t="s">
        <v>343</v>
      </c>
      <c r="E113" s="29" t="s">
        <v>344</v>
      </c>
      <c r="F113" s="29" t="s">
        <v>103</v>
      </c>
      <c r="G113" s="67"/>
      <c r="H113" s="67"/>
      <c r="I113" s="67"/>
      <c r="J113" s="67"/>
      <c r="K113" s="67"/>
      <c r="L113" s="67"/>
      <c r="M113" s="67"/>
      <c r="N113" s="67"/>
    </row>
    <row r="114" spans="1:14" x14ac:dyDescent="0.5">
      <c r="B114" s="8" t="s">
        <v>240</v>
      </c>
      <c r="C114" s="28" t="s">
        <v>342</v>
      </c>
      <c r="D114" s="28" t="s">
        <v>345</v>
      </c>
      <c r="E114" s="29" t="s">
        <v>344</v>
      </c>
      <c r="F114" s="29" t="s">
        <v>103</v>
      </c>
      <c r="G114" s="67"/>
      <c r="H114" s="67"/>
      <c r="I114" s="67"/>
      <c r="J114" s="67"/>
      <c r="K114" s="67"/>
      <c r="L114" s="67"/>
      <c r="M114" s="67"/>
      <c r="N114" s="67"/>
    </row>
    <row r="115" spans="1:14" x14ac:dyDescent="0.5">
      <c r="B115" s="8" t="s">
        <v>240</v>
      </c>
      <c r="C115" s="28" t="s">
        <v>342</v>
      </c>
      <c r="D115" s="28" t="s">
        <v>346</v>
      </c>
      <c r="E115" s="29" t="s">
        <v>344</v>
      </c>
      <c r="F115" s="29" t="s">
        <v>103</v>
      </c>
      <c r="G115" s="67"/>
      <c r="H115" s="64"/>
      <c r="I115" s="64"/>
      <c r="J115" s="64"/>
      <c r="K115" s="64"/>
      <c r="L115" s="64"/>
      <c r="M115" s="64"/>
      <c r="N115" s="64"/>
    </row>
    <row r="116" spans="1:14" x14ac:dyDescent="0.5">
      <c r="B116" s="8" t="s">
        <v>240</v>
      </c>
      <c r="C116" s="28" t="s">
        <v>347</v>
      </c>
      <c r="D116" s="28" t="s">
        <v>343</v>
      </c>
      <c r="E116" s="29" t="s">
        <v>344</v>
      </c>
      <c r="F116" s="29" t="s">
        <v>103</v>
      </c>
      <c r="G116" s="67"/>
      <c r="H116" s="67"/>
      <c r="I116" s="67"/>
      <c r="J116" s="67"/>
      <c r="K116" s="67"/>
      <c r="L116" s="67"/>
      <c r="M116" s="67"/>
      <c r="N116" s="67"/>
    </row>
    <row r="117" spans="1:14" x14ac:dyDescent="0.5">
      <c r="B117" s="8" t="s">
        <v>240</v>
      </c>
      <c r="C117" s="28" t="s">
        <v>347</v>
      </c>
      <c r="D117" s="28" t="s">
        <v>345</v>
      </c>
      <c r="E117" s="29" t="s">
        <v>344</v>
      </c>
      <c r="F117" s="29" t="s">
        <v>103</v>
      </c>
      <c r="G117" s="67"/>
      <c r="H117" s="67"/>
      <c r="I117" s="67"/>
      <c r="J117" s="67"/>
      <c r="K117" s="67"/>
      <c r="L117" s="67"/>
      <c r="M117" s="67"/>
      <c r="N117" s="67"/>
    </row>
    <row r="118" spans="1:14" ht="17" thickBot="1" x14ac:dyDescent="0.55000000000000004">
      <c r="B118" s="48" t="s">
        <v>240</v>
      </c>
      <c r="C118" s="79" t="s">
        <v>347</v>
      </c>
      <c r="D118" s="79" t="s">
        <v>346</v>
      </c>
      <c r="E118" s="37" t="s">
        <v>344</v>
      </c>
      <c r="F118" s="37" t="s">
        <v>103</v>
      </c>
      <c r="G118" s="80"/>
      <c r="H118" s="84"/>
      <c r="I118" s="84"/>
      <c r="J118" s="84"/>
      <c r="K118" s="84"/>
      <c r="L118" s="84"/>
      <c r="M118" s="84"/>
      <c r="N118" s="84"/>
    </row>
    <row r="120" spans="1:14" ht="19" thickBot="1" x14ac:dyDescent="0.55000000000000004">
      <c r="A120" s="14" t="s">
        <v>240</v>
      </c>
      <c r="F120" s="46"/>
      <c r="G120" s="46"/>
      <c r="H120" s="46"/>
      <c r="I120" s="46"/>
      <c r="J120" s="46"/>
      <c r="K120" s="46"/>
      <c r="L120" s="46"/>
      <c r="M120" s="46"/>
      <c r="N120" s="46"/>
    </row>
    <row r="121" spans="1:14" ht="17.5" thickTop="1" thickBot="1" x14ac:dyDescent="0.55000000000000004">
      <c r="B121" s="11" t="s">
        <v>339</v>
      </c>
      <c r="C121" s="11" t="s">
        <v>340</v>
      </c>
      <c r="D121" s="11" t="s">
        <v>341</v>
      </c>
      <c r="E121" s="11" t="s">
        <v>96</v>
      </c>
      <c r="F121" s="11" t="s">
        <v>97</v>
      </c>
      <c r="G121" s="11">
        <v>2024</v>
      </c>
      <c r="H121" s="12">
        <v>2025</v>
      </c>
      <c r="I121" s="12">
        <v>2026</v>
      </c>
      <c r="J121" s="12">
        <v>2027</v>
      </c>
      <c r="K121" s="12">
        <v>2028</v>
      </c>
      <c r="L121" s="12">
        <v>2029</v>
      </c>
      <c r="M121" s="12">
        <v>2030</v>
      </c>
      <c r="N121" s="12">
        <v>2031</v>
      </c>
    </row>
    <row r="122" spans="1:14" x14ac:dyDescent="0.5">
      <c r="B122" s="8" t="s">
        <v>240</v>
      </c>
      <c r="C122" s="28" t="s">
        <v>342</v>
      </c>
      <c r="D122" s="28" t="s">
        <v>343</v>
      </c>
      <c r="E122" s="29" t="s">
        <v>344</v>
      </c>
      <c r="F122" s="29" t="s">
        <v>103</v>
      </c>
      <c r="G122" s="67"/>
      <c r="H122" s="67"/>
      <c r="I122" s="67"/>
      <c r="J122" s="67"/>
      <c r="K122" s="67"/>
      <c r="L122" s="67"/>
      <c r="M122" s="67"/>
      <c r="N122" s="67"/>
    </row>
    <row r="123" spans="1:14" x14ac:dyDescent="0.5">
      <c r="B123" s="8" t="s">
        <v>240</v>
      </c>
      <c r="C123" s="28" t="s">
        <v>342</v>
      </c>
      <c r="D123" s="28" t="s">
        <v>345</v>
      </c>
      <c r="E123" s="29" t="s">
        <v>344</v>
      </c>
      <c r="F123" s="29" t="s">
        <v>103</v>
      </c>
      <c r="G123" s="67"/>
      <c r="H123" s="67"/>
      <c r="I123" s="67"/>
      <c r="J123" s="67"/>
      <c r="K123" s="67"/>
      <c r="L123" s="67"/>
      <c r="M123" s="67"/>
      <c r="N123" s="67"/>
    </row>
    <row r="124" spans="1:14" x14ac:dyDescent="0.5">
      <c r="B124" s="8" t="s">
        <v>240</v>
      </c>
      <c r="C124" s="28" t="s">
        <v>342</v>
      </c>
      <c r="D124" s="28" t="s">
        <v>346</v>
      </c>
      <c r="E124" s="29" t="s">
        <v>344</v>
      </c>
      <c r="F124" s="29" t="s">
        <v>103</v>
      </c>
      <c r="G124" s="67"/>
      <c r="H124" s="64"/>
      <c r="I124" s="64"/>
      <c r="J124" s="64"/>
      <c r="K124" s="64"/>
      <c r="L124" s="64"/>
      <c r="M124" s="64"/>
      <c r="N124" s="64"/>
    </row>
    <row r="125" spans="1:14" x14ac:dyDescent="0.5">
      <c r="B125" s="8" t="s">
        <v>240</v>
      </c>
      <c r="C125" s="28" t="s">
        <v>347</v>
      </c>
      <c r="D125" s="28" t="s">
        <v>343</v>
      </c>
      <c r="E125" s="29" t="s">
        <v>344</v>
      </c>
      <c r="F125" s="29" t="s">
        <v>103</v>
      </c>
      <c r="G125" s="67"/>
      <c r="H125" s="67"/>
      <c r="I125" s="67"/>
      <c r="J125" s="67"/>
      <c r="K125" s="67"/>
      <c r="L125" s="67"/>
      <c r="M125" s="67"/>
      <c r="N125" s="67"/>
    </row>
    <row r="126" spans="1:14" x14ac:dyDescent="0.5">
      <c r="B126" s="8" t="s">
        <v>240</v>
      </c>
      <c r="C126" s="28" t="s">
        <v>347</v>
      </c>
      <c r="D126" s="28" t="s">
        <v>345</v>
      </c>
      <c r="E126" s="29" t="s">
        <v>344</v>
      </c>
      <c r="F126" s="29" t="s">
        <v>103</v>
      </c>
      <c r="G126" s="67"/>
      <c r="H126" s="67"/>
      <c r="I126" s="67"/>
      <c r="J126" s="67"/>
      <c r="K126" s="67"/>
      <c r="L126" s="67"/>
      <c r="M126" s="67"/>
      <c r="N126" s="67"/>
    </row>
    <row r="127" spans="1:14" ht="17" thickBot="1" x14ac:dyDescent="0.55000000000000004">
      <c r="B127" s="48" t="s">
        <v>240</v>
      </c>
      <c r="C127" s="79" t="s">
        <v>347</v>
      </c>
      <c r="D127" s="79" t="s">
        <v>346</v>
      </c>
      <c r="E127" s="37" t="s">
        <v>344</v>
      </c>
      <c r="F127" s="37" t="s">
        <v>103</v>
      </c>
      <c r="G127" s="80"/>
      <c r="H127" s="84"/>
      <c r="I127" s="84"/>
      <c r="J127" s="84"/>
      <c r="K127" s="84"/>
      <c r="L127" s="84"/>
      <c r="M127" s="84"/>
      <c r="N127" s="84"/>
    </row>
    <row r="129" spans="1:14" ht="19" thickBot="1" x14ac:dyDescent="0.55000000000000004">
      <c r="A129" s="14" t="s">
        <v>240</v>
      </c>
      <c r="F129" s="46"/>
      <c r="G129" s="46"/>
      <c r="H129" s="46"/>
      <c r="I129" s="46"/>
      <c r="J129" s="46"/>
      <c r="K129" s="46"/>
      <c r="L129" s="46"/>
      <c r="M129" s="46"/>
      <c r="N129" s="46"/>
    </row>
    <row r="130" spans="1:14" ht="17.5" thickTop="1" thickBot="1" x14ac:dyDescent="0.55000000000000004">
      <c r="B130" s="11" t="s">
        <v>339</v>
      </c>
      <c r="C130" s="11" t="s">
        <v>340</v>
      </c>
      <c r="D130" s="11" t="s">
        <v>341</v>
      </c>
      <c r="E130" s="11" t="s">
        <v>96</v>
      </c>
      <c r="F130" s="11" t="s">
        <v>97</v>
      </c>
      <c r="G130" s="11">
        <v>2024</v>
      </c>
      <c r="H130" s="12">
        <v>2025</v>
      </c>
      <c r="I130" s="12">
        <v>2026</v>
      </c>
      <c r="J130" s="12">
        <v>2027</v>
      </c>
      <c r="K130" s="12">
        <v>2028</v>
      </c>
      <c r="L130" s="12">
        <v>2029</v>
      </c>
      <c r="M130" s="12">
        <v>2030</v>
      </c>
      <c r="N130" s="12">
        <v>2031</v>
      </c>
    </row>
    <row r="131" spans="1:14" x14ac:dyDescent="0.5">
      <c r="B131" s="8" t="s">
        <v>240</v>
      </c>
      <c r="C131" s="28" t="s">
        <v>342</v>
      </c>
      <c r="D131" s="28" t="s">
        <v>343</v>
      </c>
      <c r="E131" s="29" t="s">
        <v>344</v>
      </c>
      <c r="F131" s="29" t="s">
        <v>103</v>
      </c>
      <c r="G131" s="67"/>
      <c r="H131" s="67"/>
      <c r="I131" s="67"/>
      <c r="J131" s="67"/>
      <c r="K131" s="67"/>
      <c r="L131" s="67"/>
      <c r="M131" s="67"/>
      <c r="N131" s="67"/>
    </row>
    <row r="132" spans="1:14" x14ac:dyDescent="0.5">
      <c r="B132" s="8" t="s">
        <v>240</v>
      </c>
      <c r="C132" s="28" t="s">
        <v>342</v>
      </c>
      <c r="D132" s="28" t="s">
        <v>345</v>
      </c>
      <c r="E132" s="29" t="s">
        <v>344</v>
      </c>
      <c r="F132" s="29" t="s">
        <v>103</v>
      </c>
      <c r="G132" s="67"/>
      <c r="H132" s="67"/>
      <c r="I132" s="67"/>
      <c r="J132" s="67"/>
      <c r="K132" s="67"/>
      <c r="L132" s="67"/>
      <c r="M132" s="67"/>
      <c r="N132" s="67"/>
    </row>
    <row r="133" spans="1:14" x14ac:dyDescent="0.5">
      <c r="B133" s="8" t="s">
        <v>240</v>
      </c>
      <c r="C133" s="28" t="s">
        <v>342</v>
      </c>
      <c r="D133" s="28" t="s">
        <v>346</v>
      </c>
      <c r="E133" s="29" t="s">
        <v>344</v>
      </c>
      <c r="F133" s="29" t="s">
        <v>103</v>
      </c>
      <c r="G133" s="67"/>
      <c r="H133" s="64"/>
      <c r="I133" s="64"/>
      <c r="J133" s="64"/>
      <c r="K133" s="64"/>
      <c r="L133" s="64"/>
      <c r="M133" s="64"/>
      <c r="N133" s="64"/>
    </row>
    <row r="134" spans="1:14" x14ac:dyDescent="0.5">
      <c r="B134" s="8" t="s">
        <v>240</v>
      </c>
      <c r="C134" s="28" t="s">
        <v>347</v>
      </c>
      <c r="D134" s="28" t="s">
        <v>343</v>
      </c>
      <c r="E134" s="29" t="s">
        <v>344</v>
      </c>
      <c r="F134" s="29" t="s">
        <v>103</v>
      </c>
      <c r="G134" s="67"/>
      <c r="H134" s="67"/>
      <c r="I134" s="67"/>
      <c r="J134" s="67"/>
      <c r="K134" s="67"/>
      <c r="L134" s="67"/>
      <c r="M134" s="67"/>
      <c r="N134" s="67"/>
    </row>
    <row r="135" spans="1:14" x14ac:dyDescent="0.5">
      <c r="B135" s="8" t="s">
        <v>240</v>
      </c>
      <c r="C135" s="28" t="s">
        <v>347</v>
      </c>
      <c r="D135" s="28" t="s">
        <v>345</v>
      </c>
      <c r="E135" s="29" t="s">
        <v>344</v>
      </c>
      <c r="F135" s="29" t="s">
        <v>103</v>
      </c>
      <c r="G135" s="67"/>
      <c r="H135" s="67"/>
      <c r="I135" s="67"/>
      <c r="J135" s="67"/>
      <c r="K135" s="67"/>
      <c r="L135" s="67"/>
      <c r="M135" s="67"/>
      <c r="N135" s="67"/>
    </row>
    <row r="136" spans="1:14" ht="17" thickBot="1" x14ac:dyDescent="0.55000000000000004">
      <c r="B136" s="48" t="s">
        <v>240</v>
      </c>
      <c r="C136" s="79" t="s">
        <v>347</v>
      </c>
      <c r="D136" s="79" t="s">
        <v>346</v>
      </c>
      <c r="E136" s="37" t="s">
        <v>344</v>
      </c>
      <c r="F136" s="37" t="s">
        <v>103</v>
      </c>
      <c r="G136" s="80"/>
      <c r="H136" s="84"/>
      <c r="I136" s="84"/>
      <c r="J136" s="84"/>
      <c r="K136" s="84"/>
      <c r="L136" s="84"/>
      <c r="M136" s="84"/>
      <c r="N136" s="84"/>
    </row>
    <row r="138" spans="1:14" ht="19" thickBot="1" x14ac:dyDescent="0.55000000000000004">
      <c r="A138" s="14" t="s">
        <v>240</v>
      </c>
      <c r="F138" s="46"/>
      <c r="G138" s="46"/>
      <c r="H138" s="46"/>
      <c r="I138" s="46"/>
      <c r="J138" s="46"/>
      <c r="K138" s="46"/>
      <c r="L138" s="46"/>
      <c r="M138" s="46"/>
      <c r="N138" s="46"/>
    </row>
    <row r="139" spans="1:14" ht="17.5" thickTop="1" thickBot="1" x14ac:dyDescent="0.55000000000000004">
      <c r="B139" s="11" t="s">
        <v>339</v>
      </c>
      <c r="C139" s="11" t="s">
        <v>340</v>
      </c>
      <c r="D139" s="11" t="s">
        <v>341</v>
      </c>
      <c r="E139" s="11" t="s">
        <v>96</v>
      </c>
      <c r="F139" s="11" t="s">
        <v>97</v>
      </c>
      <c r="G139" s="11">
        <v>2024</v>
      </c>
      <c r="H139" s="12">
        <v>2025</v>
      </c>
      <c r="I139" s="12">
        <v>2026</v>
      </c>
      <c r="J139" s="12">
        <v>2027</v>
      </c>
      <c r="K139" s="12">
        <v>2028</v>
      </c>
      <c r="L139" s="12">
        <v>2029</v>
      </c>
      <c r="M139" s="12">
        <v>2030</v>
      </c>
      <c r="N139" s="12">
        <v>2031</v>
      </c>
    </row>
    <row r="140" spans="1:14" x14ac:dyDescent="0.5">
      <c r="B140" s="8" t="s">
        <v>240</v>
      </c>
      <c r="C140" s="28" t="s">
        <v>342</v>
      </c>
      <c r="D140" s="28" t="s">
        <v>343</v>
      </c>
      <c r="E140" s="29" t="s">
        <v>344</v>
      </c>
      <c r="F140" s="29" t="s">
        <v>103</v>
      </c>
      <c r="G140" s="67"/>
      <c r="H140" s="67"/>
      <c r="I140" s="67"/>
      <c r="J140" s="67"/>
      <c r="K140" s="67"/>
      <c r="L140" s="67"/>
      <c r="M140" s="67"/>
      <c r="N140" s="67"/>
    </row>
    <row r="141" spans="1:14" x14ac:dyDescent="0.5">
      <c r="B141" s="8" t="s">
        <v>240</v>
      </c>
      <c r="C141" s="28" t="s">
        <v>342</v>
      </c>
      <c r="D141" s="28" t="s">
        <v>345</v>
      </c>
      <c r="E141" s="29" t="s">
        <v>344</v>
      </c>
      <c r="F141" s="29" t="s">
        <v>103</v>
      </c>
      <c r="G141" s="67"/>
      <c r="H141" s="67"/>
      <c r="I141" s="67"/>
      <c r="J141" s="67"/>
      <c r="K141" s="67"/>
      <c r="L141" s="67"/>
      <c r="M141" s="67"/>
      <c r="N141" s="67"/>
    </row>
    <row r="142" spans="1:14" x14ac:dyDescent="0.5">
      <c r="B142" s="8" t="s">
        <v>240</v>
      </c>
      <c r="C142" s="28" t="s">
        <v>342</v>
      </c>
      <c r="D142" s="28" t="s">
        <v>346</v>
      </c>
      <c r="E142" s="29" t="s">
        <v>344</v>
      </c>
      <c r="F142" s="29" t="s">
        <v>103</v>
      </c>
      <c r="G142" s="67"/>
      <c r="H142" s="64"/>
      <c r="I142" s="64"/>
      <c r="J142" s="64"/>
      <c r="K142" s="64"/>
      <c r="L142" s="64"/>
      <c r="M142" s="64"/>
      <c r="N142" s="64"/>
    </row>
    <row r="143" spans="1:14" x14ac:dyDescent="0.5">
      <c r="B143" s="8" t="s">
        <v>240</v>
      </c>
      <c r="C143" s="28" t="s">
        <v>347</v>
      </c>
      <c r="D143" s="28" t="s">
        <v>343</v>
      </c>
      <c r="E143" s="29" t="s">
        <v>344</v>
      </c>
      <c r="F143" s="29" t="s">
        <v>103</v>
      </c>
      <c r="G143" s="67"/>
      <c r="H143" s="67"/>
      <c r="I143" s="67"/>
      <c r="J143" s="67"/>
      <c r="K143" s="67"/>
      <c r="L143" s="67"/>
      <c r="M143" s="67"/>
      <c r="N143" s="67"/>
    </row>
    <row r="144" spans="1:14" x14ac:dyDescent="0.5">
      <c r="B144" s="8" t="s">
        <v>240</v>
      </c>
      <c r="C144" s="28" t="s">
        <v>347</v>
      </c>
      <c r="D144" s="28" t="s">
        <v>345</v>
      </c>
      <c r="E144" s="29" t="s">
        <v>344</v>
      </c>
      <c r="F144" s="29" t="s">
        <v>103</v>
      </c>
      <c r="G144" s="67"/>
      <c r="H144" s="67"/>
      <c r="I144" s="67"/>
      <c r="J144" s="67"/>
      <c r="K144" s="67"/>
      <c r="L144" s="67"/>
      <c r="M144" s="67"/>
      <c r="N144" s="67"/>
    </row>
    <row r="145" spans="2:14" ht="17" thickBot="1" x14ac:dyDescent="0.55000000000000004">
      <c r="B145" s="48" t="s">
        <v>240</v>
      </c>
      <c r="C145" s="79" t="s">
        <v>347</v>
      </c>
      <c r="D145" s="79" t="s">
        <v>346</v>
      </c>
      <c r="E145" s="37" t="s">
        <v>344</v>
      </c>
      <c r="F145" s="37" t="s">
        <v>103</v>
      </c>
      <c r="G145" s="80"/>
      <c r="H145" s="84"/>
      <c r="I145" s="84"/>
      <c r="J145" s="84"/>
      <c r="K145" s="84"/>
      <c r="L145" s="84"/>
      <c r="M145" s="84"/>
      <c r="N145" s="84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APR Project Document" ma:contentTypeID="0x010100026BFE6A34D44FF09C8C098CCC1B744C00065ADE2BF1AC4626B3688A1E0E8893DD001EE092C6875645D0BBFC71C3103C92B0001B00025EA510FC49960B63EBD68877D0" ma:contentTypeVersion="13" ma:contentTypeDescription="Create a new document." ma:contentTypeScope="" ma:versionID="05b60fb7ee5bb21b87aa8f78072fd1f4">
  <xsd:schema xmlns:xsd="http://www.w3.org/2001/XMLSchema" xmlns:xs="http://www.w3.org/2001/XMLSchema" xmlns:p="http://schemas.microsoft.com/office/2006/metadata/properties" xmlns:ns2="7c02c562-1e82-4d3d-bb6c-843c3e7142ca" xmlns:ns3="b1b4cc05-2230-49cd-b5b0-28e5f30c22ef" targetNamespace="http://schemas.microsoft.com/office/2006/metadata/properties" ma:root="true" ma:fieldsID="d3387d54aea84ff7ff682c930e8c7d1a" ns2:_="" ns3:_="">
    <xsd:import namespace="7c02c562-1e82-4d3d-bb6c-843c3e7142ca"/>
    <xsd:import namespace="b1b4cc05-2230-49cd-b5b0-28e5f30c22ef"/>
    <xsd:element name="properties">
      <xsd:complexType>
        <xsd:sequence>
          <xsd:element name="documentManagement">
            <xsd:complexType>
              <xsd:all>
                <xsd:element ref="ns2:obd7f88e7c304967bb7efaedae455aad" minOccurs="0"/>
                <xsd:element ref="ns2:TaxCatchAll" minOccurs="0"/>
                <xsd:element ref="ns2:TaxCatchAllLabel" minOccurs="0"/>
                <xsd:element ref="ns2:md537954de5d4799b31f8b38caab65fb" minOccurs="0"/>
                <xsd:element ref="ns2:c0579850fabd4de2a8282f228563db32" minOccurs="0"/>
                <xsd:element ref="ns2:ia87196ad58442c8a12c50af490ce525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2:SharedWithUsers" minOccurs="0"/>
                <xsd:element ref="ns2:SharedWithDetails" minOccurs="0"/>
                <xsd:element ref="ns2:_dlc_DocId" minOccurs="0"/>
                <xsd:element ref="ns2:_dlc_DocIdUrl" minOccurs="0"/>
                <xsd:element ref="ns2:_dlc_DocIdPersistId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02c562-1e82-4d3d-bb6c-843c3e7142ca" elementFormDefault="qualified">
    <xsd:import namespace="http://schemas.microsoft.com/office/2006/documentManagement/types"/>
    <xsd:import namespace="http://schemas.microsoft.com/office/infopath/2007/PartnerControls"/>
    <xsd:element name="obd7f88e7c304967bb7efaedae455aad" ma:index="8" ma:taxonomy="true" ma:internalName="obd7f88e7c304967bb7efaedae455aad" ma:taxonomyFieldName="CAAContentGroup" ma:displayName="Content Group" ma:fieldId="{8bd7f88e-7c30-4967-bb7e-faedae455aad}" ma:sspId="32b1b85a-9065-498a-a715-2e842cb76486" ma:termSetId="078a1673-67d9-42ad-9a0e-7f45c535eef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128361a6-fa2d-4f95-8851-bf529f68af46}" ma:internalName="TaxCatchAll" ma:showField="CatchAllData" ma:web="7c02c562-1e82-4d3d-bb6c-843c3e7142c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128361a6-fa2d-4f95-8851-bf529f68af46}" ma:internalName="TaxCatchAllLabel" ma:readOnly="true" ma:showField="CatchAllDataLabel" ma:web="7c02c562-1e82-4d3d-bb6c-843c3e7142c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d537954de5d4799b31f8b38caab65fb" ma:index="12" ma:taxonomy="true" ma:internalName="md537954de5d4799b31f8b38caab65fb" ma:taxonomyFieldName="CAABusinessFunctions" ma:displayName="Business Functions" ma:fieldId="{6d537954-de5d-4799-b31f-8b38caab65fb}" ma:taxonomyMulti="true" ma:sspId="32b1b85a-9065-498a-a715-2e842cb76486" ma:termSetId="cf28a2d6-8bcd-450b-a49a-65779e58cd0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0579850fabd4de2a8282f228563db32" ma:index="14" ma:taxonomy="true" ma:internalName="c0579850fabd4de2a8282f228563db32" ma:taxonomyFieldName="CAADepartments" ma:displayName="Departments" ma:fieldId="{c0579850-fabd-4de2-a828-2f228563db32}" ma:taxonomyMulti="true" ma:sspId="32b1b85a-9065-498a-a715-2e842cb76486" ma:termSetId="059fbec2-a57e-4088-9445-44d85639509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a87196ad58442c8a12c50af490ce525" ma:index="16" nillable="true" ma:taxonomy="true" ma:internalName="ia87196ad58442c8a12c50af490ce525" ma:taxonomyFieldName="CAAICAOAerodrome" ma:displayName="Aerodrome" ma:fieldId="{2a87196a-d584-42c8-a12c-50af490ce525}" ma:sspId="32b1b85a-9065-498a-a715-2e842cb76486" ma:termSetId="00e5bf75-d9e8-4d0c-9e10-7005b537b44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24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25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6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b4cc05-2230-49cd-b5b0-28e5f30c22e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3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3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c02c562-1e82-4d3d-bb6c-843c3e7142ca">
      <Value>207</Value>
      <Value>1</Value>
      <Value>217</Value>
    </TaxCatchAll>
    <md537954de5d4799b31f8b38caab65fb xmlns="7c02c562-1e82-4d3d-bb6c-843c3e7142ca">
      <Terms xmlns="http://schemas.microsoft.com/office/infopath/2007/PartnerControls">
        <TermInfo xmlns="http://schemas.microsoft.com/office/infopath/2007/PartnerControls">
          <TermName xmlns="http://schemas.microsoft.com/office/infopath/2007/PartnerControls">External Collaboration</TermName>
          <TermId xmlns="http://schemas.microsoft.com/office/infopath/2007/PartnerControls">4e3af540-d9d6-4234-ac10-e2183ee60d75</TermId>
        </TermInfo>
      </Terms>
    </md537954de5d4799b31f8b38caab65fb>
    <c0579850fabd4de2a8282f228563db32 xmlns="7c02c562-1e82-4d3d-bb6c-843c3e7142ca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Consumers and Markets Group</TermName>
          <TermId xmlns="http://schemas.microsoft.com/office/infopath/2007/PartnerControls">aaae88c1-0366-4a2a-8362-d7feeedf0c8e</TermId>
        </TermInfo>
      </Terms>
    </c0579850fabd4de2a8282f228563db32>
    <obd7f88e7c304967bb7efaedae455aad xmlns="7c02c562-1e82-4d3d-bb6c-843c3e7142ca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Collaboration</TermName>
          <TermId xmlns="http://schemas.microsoft.com/office/infopath/2007/PartnerControls">56ee779b-e15d-4ba7-8f6e-ea33275e817c</TermId>
        </TermInfo>
      </Terms>
    </obd7f88e7c304967bb7efaedae455aad>
    <ia87196ad58442c8a12c50af490ce525 xmlns="7c02c562-1e82-4d3d-bb6c-843c3e7142ca">
      <Terms xmlns="http://schemas.microsoft.com/office/infopath/2007/PartnerControls"/>
    </ia87196ad58442c8a12c50af490ce525>
    <_dlc_DocId xmlns="7c02c562-1e82-4d3d-bb6c-843c3e7142ca">YDDR3SSRJYKD-218160605-12802</_dlc_DocId>
    <_dlc_DocIdUrl xmlns="7c02c562-1e82-4d3d-bb6c-843c3e7142ca">
      <Url>https://caa.sharepoint.com/sites/consumers-and-markets-group/ercp/airport-regulation/_layouts/15/DocIdRedir.aspx?ID=YDDR3SSRJYKD-218160605-12802</Url>
      <Description>YDDR3SSRJYKD-218160605-12802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26CD3C2-1AC9-4BDB-88D8-417A34983836}"/>
</file>

<file path=customXml/itemProps2.xml><?xml version="1.0" encoding="utf-8"?>
<ds:datastoreItem xmlns:ds="http://schemas.openxmlformats.org/officeDocument/2006/customXml" ds:itemID="{1B24FB25-2664-492B-BE3F-D2C8A3759306}">
  <ds:schemaRefs>
    <ds:schemaRef ds:uri="c1debafb-c7f4-4e33-b493-0af2257c059c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dcmitype/"/>
    <ds:schemaRef ds:uri="http://purl.org/dc/terms/"/>
    <ds:schemaRef ds:uri="http://schemas.microsoft.com/office/2006/documentManagement/type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F9908308-969C-4291-9948-2849F7038D50}"/>
</file>

<file path=customXml/itemProps4.xml><?xml version="1.0" encoding="utf-8"?>
<ds:datastoreItem xmlns:ds="http://schemas.openxmlformats.org/officeDocument/2006/customXml" ds:itemID="{AEBE1C83-BDF9-48C9-889A-60E48951426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Cover</vt:lpstr>
      <vt:lpstr>Version history</vt:lpstr>
      <vt:lpstr>Guide</vt:lpstr>
      <vt:lpstr>Summary</vt:lpstr>
      <vt:lpstr>Inputs-&gt;</vt:lpstr>
      <vt:lpstr>Assumptions</vt:lpstr>
      <vt:lpstr>Traffic inputs</vt:lpstr>
      <vt:lpstr>Baseline</vt:lpstr>
      <vt:lpstr>ORCs</vt:lpstr>
      <vt:lpstr>Volume Drivers</vt:lpstr>
      <vt:lpstr>Scaling</vt:lpstr>
      <vt:lpstr>Overlays</vt:lpstr>
      <vt:lpstr>Calculations-&gt;</vt:lpstr>
      <vt:lpstr>OPEX</vt:lpstr>
      <vt:lpstr>Comrev</vt:lpstr>
      <vt:lpstr>Bottom-up</vt:lpstr>
      <vt:lpstr>ORC_calcs</vt:lpstr>
      <vt:lpstr>Alternative summary</vt:lpstr>
      <vt:lpstr>Check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Alexandros Iakovidis</dc:creator>
  <cp:keywords/>
  <dc:description/>
  <cp:lastModifiedBy>Oliver Hilton</cp:lastModifiedBy>
  <cp:revision/>
  <dcterms:created xsi:type="dcterms:W3CDTF">2014-02-05T16:12:21Z</dcterms:created>
  <dcterms:modified xsi:type="dcterms:W3CDTF">2026-03-13T17:39:53Z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0x010100026BFE6A34D44FF09C8C098CCC1B744C00065ADE2BF1AC4626B3688A1E0E8893DD001EE092C6875645D0BBFC71C3103C92B0001B00025EA510FC49960B63EBD68877D0</vt:lpwstr>
  </property>
  <property fmtid="{D5CDD505-2E9C-101B-9397-08002B2CF9AE}" pid="3" name="Order">
    <vt:r8>35600</vt:r8>
  </property>
  <property fmtid="{D5CDD505-2E9C-101B-9397-08002B2CF9AE}" pid="4" name="MediaServiceImageTags">
    <vt:lpwstr/>
  </property>
  <property fmtid="{D5CDD505-2E9C-101B-9397-08002B2CF9AE}" pid="5" name="TriggerFlowInfo">
    <vt:lpwstr/>
  </property>
  <property fmtid="{D5CDD505-2E9C-101B-9397-08002B2CF9AE}" pid="6" name="ComplianceAssetId">
    <vt:lpwstr/>
  </property>
  <property fmtid="{D5CDD505-2E9C-101B-9397-08002B2CF9AE}" pid="7" name="_ExtendedDescription">
    <vt:lpwstr/>
  </property>
  <property fmtid="{D5CDD505-2E9C-101B-9397-08002B2CF9AE}" pid="8" name="CAAContentGroup">
    <vt:lpwstr>217;#Collaboration|56ee779b-e15d-4ba7-8f6e-ea33275e817c</vt:lpwstr>
  </property>
  <property fmtid="{D5CDD505-2E9C-101B-9397-08002B2CF9AE}" pid="9" name="CAADepartments">
    <vt:lpwstr>1;#Consumers and Markets Group|aaae88c1-0366-4a2a-8362-d7feeedf0c8e</vt:lpwstr>
  </property>
  <property fmtid="{D5CDD505-2E9C-101B-9397-08002B2CF9AE}" pid="10" name="CAABusinessFunctions">
    <vt:lpwstr>207;#External Collaboration|4e3af540-d9d6-4234-ac10-e2183ee60d75</vt:lpwstr>
  </property>
  <property fmtid="{D5CDD505-2E9C-101B-9397-08002B2CF9AE}" pid="11" name="MSIP_Label_0e06d981-6c96-416f-a2d7-e67f7dfdb46a_Enabled">
    <vt:lpwstr>true</vt:lpwstr>
  </property>
  <property fmtid="{D5CDD505-2E9C-101B-9397-08002B2CF9AE}" pid="12" name="MSIP_Label_0e06d981-6c96-416f-a2d7-e67f7dfdb46a_SetDate">
    <vt:lpwstr>2025-06-12T06:47:03Z</vt:lpwstr>
  </property>
  <property fmtid="{D5CDD505-2E9C-101B-9397-08002B2CF9AE}" pid="13" name="MSIP_Label_0e06d981-6c96-416f-a2d7-e67f7dfdb46a_Method">
    <vt:lpwstr>Privileged</vt:lpwstr>
  </property>
  <property fmtid="{D5CDD505-2E9C-101B-9397-08002B2CF9AE}" pid="14" name="MSIP_Label_0e06d981-6c96-416f-a2d7-e67f7dfdb46a_Name">
    <vt:lpwstr>O - Restricted - CAA Use Only</vt:lpwstr>
  </property>
  <property fmtid="{D5CDD505-2E9C-101B-9397-08002B2CF9AE}" pid="15" name="MSIP_Label_0e06d981-6c96-416f-a2d7-e67f7dfdb46a_SiteId">
    <vt:lpwstr>c4edd5ba-10c3-4fe3-946a-7c9c446ab8c8</vt:lpwstr>
  </property>
  <property fmtid="{D5CDD505-2E9C-101B-9397-08002B2CF9AE}" pid="16" name="MSIP_Label_0e06d981-6c96-416f-a2d7-e67f7dfdb46a_ActionId">
    <vt:lpwstr>e33b1b7a-4db4-496c-9c28-11894d584705</vt:lpwstr>
  </property>
  <property fmtid="{D5CDD505-2E9C-101B-9397-08002B2CF9AE}" pid="17" name="MSIP_Label_0e06d981-6c96-416f-a2d7-e67f7dfdb46a_ContentBits">
    <vt:lpwstr>3</vt:lpwstr>
  </property>
  <property fmtid="{D5CDD505-2E9C-101B-9397-08002B2CF9AE}" pid="18" name="CAAICAOAerodrome">
    <vt:lpwstr/>
  </property>
  <property fmtid="{D5CDD505-2E9C-101B-9397-08002B2CF9AE}" pid="19" name="_dlc_DocIdItemGuid">
    <vt:lpwstr>d1c7d1e0-c7d9-4477-aa83-0998ee97ec0a</vt:lpwstr>
  </property>
</Properties>
</file>