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aa.sharepoint.com/sites/consumers-and-markets-group/ercp/atm-regulation/project/SDE implementation/FPs/"/>
    </mc:Choice>
  </mc:AlternateContent>
  <xr:revisionPtr revIDLastSave="1807" documentId="8_{34C6D7A6-17B0-49C2-87F4-526EE8D0DFC4}" xr6:coauthVersionLast="47" xr6:coauthVersionMax="47" xr10:uidLastSave="{D583D6CF-086B-41FC-A075-73D39EFF1287}"/>
  <bookViews>
    <workbookView xWindow="28680" yWindow="-120" windowWidth="29040" windowHeight="15720" xr2:uid="{3BF3D0D3-7D2A-4EAF-9758-6C51B6BB7954}"/>
  </bookViews>
  <sheets>
    <sheet name="Model for FPs" sheetId="4" r:id="rId1"/>
    <sheet name="Working capital calculation" sheetId="5" r:id="rId2"/>
    <sheet name="SONIA data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J28" i="4"/>
  <c r="H29" i="4"/>
  <c r="H28" i="4"/>
  <c r="G28" i="4"/>
  <c r="G29" i="4"/>
  <c r="J15" i="4"/>
  <c r="J14" i="4"/>
  <c r="J6" i="4"/>
  <c r="J5" i="4"/>
  <c r="D12" i="5"/>
  <c r="D9" i="5"/>
  <c r="D11" i="5" l="1"/>
  <c r="H33" i="4"/>
  <c r="G4" i="5" s="1"/>
  <c r="F7" i="4"/>
  <c r="G7" i="4"/>
  <c r="H7" i="4"/>
  <c r="J7" i="4" l="1"/>
  <c r="G34" i="4"/>
  <c r="G39" i="4" s="1"/>
  <c r="G74" i="4" s="1"/>
  <c r="J29" i="4"/>
  <c r="G33" i="4"/>
  <c r="H30" i="4"/>
  <c r="H35" i="4" s="1"/>
  <c r="G6" i="5" s="1"/>
  <c r="G15" i="5" s="1"/>
  <c r="G16" i="5" s="1"/>
  <c r="H38" i="4"/>
  <c r="H73" i="4" s="1"/>
  <c r="H34" i="4"/>
  <c r="G5" i="5" s="1"/>
  <c r="H40" i="4" l="1"/>
  <c r="H43" i="4"/>
  <c r="H78" i="4" s="1"/>
  <c r="G44" i="4"/>
  <c r="G79" i="4" s="1"/>
  <c r="F5" i="5"/>
  <c r="I5" i="5" s="1"/>
  <c r="J34" i="4"/>
  <c r="F4" i="5"/>
  <c r="I4" i="5" s="1"/>
  <c r="J33" i="4"/>
  <c r="G38" i="4"/>
  <c r="G73" i="4" s="1"/>
  <c r="J73" i="4" s="1"/>
  <c r="G35" i="4"/>
  <c r="G40" i="4" s="1"/>
  <c r="G75" i="4" s="1"/>
  <c r="J30" i="4"/>
  <c r="H39" i="4"/>
  <c r="H74" i="4" s="1"/>
  <c r="J74" i="4" s="1"/>
  <c r="H45" i="4" l="1"/>
  <c r="H80" i="4" s="1"/>
  <c r="H75" i="4"/>
  <c r="J75" i="4" s="1"/>
  <c r="H48" i="4"/>
  <c r="G49" i="4"/>
  <c r="G84" i="4" s="1"/>
  <c r="G54" i="4"/>
  <c r="H44" i="4"/>
  <c r="H79" i="4" s="1"/>
  <c r="J39" i="4"/>
  <c r="G45" i="4"/>
  <c r="G80" i="4" s="1"/>
  <c r="J40" i="4"/>
  <c r="F6" i="5"/>
  <c r="F15" i="5" s="1"/>
  <c r="J35" i="4"/>
  <c r="G43" i="4"/>
  <c r="G78" i="4" s="1"/>
  <c r="J38" i="4"/>
  <c r="I6" i="5" l="1"/>
  <c r="I15" i="5" s="1"/>
  <c r="F16" i="5"/>
  <c r="I16" i="5" s="1"/>
  <c r="J80" i="4"/>
  <c r="H50" i="4"/>
  <c r="J78" i="4"/>
  <c r="H53" i="4"/>
  <c r="H83" i="4"/>
  <c r="H88" i="4" s="1"/>
  <c r="G89" i="4"/>
  <c r="J79" i="4"/>
  <c r="G48" i="4"/>
  <c r="G53" i="4"/>
  <c r="H49" i="4"/>
  <c r="H54" i="4"/>
  <c r="G50" i="4"/>
  <c r="J44" i="4"/>
  <c r="H58" i="4"/>
  <c r="H93" i="4" s="1"/>
  <c r="H108" i="4" s="1"/>
  <c r="H63" i="4"/>
  <c r="H98" i="4" s="1"/>
  <c r="H68" i="4"/>
  <c r="H103" i="4" s="1"/>
  <c r="G64" i="4"/>
  <c r="G99" i="4" s="1"/>
  <c r="G69" i="4"/>
  <c r="G104" i="4" s="1"/>
  <c r="G59" i="4"/>
  <c r="G94" i="4" s="1"/>
  <c r="G109" i="4" s="1"/>
  <c r="J45" i="4"/>
  <c r="J43" i="4"/>
  <c r="J50" i="4" l="1"/>
  <c r="G85" i="4"/>
  <c r="J49" i="4"/>
  <c r="H84" i="4"/>
  <c r="J48" i="4"/>
  <c r="G83" i="4"/>
  <c r="H55" i="4"/>
  <c r="H85" i="4"/>
  <c r="H90" i="4" s="1"/>
  <c r="H69" i="4"/>
  <c r="H104" i="4" s="1"/>
  <c r="H59" i="4"/>
  <c r="H94" i="4" s="1"/>
  <c r="H109" i="4" s="1"/>
  <c r="H64" i="4"/>
  <c r="H99" i="4" s="1"/>
  <c r="J54" i="4"/>
  <c r="J64" i="4" s="1"/>
  <c r="G55" i="4"/>
  <c r="J53" i="4"/>
  <c r="G68" i="4"/>
  <c r="G103" i="4" s="1"/>
  <c r="G63" i="4"/>
  <c r="G98" i="4" s="1"/>
  <c r="G58" i="4"/>
  <c r="G93" i="4" s="1"/>
  <c r="G108" i="4" s="1"/>
  <c r="J69" i="4" l="1"/>
  <c r="J85" i="4"/>
  <c r="G90" i="4"/>
  <c r="H60" i="4"/>
  <c r="H95" i="4" s="1"/>
  <c r="H110" i="4" s="1"/>
  <c r="H65" i="4"/>
  <c r="H100" i="4" s="1"/>
  <c r="H70" i="4"/>
  <c r="H105" i="4" s="1"/>
  <c r="J83" i="4"/>
  <c r="G88" i="4"/>
  <c r="J88" i="4" s="1"/>
  <c r="J98" i="4" s="1"/>
  <c r="J103" i="4" s="1"/>
  <c r="J59" i="4"/>
  <c r="H89" i="4"/>
  <c r="J89" i="4" s="1"/>
  <c r="J94" i="4" s="1"/>
  <c r="J109" i="4" s="1"/>
  <c r="J84" i="4"/>
  <c r="J99" i="4"/>
  <c r="J104" i="4" s="1"/>
  <c r="G65" i="4"/>
  <c r="G100" i="4" s="1"/>
  <c r="G70" i="4"/>
  <c r="G105" i="4" s="1"/>
  <c r="J90" i="4"/>
  <c r="J95" i="4" s="1"/>
  <c r="J110" i="4" s="1"/>
  <c r="J55" i="4"/>
  <c r="J60" i="4" s="1"/>
  <c r="G60" i="4"/>
  <c r="G95" i="4" s="1"/>
  <c r="G110" i="4" s="1"/>
  <c r="J63" i="4"/>
  <c r="J58" i="4"/>
  <c r="J68" i="4"/>
  <c r="J70" i="4" l="1"/>
  <c r="J93" i="4"/>
  <c r="J108" i="4" s="1"/>
  <c r="J100" i="4"/>
  <c r="J105" i="4" s="1"/>
  <c r="J65" i="4"/>
</calcChain>
</file>

<file path=xl/sharedStrings.xml><?xml version="1.0" encoding="utf-8"?>
<sst xmlns="http://schemas.openxmlformats.org/spreadsheetml/2006/main" count="174" uniqueCount="83">
  <si>
    <t>Inputs</t>
  </si>
  <si>
    <t>Item</t>
  </si>
  <si>
    <t>Source(s)/assumption(s)</t>
  </si>
  <si>
    <t>Units</t>
  </si>
  <si>
    <t>Constant</t>
  </si>
  <si>
    <t>NR23</t>
  </si>
  <si>
    <t>Forecast Costs Support Fund</t>
  </si>
  <si>
    <t>Input from CAA Airspace Colleagues (14/11/2025)</t>
  </si>
  <si>
    <t>£000s, 2024 prices</t>
  </si>
  <si>
    <t>Forecast Costs UKADS</t>
  </si>
  <si>
    <t>From the "Inputs" sheet of CAP3121A (2025 costs from NERL further submission)</t>
  </si>
  <si>
    <t>Total Forecast Costs</t>
  </si>
  <si>
    <t>Calculation</t>
  </si>
  <si>
    <t>Consumer Price Index (CPI) forecast</t>
  </si>
  <si>
    <t>Table 1.7 of "November 2025 Economic and fiscal outlook – detailed forecast tables: economy" spreadsheet, Office for Budget Responsibility</t>
  </si>
  <si>
    <t>Index, 2015 =100</t>
  </si>
  <si>
    <t>Forecast flights</t>
  </si>
  <si>
    <t>CAA analysis of EUROCONTROL’s STATFOR Autumn 2025 forecasts; found in "IFR Movements" sheet of the Annex tables</t>
  </si>
  <si>
    <t>000s</t>
  </si>
  <si>
    <t>Forecast Total Service units (TSUs)</t>
  </si>
  <si>
    <t>CAA analysis of EUROCONTROL’s STATFOR Autumn 2025 forecasts; found in "En-route Service Units (TSU)" sheet of the Annex tables</t>
  </si>
  <si>
    <t>Total Service Units (TSUs) uplift percentage</t>
  </si>
  <si>
    <t>Percentage difference between TSUs and CSUs in 2024; CAA analysis of EUROCONTROL's STATFOR Spring 2025 forecasts and Central Route Charges Office (CRCO) data. See paragraph 5.89 of CAP 3121 for more detail.</t>
  </si>
  <si>
    <t>%</t>
  </si>
  <si>
    <t>Operating margin (CAA proposal)</t>
  </si>
  <si>
    <t>Passengers (pax) per flight - assumption based on ECTL standard inputs</t>
  </si>
  <si>
    <t>CAA analysis of Section 13 of EUROCONTROL’s Standard Inputs for Economic Analyses</t>
  </si>
  <si>
    <t>pax</t>
  </si>
  <si>
    <t>2024 UK en-route rate</t>
  </si>
  <si>
    <t>EUROCONTROL Route Charges System, Information to users (No.2024/01). Conversion based on EUR/GBP rate of 0.861581</t>
  </si>
  <si>
    <t>£, 2024 prices</t>
  </si>
  <si>
    <t>Calculations and outputs</t>
  </si>
  <si>
    <t>Forecast Costs Support Fund (incl. early costs)</t>
  </si>
  <si>
    <t>Forecast Costs UKADS (incl. early costs)</t>
  </si>
  <si>
    <t>Total Forecast Costs (incl. early costs)</t>
  </si>
  <si>
    <t>£000s, nominal</t>
  </si>
  <si>
    <t>Operating Margin Support Fund</t>
  </si>
  <si>
    <t>Operating Margin UKADS</t>
  </si>
  <si>
    <t>Operating Margin Total</t>
  </si>
  <si>
    <t>Forecast Costs Support Fund (incl. margin)</t>
  </si>
  <si>
    <t>Forecast Costs UKADS (incl. margin)</t>
  </si>
  <si>
    <t>Forecast Costs Total (incl. margin)</t>
  </si>
  <si>
    <t>TSU uplift Support Fund</t>
  </si>
  <si>
    <t>TSU uplift UKADS</t>
  </si>
  <si>
    <t>TSU uplift Total</t>
  </si>
  <si>
    <t>Forecast Costs Support Fund (incl. margin + TSUs uplift)</t>
  </si>
  <si>
    <t>Forecast Costs UKADS (incl. margin + TSUs uplift)</t>
  </si>
  <si>
    <t>Forecast Costs Total (incl. margin + TSUs uplift)</t>
  </si>
  <si>
    <t>Determined Cost / TSU - Support Fund</t>
  </si>
  <si>
    <t>£, nominal</t>
  </si>
  <si>
    <t>Determined Cost / TSU - UKADS</t>
  </si>
  <si>
    <t>Determined Cost / TSU - Total</t>
  </si>
  <si>
    <t>Determined Cost / Flight - Support Fund</t>
  </si>
  <si>
    <t>Determined Cost / Flight - UKADS</t>
  </si>
  <si>
    <t>Determined Cost / Flight - Total</t>
  </si>
  <si>
    <t>Determined Cost / Pax - Support Fund</t>
  </si>
  <si>
    <t>Determined Cost / Pax - UKADS</t>
  </si>
  <si>
    <t>Determined Cost / Pax - Total</t>
  </si>
  <si>
    <t>Forecast Costs Support Fund (incl. Return + WC +uplift)</t>
  </si>
  <si>
    <t>Forecast Costs UKADS (incl. Return + WC +uplift)</t>
  </si>
  <si>
    <t>Forecast Costs Total (incl. Return + WC +uplift)</t>
  </si>
  <si>
    <t>Determined Cost / TSU as % of 2024 en route rate - Support Fund</t>
  </si>
  <si>
    <t>Determined Cost / TSU as % of 2024 en route rate - UKADS</t>
  </si>
  <si>
    <t>Determined Cost / TSU as % of 2024 en route rate - Total</t>
  </si>
  <si>
    <t>Working capital calculation</t>
  </si>
  <si>
    <t>Forecast Costs - Airspace Design Support Fund (incl. early costs)</t>
  </si>
  <si>
    <r>
      <t>"</t>
    </r>
    <r>
      <rPr>
        <u/>
        <sz val="11"/>
        <color theme="1"/>
        <rFont val="Aptos Narrow"/>
        <family val="2"/>
        <scheme val="minor"/>
      </rPr>
      <t>Model for FPs</t>
    </r>
    <r>
      <rPr>
        <sz val="11"/>
        <color theme="1"/>
        <rFont val="Aptos Narrow"/>
        <family val="2"/>
        <scheme val="minor"/>
      </rPr>
      <t>" sheet (includes 2025 costs in 2026)</t>
    </r>
  </si>
  <si>
    <t>Forecast Costs - Airspace Design Service (incl. early costs)</t>
  </si>
  <si>
    <t>Forecast Costs - Total (incl. early costs)</t>
  </si>
  <si>
    <t>Daily Sterling Overnight Average Index (SONIA), 30-day trailing average</t>
  </si>
  <si>
    <t>Calculation; data from "SONIA data" sheet, Bank of England data, accessed 30 September 2025</t>
  </si>
  <si>
    <t>Margin over SONIA to reflect credit risk, etc.</t>
  </si>
  <si>
    <t>NERL proposal, based on its 2024/25 annual report and accounts</t>
  </si>
  <si>
    <t>Rate NERL can access working capital at</t>
  </si>
  <si>
    <t xml:space="preserve">Calculation; assuming this covers commitment fees for the working capital facility </t>
  </si>
  <si>
    <t>Working capital assumption (3 months out of 12)</t>
  </si>
  <si>
    <t>NERL proposal</t>
  </si>
  <si>
    <t>Working capital allowance (% of costs)</t>
  </si>
  <si>
    <t>Working capital allowance</t>
  </si>
  <si>
    <t>Date</t>
  </si>
  <si>
    <t>Daily Sterling overnight index average (SONIA) rate (annualised %)</t>
  </si>
  <si>
    <t xml:space="preserve">Source: https://www.bankofengland.co.uk/markets/sonia-benchmark </t>
  </si>
  <si>
    <r>
      <t>See para 2.63 of CAP3164. See also "</t>
    </r>
    <r>
      <rPr>
        <u/>
        <sz val="11"/>
        <color theme="1"/>
        <rFont val="Aptos Narrow"/>
        <family val="2"/>
        <scheme val="minor"/>
      </rPr>
      <t>Working capital calculation</t>
    </r>
    <r>
      <rPr>
        <sz val="11"/>
        <color theme="1"/>
        <rFont val="Aptos Narrow"/>
        <family val="2"/>
        <scheme val="minor"/>
      </rPr>
      <t>" sheet, where the working capital allowance (% of costs) is taken into account in our operating margin proposal.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</si>
</sst>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_);\(#,##0\);&quot;-  &quot;;&quot; &quot;@&quot; &quot;"/>
    <numFmt numFmtId="165" formatCode="0.0%"/>
    <numFmt numFmtId="166" formatCode="0.00%_);\-0.00%_);&quot;-  &quot;;&quot; &quot;@&quot; &quot;"/>
    <numFmt numFmtId="167" formatCode="#,##0.0_);\(#,##0.0\);&quot;-  &quot;;&quot; &quot;@&quot; &quot;"/>
    <numFmt numFmtId="168" formatCode="0.0000"/>
    <numFmt numFmtId="169" formatCode="#,##0.00_);\(#,##0.00\);&quot;-  &quot;;&quot; &quot;@&quot; &quot;"/>
    <numFmt numFmtId="170" formatCode="0.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1607409894101"/>
      </left>
      <right style="thin">
        <color theme="0" tint="-0.24991607409894101"/>
      </right>
      <top style="thin">
        <color theme="0" tint="-0.24991607409894101"/>
      </top>
      <bottom style="thin">
        <color theme="0" tint="-0.249916074098941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164" fontId="3" fillId="2" borderId="1" applyProtection="0">
      <alignment vertical="top"/>
    </xf>
    <xf numFmtId="0" fontId="4" fillId="4" borderId="4" applyNumberFormat="0" applyAlignment="0" applyProtection="0"/>
    <xf numFmtId="0" fontId="5" fillId="4" borderId="3" applyNumberFormat="0" applyAlignment="0" applyProtection="0"/>
    <xf numFmtId="0" fontId="1" fillId="5" borderId="0" applyNumberFormat="0" applyBorder="0" applyAlignment="0" applyProtection="0"/>
    <xf numFmtId="164" fontId="6" fillId="0" borderId="0" applyFont="0" applyFill="0" applyBorder="0" applyProtection="0">
      <alignment vertical="top"/>
    </xf>
    <xf numFmtId="166" fontId="3" fillId="2" borderId="1" applyProtection="0">
      <alignment vertical="top"/>
    </xf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0" fillId="5" borderId="0" xfId="5" applyFont="1"/>
    <xf numFmtId="0" fontId="2" fillId="0" borderId="0" xfId="0" applyFont="1"/>
    <xf numFmtId="15" fontId="9" fillId="6" borderId="0" xfId="0" applyNumberFormat="1" applyFont="1" applyFill="1" applyAlignment="1">
      <alignment horizontal="right" vertical="center" wrapText="1"/>
    </xf>
    <xf numFmtId="168" fontId="9" fillId="6" borderId="0" xfId="0" applyNumberFormat="1" applyFont="1" applyFill="1" applyAlignment="1">
      <alignment horizontal="right" vertical="center" wrapText="1"/>
    </xf>
    <xf numFmtId="0" fontId="10" fillId="5" borderId="0" xfId="5" applyFont="1"/>
    <xf numFmtId="0" fontId="11" fillId="5" borderId="0" xfId="5" applyFont="1"/>
    <xf numFmtId="0" fontId="2" fillId="3" borderId="2" xfId="0" applyFont="1" applyFill="1" applyBorder="1" applyAlignment="1">
      <alignment wrapText="1"/>
    </xf>
    <xf numFmtId="0" fontId="10" fillId="5" borderId="0" xfId="5" applyFont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10" fontId="0" fillId="0" borderId="0" xfId="1" applyNumberFormat="1" applyFont="1"/>
    <xf numFmtId="0" fontId="2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0" fontId="2" fillId="7" borderId="0" xfId="0" applyFont="1" applyFill="1" applyAlignment="1">
      <alignment horizontal="left" vertical="center"/>
    </xf>
    <xf numFmtId="166" fontId="12" fillId="8" borderId="2" xfId="7" applyFont="1" applyFill="1" applyBorder="1" applyAlignment="1">
      <alignment horizontal="center" vertical="center"/>
    </xf>
    <xf numFmtId="10" fontId="0" fillId="0" borderId="0" xfId="1" applyNumberFormat="1" applyFont="1" applyFill="1"/>
    <xf numFmtId="0" fontId="2" fillId="3" borderId="0" xfId="0" applyFont="1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164" fontId="13" fillId="2" borderId="1" xfId="2" applyFont="1" applyAlignment="1" applyProtection="1">
      <alignment horizontal="center" vertical="center"/>
      <protection locked="0"/>
    </xf>
    <xf numFmtId="164" fontId="4" fillId="4" borderId="4" xfId="3" applyNumberFormat="1"/>
    <xf numFmtId="0" fontId="7" fillId="3" borderId="2" xfId="8" applyFill="1" applyBorder="1" applyAlignment="1">
      <alignment wrapText="1"/>
    </xf>
    <xf numFmtId="164" fontId="4" fillId="4" borderId="4" xfId="3" applyNumberFormat="1" applyAlignment="1">
      <alignment horizontal="center" vertical="center"/>
    </xf>
    <xf numFmtId="0" fontId="0" fillId="7" borderId="2" xfId="0" applyFill="1" applyBorder="1"/>
    <xf numFmtId="0" fontId="7" fillId="0" borderId="2" xfId="8" applyBorder="1" applyAlignment="1">
      <alignment wrapText="1"/>
    </xf>
    <xf numFmtId="167" fontId="13" fillId="2" borderId="1" xfId="2" applyNumberFormat="1" applyFont="1" applyAlignment="1">
      <alignment horizontal="center" vertical="center"/>
    </xf>
    <xf numFmtId="0" fontId="0" fillId="0" borderId="0" xfId="0" applyAlignment="1">
      <alignment wrapText="1"/>
    </xf>
    <xf numFmtId="164" fontId="13" fillId="2" borderId="1" xfId="2" applyFont="1" applyAlignment="1">
      <alignment horizontal="center" vertical="center"/>
    </xf>
    <xf numFmtId="0" fontId="0" fillId="0" borderId="2" xfId="0" applyBorder="1" applyAlignment="1">
      <alignment wrapText="1"/>
    </xf>
    <xf numFmtId="10" fontId="13" fillId="2" borderId="1" xfId="1" applyNumberFormat="1" applyFont="1" applyFill="1" applyBorder="1" applyAlignment="1">
      <alignment horizontal="center" vertical="center"/>
    </xf>
    <xf numFmtId="169" fontId="13" fillId="2" borderId="1" xfId="2" applyNumberFormat="1" applyFont="1" applyAlignment="1">
      <alignment horizontal="center" vertical="center"/>
    </xf>
    <xf numFmtId="43" fontId="5" fillId="4" borderId="3" xfId="4" applyNumberFormat="1" applyAlignment="1">
      <alignment horizontal="center" vertical="center"/>
    </xf>
    <xf numFmtId="43" fontId="4" fillId="4" borderId="4" xfId="3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43" fontId="4" fillId="4" borderId="4" xfId="3" applyNumberFormat="1" applyAlignment="1">
      <alignment horizontal="left" vertical="center" indent="1"/>
    </xf>
    <xf numFmtId="43" fontId="0" fillId="0" borderId="0" xfId="0" applyNumberFormat="1"/>
    <xf numFmtId="0" fontId="0" fillId="0" borderId="0" xfId="0" applyAlignment="1">
      <alignment vertical="center"/>
    </xf>
    <xf numFmtId="0" fontId="0" fillId="0" borderId="2" xfId="0" applyBorder="1"/>
    <xf numFmtId="10" fontId="5" fillId="4" borderId="3" xfId="4" applyNumberFormat="1"/>
    <xf numFmtId="10" fontId="4" fillId="4" borderId="4" xfId="3" applyNumberFormat="1"/>
    <xf numFmtId="166" fontId="13" fillId="2" borderId="2" xfId="7" applyFont="1" applyBorder="1" applyAlignment="1">
      <alignment horizontal="center" vertical="center"/>
    </xf>
    <xf numFmtId="166" fontId="5" fillId="8" borderId="2" xfId="4" applyNumberFormat="1" applyFill="1" applyBorder="1" applyAlignment="1">
      <alignment horizontal="center" vertical="center"/>
    </xf>
    <xf numFmtId="165" fontId="2" fillId="4" borderId="3" xfId="1" applyNumberFormat="1" applyFont="1" applyFill="1" applyBorder="1" applyAlignment="1">
      <alignment horizontal="center" vertical="center"/>
    </xf>
    <xf numFmtId="170" fontId="4" fillId="4" borderId="4" xfId="3" applyNumberFormat="1" applyAlignment="1">
      <alignment horizontal="center" vertical="center"/>
    </xf>
    <xf numFmtId="0" fontId="14" fillId="0" borderId="0" xfId="0" applyFont="1"/>
  </cellXfs>
  <cellStyles count="9">
    <cellStyle name="20% - Accent1" xfId="5" builtinId="30"/>
    <cellStyle name="Calculation" xfId="4" builtinId="22"/>
    <cellStyle name="Hyperlink" xfId="8" builtinId="8"/>
    <cellStyle name="Input%" xfId="7" xr:uid="{41D78A11-8580-417A-B3FD-9E6408456802}"/>
    <cellStyle name="InputStyle" xfId="2" xr:uid="{E1785C23-668F-42DD-921C-2402A45A5393}"/>
    <cellStyle name="Normal" xfId="0" builtinId="0"/>
    <cellStyle name="Normal 2" xfId="6" xr:uid="{3B5627C7-911D-4EF8-BF39-3519BE085FE8}"/>
    <cellStyle name="Output" xfId="3" builtinId="21"/>
    <cellStyle name="Percent" xfId="1" builtinId="5"/>
  </cellStyles>
  <dxfs count="0"/>
  <tableStyles count="0" defaultTableStyle="TableStyleMedium2" defaultPivotStyle="PivotStyleLight16"/>
  <colors>
    <mruColors>
      <color rgb="FFFFFFE5"/>
      <color rgb="FFFA7D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nsperformance.eu/economics/cba/standard-inputs/latest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obr.uk/efo/economic-and-fiscal-outlook-november-2025/" TargetMode="External"/><Relationship Id="rId1" Type="http://schemas.openxmlformats.org/officeDocument/2006/relationships/hyperlink" Target="http://www.caa.co.uk/cap3121a" TargetMode="External"/><Relationship Id="rId6" Type="http://schemas.openxmlformats.org/officeDocument/2006/relationships/hyperlink" Target="https://www.eurocontrol.int/publication/eurocontrol-forecast-update-2025-2031" TargetMode="External"/><Relationship Id="rId5" Type="http://schemas.openxmlformats.org/officeDocument/2006/relationships/hyperlink" Target="https://www.eurocontrol.int/publication/eurocontrol-forecast-update-2025-2031" TargetMode="External"/><Relationship Id="rId4" Type="http://schemas.openxmlformats.org/officeDocument/2006/relationships/hyperlink" Target="https://www.eurocontrol.int/sites/default/files/2023-12/circ-2024-01-eurocontrol-route-charges-system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nats.aero/news/annual-report-accounts-2025/" TargetMode="External"/><Relationship Id="rId1" Type="http://schemas.openxmlformats.org/officeDocument/2006/relationships/hyperlink" Target="https://www.bankofengland.co.uk/markets/sonia-benchmar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1AFBA-2B5A-4302-A6E8-99D4E318417D}">
  <sheetPr>
    <tabColor theme="9"/>
  </sheetPr>
  <dimension ref="A1:K110"/>
  <sheetViews>
    <sheetView showGridLines="0" tabSelected="1" zoomScaleNormal="100" workbookViewId="0"/>
  </sheetViews>
  <sheetFormatPr defaultColWidth="9.453125" defaultRowHeight="14.5" x14ac:dyDescent="0.35"/>
  <cols>
    <col min="1" max="1" width="39" customWidth="1"/>
    <col min="2" max="2" width="45.453125" customWidth="1"/>
    <col min="3" max="3" width="17" customWidth="1"/>
    <col min="4" max="4" width="9.453125" bestFit="1" customWidth="1"/>
    <col min="5" max="5" width="6.453125" bestFit="1" customWidth="1"/>
    <col min="6" max="6" width="7.453125" bestFit="1" customWidth="1"/>
    <col min="7" max="8" width="11.81640625" bestFit="1" customWidth="1"/>
    <col min="9" max="9" width="12.81640625" customWidth="1"/>
    <col min="10" max="10" width="10.54296875" bestFit="1" customWidth="1"/>
    <col min="11" max="11" width="9.453125" customWidth="1"/>
  </cols>
  <sheetData>
    <row r="1" spans="1:10" s="1" customFormat="1" ht="18.5" x14ac:dyDescent="0.45">
      <c r="A1" s="5" t="s">
        <v>0</v>
      </c>
    </row>
    <row r="4" spans="1:10" x14ac:dyDescent="0.35">
      <c r="A4" s="14" t="s">
        <v>1</v>
      </c>
      <c r="B4" s="14" t="s">
        <v>2</v>
      </c>
      <c r="C4" s="14" t="s">
        <v>3</v>
      </c>
      <c r="D4" s="14" t="s">
        <v>4</v>
      </c>
      <c r="E4" s="13">
        <v>2024</v>
      </c>
      <c r="F4" s="13">
        <v>2025</v>
      </c>
      <c r="G4" s="13">
        <v>2026</v>
      </c>
      <c r="H4" s="13">
        <v>2027</v>
      </c>
      <c r="J4" s="13" t="s">
        <v>5</v>
      </c>
    </row>
    <row r="5" spans="1:10" x14ac:dyDescent="0.35">
      <c r="A5" s="19" t="s">
        <v>6</v>
      </c>
      <c r="B5" t="s">
        <v>7</v>
      </c>
      <c r="C5" s="20" t="s">
        <v>8</v>
      </c>
      <c r="D5" s="20"/>
      <c r="E5" s="21"/>
      <c r="F5" s="22">
        <v>0</v>
      </c>
      <c r="G5" s="22">
        <v>3500</v>
      </c>
      <c r="H5" s="22">
        <v>3500</v>
      </c>
      <c r="J5" s="23">
        <f>SUM(F5:H5)</f>
        <v>7000</v>
      </c>
    </row>
    <row r="6" spans="1:10" ht="29" x14ac:dyDescent="0.35">
      <c r="A6" s="19" t="s">
        <v>9</v>
      </c>
      <c r="B6" s="24" t="s">
        <v>10</v>
      </c>
      <c r="C6" s="20" t="s">
        <v>8</v>
      </c>
      <c r="D6" s="20"/>
      <c r="E6" s="21"/>
      <c r="F6" s="22">
        <v>500</v>
      </c>
      <c r="G6" s="22">
        <v>8792.9</v>
      </c>
      <c r="H6" s="22">
        <v>15278.899999999998</v>
      </c>
      <c r="J6" s="23">
        <f t="shared" ref="J6:J7" si="0">SUM(F6:H6)</f>
        <v>24571.799999999996</v>
      </c>
    </row>
    <row r="7" spans="1:10" x14ac:dyDescent="0.35">
      <c r="A7" s="7" t="s">
        <v>11</v>
      </c>
      <c r="B7" s="19" t="s">
        <v>12</v>
      </c>
      <c r="C7" s="20" t="s">
        <v>8</v>
      </c>
      <c r="D7" s="20"/>
      <c r="E7" s="11"/>
      <c r="F7" s="25">
        <f>SUM(F5:F6)</f>
        <v>500</v>
      </c>
      <c r="G7" s="25">
        <f>SUM(G5:G6)</f>
        <v>12292.9</v>
      </c>
      <c r="H7" s="25">
        <f>SUM(H5:H6)</f>
        <v>18778.899999999998</v>
      </c>
      <c r="J7" s="23">
        <f t="shared" si="0"/>
        <v>31571.799999999996</v>
      </c>
    </row>
    <row r="10" spans="1:10" x14ac:dyDescent="0.35">
      <c r="A10" s="26"/>
      <c r="B10" s="26"/>
      <c r="C10" s="26"/>
      <c r="D10" s="26"/>
      <c r="E10" s="13">
        <v>2024</v>
      </c>
      <c r="F10" s="13">
        <v>2025</v>
      </c>
      <c r="G10" s="13">
        <v>2026</v>
      </c>
      <c r="H10" s="13">
        <v>2027</v>
      </c>
    </row>
    <row r="11" spans="1:10" ht="43.5" x14ac:dyDescent="0.35">
      <c r="A11" s="19" t="s">
        <v>13</v>
      </c>
      <c r="B11" s="27" t="s">
        <v>14</v>
      </c>
      <c r="C11" s="20" t="s">
        <v>15</v>
      </c>
      <c r="D11" s="20"/>
      <c r="E11" s="28">
        <v>133.85316666666668</v>
      </c>
      <c r="F11" s="28">
        <v>138.47480709863422</v>
      </c>
      <c r="G11" s="28">
        <v>141.90915200604803</v>
      </c>
      <c r="H11" s="28">
        <v>144.76896069773713</v>
      </c>
    </row>
    <row r="12" spans="1:10" x14ac:dyDescent="0.35">
      <c r="A12" s="29"/>
    </row>
    <row r="13" spans="1:10" x14ac:dyDescent="0.35">
      <c r="A13" s="29"/>
      <c r="J13" s="13" t="s">
        <v>5</v>
      </c>
    </row>
    <row r="14" spans="1:10" ht="43.5" x14ac:dyDescent="0.35">
      <c r="A14" s="19" t="s">
        <v>16</v>
      </c>
      <c r="B14" s="24" t="s">
        <v>17</v>
      </c>
      <c r="C14" s="20" t="s">
        <v>18</v>
      </c>
      <c r="G14" s="30">
        <v>2581</v>
      </c>
      <c r="H14" s="30">
        <v>2615</v>
      </c>
      <c r="J14" s="23">
        <f>SUM(G14:H14)</f>
        <v>5196</v>
      </c>
    </row>
    <row r="15" spans="1:10" ht="43.5" x14ac:dyDescent="0.35">
      <c r="A15" s="19" t="s">
        <v>19</v>
      </c>
      <c r="B15" s="24" t="s">
        <v>20</v>
      </c>
      <c r="C15" s="20" t="s">
        <v>18</v>
      </c>
      <c r="G15" s="30">
        <v>12934</v>
      </c>
      <c r="H15" s="30">
        <v>13156</v>
      </c>
      <c r="J15" s="23">
        <f>SUM(G15:H15)</f>
        <v>26090</v>
      </c>
    </row>
    <row r="16" spans="1:10" x14ac:dyDescent="0.35">
      <c r="A16" s="29"/>
    </row>
    <row r="17" spans="1:10" ht="72.5" x14ac:dyDescent="0.35">
      <c r="A17" s="19" t="s">
        <v>21</v>
      </c>
      <c r="B17" s="31" t="s">
        <v>22</v>
      </c>
      <c r="C17" s="20" t="s">
        <v>23</v>
      </c>
      <c r="D17" s="32">
        <v>1.24E-2</v>
      </c>
    </row>
    <row r="18" spans="1:10" ht="58" x14ac:dyDescent="0.35">
      <c r="A18" s="19" t="s">
        <v>24</v>
      </c>
      <c r="B18" s="19" t="s">
        <v>82</v>
      </c>
      <c r="C18" s="20" t="s">
        <v>23</v>
      </c>
      <c r="D18" s="32">
        <v>0.02</v>
      </c>
    </row>
    <row r="19" spans="1:10" ht="29" x14ac:dyDescent="0.35">
      <c r="A19" s="19" t="s">
        <v>25</v>
      </c>
      <c r="B19" s="24" t="s">
        <v>26</v>
      </c>
      <c r="C19" s="20" t="s">
        <v>27</v>
      </c>
      <c r="D19" s="30">
        <v>130</v>
      </c>
    </row>
    <row r="20" spans="1:10" ht="43.5" x14ac:dyDescent="0.35">
      <c r="A20" s="19" t="s">
        <v>28</v>
      </c>
      <c r="B20" s="24" t="s">
        <v>29</v>
      </c>
      <c r="C20" s="20" t="s">
        <v>30</v>
      </c>
      <c r="D20" s="33">
        <v>75.209999999999994</v>
      </c>
    </row>
    <row r="21" spans="1:10" x14ac:dyDescent="0.35">
      <c r="A21" s="29"/>
    </row>
    <row r="22" spans="1:10" x14ac:dyDescent="0.35">
      <c r="A22" s="29"/>
    </row>
    <row r="23" spans="1:10" x14ac:dyDescent="0.35">
      <c r="A23" s="29"/>
    </row>
    <row r="24" spans="1:10" s="6" customFormat="1" ht="18.5" x14ac:dyDescent="0.45">
      <c r="A24" s="8" t="s">
        <v>31</v>
      </c>
    </row>
    <row r="25" spans="1:10" x14ac:dyDescent="0.35">
      <c r="A25" s="29"/>
    </row>
    <row r="26" spans="1:10" x14ac:dyDescent="0.35">
      <c r="A26" s="9"/>
      <c r="B26" s="2"/>
    </row>
    <row r="27" spans="1:10" x14ac:dyDescent="0.35">
      <c r="A27" s="29"/>
      <c r="G27" s="13">
        <v>2026</v>
      </c>
      <c r="H27" s="13">
        <v>2027</v>
      </c>
      <c r="J27" s="13" t="s">
        <v>5</v>
      </c>
    </row>
    <row r="28" spans="1:10" x14ac:dyDescent="0.35">
      <c r="A28" s="19" t="s">
        <v>32</v>
      </c>
      <c r="B28" s="20"/>
      <c r="C28" s="20" t="s">
        <v>8</v>
      </c>
      <c r="G28" s="34">
        <f>G5+$F5</f>
        <v>3500</v>
      </c>
      <c r="H28" s="34">
        <f>H5</f>
        <v>3500</v>
      </c>
      <c r="J28" s="34">
        <f>SUM(G28:H28)</f>
        <v>7000</v>
      </c>
    </row>
    <row r="29" spans="1:10" x14ac:dyDescent="0.35">
      <c r="A29" s="19" t="s">
        <v>33</v>
      </c>
      <c r="B29" s="20"/>
      <c r="C29" s="20" t="s">
        <v>8</v>
      </c>
      <c r="G29" s="34">
        <f>G6+$F6</f>
        <v>9292.9</v>
      </c>
      <c r="H29" s="34">
        <f>H6</f>
        <v>15278.899999999998</v>
      </c>
      <c r="J29" s="34">
        <f t="shared" ref="J29:J30" si="1">SUM(G29:H29)</f>
        <v>24571.799999999996</v>
      </c>
    </row>
    <row r="30" spans="1:10" x14ac:dyDescent="0.35">
      <c r="A30" s="7" t="s">
        <v>34</v>
      </c>
      <c r="B30" s="20"/>
      <c r="C30" s="20" t="s">
        <v>8</v>
      </c>
      <c r="G30" s="35">
        <f>G29+G28</f>
        <v>12792.9</v>
      </c>
      <c r="H30" s="35">
        <f>H29+H28</f>
        <v>18778.899999999998</v>
      </c>
      <c r="J30" s="35">
        <f t="shared" si="1"/>
        <v>31571.799999999996</v>
      </c>
    </row>
    <row r="31" spans="1:10" x14ac:dyDescent="0.35">
      <c r="A31" s="29"/>
      <c r="G31" s="36"/>
      <c r="H31" s="36"/>
    </row>
    <row r="32" spans="1:10" x14ac:dyDescent="0.35">
      <c r="A32" s="29"/>
      <c r="G32" s="36"/>
      <c r="H32" s="36"/>
    </row>
    <row r="33" spans="1:10" x14ac:dyDescent="0.35">
      <c r="A33" s="19" t="s">
        <v>32</v>
      </c>
      <c r="B33" s="20"/>
      <c r="C33" s="20" t="s">
        <v>35</v>
      </c>
      <c r="G33" s="34">
        <f t="shared" ref="G33:H35" si="2">G28*G$11/$E$11</f>
        <v>3710.6483499045698</v>
      </c>
      <c r="H33" s="34">
        <f t="shared" si="2"/>
        <v>3785.4267856351044</v>
      </c>
      <c r="J33" s="34">
        <f t="shared" ref="J33:J35" si="3">SUM(G33:H33)</f>
        <v>7496.0751355396742</v>
      </c>
    </row>
    <row r="34" spans="1:10" x14ac:dyDescent="0.35">
      <c r="A34" s="19" t="s">
        <v>33</v>
      </c>
      <c r="B34" s="20"/>
      <c r="C34" s="20" t="s">
        <v>35</v>
      </c>
      <c r="G34" s="34">
        <f t="shared" si="2"/>
        <v>9852.1954430937658</v>
      </c>
      <c r="H34" s="34">
        <f t="shared" si="2"/>
        <v>16524.902090011481</v>
      </c>
      <c r="J34" s="34">
        <f t="shared" si="3"/>
        <v>26377.097533105247</v>
      </c>
    </row>
    <row r="35" spans="1:10" x14ac:dyDescent="0.35">
      <c r="A35" s="7" t="s">
        <v>34</v>
      </c>
      <c r="B35" s="20"/>
      <c r="C35" s="20" t="s">
        <v>35</v>
      </c>
      <c r="G35" s="34">
        <f t="shared" si="2"/>
        <v>13562.843792998336</v>
      </c>
      <c r="H35" s="34">
        <f t="shared" si="2"/>
        <v>20310.328875646584</v>
      </c>
      <c r="J35" s="34">
        <f t="shared" si="3"/>
        <v>33873.172668644918</v>
      </c>
    </row>
    <row r="36" spans="1:10" x14ac:dyDescent="0.35">
      <c r="A36" s="29"/>
      <c r="G36" s="36"/>
      <c r="H36" s="36"/>
    </row>
    <row r="37" spans="1:10" x14ac:dyDescent="0.35">
      <c r="A37" s="29"/>
      <c r="G37" s="36"/>
      <c r="H37" s="36"/>
    </row>
    <row r="38" spans="1:10" x14ac:dyDescent="0.35">
      <c r="A38" s="19" t="s">
        <v>36</v>
      </c>
      <c r="B38" s="20"/>
      <c r="C38" s="20" t="s">
        <v>35</v>
      </c>
      <c r="G38" s="34">
        <f t="shared" ref="G38:H40" si="4">G33*$D$18</f>
        <v>74.212966998091403</v>
      </c>
      <c r="H38" s="34">
        <f t="shared" si="4"/>
        <v>75.708535712702087</v>
      </c>
      <c r="J38" s="34">
        <f t="shared" ref="J38:J40" si="5">SUM(G38:H38)</f>
        <v>149.9215027107935</v>
      </c>
    </row>
    <row r="39" spans="1:10" x14ac:dyDescent="0.35">
      <c r="A39" s="19" t="s">
        <v>37</v>
      </c>
      <c r="B39" s="20"/>
      <c r="C39" s="20" t="s">
        <v>35</v>
      </c>
      <c r="G39" s="34">
        <f t="shared" si="4"/>
        <v>197.04390886187531</v>
      </c>
      <c r="H39" s="34">
        <f t="shared" si="4"/>
        <v>330.4980418002296</v>
      </c>
      <c r="J39" s="34">
        <f t="shared" si="5"/>
        <v>527.54195066210491</v>
      </c>
    </row>
    <row r="40" spans="1:10" x14ac:dyDescent="0.35">
      <c r="A40" s="7" t="s">
        <v>38</v>
      </c>
      <c r="B40" s="20"/>
      <c r="C40" s="20" t="s">
        <v>35</v>
      </c>
      <c r="G40" s="34">
        <f t="shared" si="4"/>
        <v>271.25687585996673</v>
      </c>
      <c r="H40" s="34">
        <f t="shared" si="4"/>
        <v>406.20657751293169</v>
      </c>
      <c r="J40" s="34">
        <f t="shared" si="5"/>
        <v>677.46345337289836</v>
      </c>
    </row>
    <row r="41" spans="1:10" x14ac:dyDescent="0.35">
      <c r="A41" s="29"/>
      <c r="G41" s="36"/>
      <c r="H41" s="36"/>
    </row>
    <row r="42" spans="1:10" x14ac:dyDescent="0.35">
      <c r="A42" s="29"/>
      <c r="G42" s="36"/>
      <c r="H42" s="36"/>
    </row>
    <row r="43" spans="1:10" x14ac:dyDescent="0.35">
      <c r="A43" s="19" t="s">
        <v>39</v>
      </c>
      <c r="B43" s="20"/>
      <c r="C43" s="20" t="s">
        <v>35</v>
      </c>
      <c r="G43" s="34">
        <f t="shared" ref="G43:H45" si="6">G33+G38</f>
        <v>3784.8613169026612</v>
      </c>
      <c r="H43" s="34">
        <f t="shared" si="6"/>
        <v>3861.1353213478064</v>
      </c>
      <c r="J43" s="34">
        <f t="shared" ref="J43:J45" si="7">SUM(G43:H43)</f>
        <v>7645.9966382504681</v>
      </c>
    </row>
    <row r="44" spans="1:10" x14ac:dyDescent="0.35">
      <c r="A44" s="19" t="s">
        <v>40</v>
      </c>
      <c r="B44" s="20"/>
      <c r="C44" s="20" t="s">
        <v>35</v>
      </c>
      <c r="G44" s="34">
        <f t="shared" si="6"/>
        <v>10049.239351955641</v>
      </c>
      <c r="H44" s="34">
        <f t="shared" si="6"/>
        <v>16855.400131811712</v>
      </c>
      <c r="J44" s="34">
        <f t="shared" si="7"/>
        <v>26904.639483767351</v>
      </c>
    </row>
    <row r="45" spans="1:10" x14ac:dyDescent="0.35">
      <c r="A45" s="7" t="s">
        <v>41</v>
      </c>
      <c r="B45" s="20"/>
      <c r="C45" s="20" t="s">
        <v>35</v>
      </c>
      <c r="G45" s="34">
        <f t="shared" si="6"/>
        <v>13834.100668858302</v>
      </c>
      <c r="H45" s="34">
        <f t="shared" si="6"/>
        <v>20716.535453159515</v>
      </c>
      <c r="J45" s="34">
        <f t="shared" si="7"/>
        <v>34550.636122017815</v>
      </c>
    </row>
    <row r="46" spans="1:10" x14ac:dyDescent="0.35">
      <c r="A46" s="18"/>
      <c r="B46" s="37"/>
      <c r="C46" s="37"/>
      <c r="G46" s="18"/>
      <c r="H46" s="18"/>
      <c r="I46" s="18"/>
      <c r="J46" s="18"/>
    </row>
    <row r="47" spans="1:10" x14ac:dyDescent="0.35">
      <c r="A47" s="18"/>
      <c r="B47" s="37"/>
      <c r="C47" s="37"/>
      <c r="G47" s="18"/>
      <c r="H47" s="18"/>
      <c r="I47" s="18"/>
      <c r="J47" s="18"/>
    </row>
    <row r="48" spans="1:10" x14ac:dyDescent="0.35">
      <c r="A48" s="19" t="s">
        <v>42</v>
      </c>
      <c r="B48" s="20"/>
      <c r="C48" s="20" t="s">
        <v>35</v>
      </c>
      <c r="G48" s="34">
        <f>G43*$D$17</f>
        <v>46.932280329592999</v>
      </c>
      <c r="H48" s="34">
        <f>H43*$D$17</f>
        <v>47.878077984712796</v>
      </c>
      <c r="J48" s="34">
        <f t="shared" ref="J48:J50" si="8">SUM(G48:H48)</f>
        <v>94.810358314305802</v>
      </c>
    </row>
    <row r="49" spans="1:10" x14ac:dyDescent="0.35">
      <c r="A49" s="19" t="s">
        <v>43</v>
      </c>
      <c r="B49" s="20"/>
      <c r="C49" s="20" t="s">
        <v>35</v>
      </c>
      <c r="G49" s="34">
        <f t="shared" ref="G49:H49" si="9">G44*$D$17</f>
        <v>124.61056796424994</v>
      </c>
      <c r="H49" s="34">
        <f t="shared" si="9"/>
        <v>209.00696163446523</v>
      </c>
      <c r="J49" s="34">
        <f t="shared" si="8"/>
        <v>333.61752959871518</v>
      </c>
    </row>
    <row r="50" spans="1:10" x14ac:dyDescent="0.35">
      <c r="A50" s="7" t="s">
        <v>44</v>
      </c>
      <c r="B50" s="20"/>
      <c r="C50" s="20" t="s">
        <v>35</v>
      </c>
      <c r="G50" s="34">
        <f t="shared" ref="G50:H50" si="10">G45*$D$17</f>
        <v>171.54284829384295</v>
      </c>
      <c r="H50" s="34">
        <f t="shared" si="10"/>
        <v>256.88503961917797</v>
      </c>
      <c r="J50" s="34">
        <f t="shared" si="8"/>
        <v>428.42788791302092</v>
      </c>
    </row>
    <row r="51" spans="1:10" x14ac:dyDescent="0.35">
      <c r="A51" s="29"/>
      <c r="G51" s="36"/>
      <c r="H51" s="36"/>
    </row>
    <row r="52" spans="1:10" x14ac:dyDescent="0.35">
      <c r="A52" s="29"/>
      <c r="G52" s="36"/>
      <c r="H52" s="36"/>
    </row>
    <row r="53" spans="1:10" ht="29" x14ac:dyDescent="0.35">
      <c r="A53" s="19" t="s">
        <v>45</v>
      </c>
      <c r="B53" s="20"/>
      <c r="C53" s="20" t="s">
        <v>35</v>
      </c>
      <c r="G53" s="34">
        <f t="shared" ref="G53:H55" si="11">G43+G48</f>
        <v>3831.7935972322543</v>
      </c>
      <c r="H53" s="34">
        <f t="shared" si="11"/>
        <v>3909.0133993325194</v>
      </c>
      <c r="J53" s="34">
        <f t="shared" ref="J53:J55" si="12">SUM(G53:H53)</f>
        <v>7740.8069965647737</v>
      </c>
    </row>
    <row r="54" spans="1:10" ht="29" x14ac:dyDescent="0.35">
      <c r="A54" s="19" t="s">
        <v>46</v>
      </c>
      <c r="B54" s="20"/>
      <c r="C54" s="20" t="s">
        <v>35</v>
      </c>
      <c r="G54" s="34">
        <f t="shared" si="11"/>
        <v>10173.84991991989</v>
      </c>
      <c r="H54" s="34">
        <f t="shared" si="11"/>
        <v>17064.407093446178</v>
      </c>
      <c r="J54" s="34">
        <f t="shared" si="12"/>
        <v>27238.25701336607</v>
      </c>
    </row>
    <row r="55" spans="1:10" ht="29" x14ac:dyDescent="0.35">
      <c r="A55" s="7" t="s">
        <v>47</v>
      </c>
      <c r="B55" s="20"/>
      <c r="C55" s="20" t="s">
        <v>35</v>
      </c>
      <c r="G55" s="38">
        <f t="shared" si="11"/>
        <v>14005.643517152144</v>
      </c>
      <c r="H55" s="38">
        <f t="shared" si="11"/>
        <v>20973.420492778692</v>
      </c>
      <c r="I55" s="39"/>
      <c r="J55" s="35">
        <f t="shared" si="12"/>
        <v>34979.064009930837</v>
      </c>
    </row>
    <row r="56" spans="1:10" x14ac:dyDescent="0.35">
      <c r="A56" s="29"/>
      <c r="G56" s="40"/>
      <c r="H56" s="40"/>
    </row>
    <row r="57" spans="1:10" x14ac:dyDescent="0.35">
      <c r="A57" s="29"/>
      <c r="G57" s="40"/>
      <c r="H57" s="40"/>
    </row>
    <row r="58" spans="1:10" x14ac:dyDescent="0.35">
      <c r="A58" s="31" t="s">
        <v>48</v>
      </c>
      <c r="B58" s="41"/>
      <c r="C58" s="20" t="s">
        <v>49</v>
      </c>
      <c r="G58" s="34">
        <f t="shared" ref="G58:H60" si="13">G53/G$15</f>
        <v>0.29625742981538999</v>
      </c>
      <c r="H58" s="34">
        <f t="shared" si="13"/>
        <v>0.29712780475315592</v>
      </c>
      <c r="J58" s="34">
        <f>J53/J$15</f>
        <v>0.29669632029761495</v>
      </c>
    </row>
    <row r="59" spans="1:10" x14ac:dyDescent="0.35">
      <c r="A59" s="31" t="s">
        <v>50</v>
      </c>
      <c r="B59" s="41"/>
      <c r="C59" s="20" t="s">
        <v>49</v>
      </c>
      <c r="G59" s="34">
        <f t="shared" si="13"/>
        <v>0.78659733415183941</v>
      </c>
      <c r="H59" s="34">
        <f t="shared" si="13"/>
        <v>1.2970817188694268</v>
      </c>
      <c r="J59" s="34">
        <f>J54/J$15</f>
        <v>1.0440113841842111</v>
      </c>
    </row>
    <row r="60" spans="1:10" x14ac:dyDescent="0.35">
      <c r="A60" s="10" t="s">
        <v>51</v>
      </c>
      <c r="B60" s="41"/>
      <c r="C60" s="20" t="s">
        <v>49</v>
      </c>
      <c r="G60" s="35">
        <f t="shared" si="13"/>
        <v>1.0828547639672292</v>
      </c>
      <c r="H60" s="35">
        <f t="shared" si="13"/>
        <v>1.5942095236225822</v>
      </c>
      <c r="I60" s="39"/>
      <c r="J60" s="35">
        <f>J55/J$15</f>
        <v>1.3407077044818259</v>
      </c>
    </row>
    <row r="61" spans="1:10" x14ac:dyDescent="0.35">
      <c r="A61" s="29"/>
      <c r="G61" s="36"/>
      <c r="H61" s="36"/>
    </row>
    <row r="62" spans="1:10" x14ac:dyDescent="0.35">
      <c r="A62" s="29"/>
      <c r="G62" s="36"/>
      <c r="H62" s="36"/>
    </row>
    <row r="63" spans="1:10" x14ac:dyDescent="0.35">
      <c r="A63" s="31" t="s">
        <v>52</v>
      </c>
      <c r="B63" s="41"/>
      <c r="C63" s="20" t="s">
        <v>49</v>
      </c>
      <c r="G63" s="34">
        <f t="shared" ref="G63:H65" si="14">G53/G$14</f>
        <v>1.4846158842434152</v>
      </c>
      <c r="H63" s="34">
        <f t="shared" si="14"/>
        <v>1.4948426001271584</v>
      </c>
      <c r="J63" s="34">
        <f>J53/J$14</f>
        <v>1.4897627014173929</v>
      </c>
    </row>
    <row r="64" spans="1:10" x14ac:dyDescent="0.35">
      <c r="A64" s="31" t="s">
        <v>53</v>
      </c>
      <c r="B64" s="41"/>
      <c r="C64" s="20" t="s">
        <v>49</v>
      </c>
      <c r="G64" s="34">
        <f t="shared" si="14"/>
        <v>3.9418248430530376</v>
      </c>
      <c r="H64" s="34">
        <f t="shared" si="14"/>
        <v>6.5255858865950964</v>
      </c>
      <c r="J64" s="34">
        <f>J54/J$14</f>
        <v>5.2421587785539012</v>
      </c>
    </row>
    <row r="65" spans="1:11" x14ac:dyDescent="0.35">
      <c r="A65" s="10" t="s">
        <v>54</v>
      </c>
      <c r="B65" s="41"/>
      <c r="C65" s="20" t="s">
        <v>49</v>
      </c>
      <c r="G65" s="34">
        <f t="shared" si="14"/>
        <v>5.4264407272964528</v>
      </c>
      <c r="H65" s="34">
        <f t="shared" si="14"/>
        <v>8.0204284867222526</v>
      </c>
      <c r="J65" s="34">
        <f>J55/J$14</f>
        <v>6.7319214799712928</v>
      </c>
    </row>
    <row r="66" spans="1:11" x14ac:dyDescent="0.35">
      <c r="A66" s="29"/>
      <c r="G66" s="36"/>
      <c r="H66" s="36"/>
    </row>
    <row r="67" spans="1:11" x14ac:dyDescent="0.35">
      <c r="A67" s="29"/>
      <c r="G67" s="36"/>
      <c r="H67" s="36"/>
    </row>
    <row r="68" spans="1:11" x14ac:dyDescent="0.35">
      <c r="A68" s="31" t="s">
        <v>55</v>
      </c>
      <c r="B68" s="41"/>
      <c r="C68" s="20" t="s">
        <v>49</v>
      </c>
      <c r="G68" s="34">
        <f t="shared" ref="G68:H70" si="15">G53/(G$14*$D$19)</f>
        <v>1.1420122186487809E-2</v>
      </c>
      <c r="H68" s="34">
        <f t="shared" si="15"/>
        <v>1.1498789231747374E-2</v>
      </c>
      <c r="J68" s="34">
        <f>J53/(J$14*$D$19)</f>
        <v>1.14597130878261E-2</v>
      </c>
      <c r="K68" s="39"/>
    </row>
    <row r="69" spans="1:11" x14ac:dyDescent="0.35">
      <c r="A69" s="31" t="s">
        <v>56</v>
      </c>
      <c r="B69" s="41"/>
      <c r="C69" s="20" t="s">
        <v>49</v>
      </c>
      <c r="G69" s="34">
        <f t="shared" si="15"/>
        <v>3.0321729561946443E-2</v>
      </c>
      <c r="H69" s="34">
        <f t="shared" si="15"/>
        <v>5.0196814512269976E-2</v>
      </c>
      <c r="J69" s="34">
        <f>J54/(J$14*$D$19)</f>
        <v>4.0324298296568473E-2</v>
      </c>
      <c r="K69" s="39"/>
    </row>
    <row r="70" spans="1:11" x14ac:dyDescent="0.35">
      <c r="A70" s="10" t="s">
        <v>57</v>
      </c>
      <c r="B70" s="41"/>
      <c r="C70" s="20" t="s">
        <v>49</v>
      </c>
      <c r="G70" s="34">
        <f t="shared" si="15"/>
        <v>4.1741851748434249E-2</v>
      </c>
      <c r="H70" s="34">
        <f t="shared" si="15"/>
        <v>6.1695603744017335E-2</v>
      </c>
      <c r="J70" s="34">
        <f>J55/(J$14*$D$19)</f>
        <v>5.1784011384394556E-2</v>
      </c>
      <c r="K70" s="39"/>
    </row>
    <row r="71" spans="1:11" x14ac:dyDescent="0.35">
      <c r="A71" s="29"/>
    </row>
    <row r="72" spans="1:11" x14ac:dyDescent="0.35">
      <c r="A72" s="29"/>
    </row>
    <row r="73" spans="1:11" x14ac:dyDescent="0.35">
      <c r="A73" s="19" t="s">
        <v>36</v>
      </c>
      <c r="B73" s="20"/>
      <c r="C73" s="20" t="s">
        <v>8</v>
      </c>
      <c r="G73" s="34">
        <f>G38/G$11*$E$11</f>
        <v>70.000000000000014</v>
      </c>
      <c r="H73" s="34">
        <f>H38/H$11*$E$11</f>
        <v>69.999999999999986</v>
      </c>
      <c r="J73" s="34">
        <f t="shared" ref="J73:J75" si="16">SUM(G73:H73)</f>
        <v>140</v>
      </c>
      <c r="K73" s="39"/>
    </row>
    <row r="74" spans="1:11" x14ac:dyDescent="0.35">
      <c r="A74" s="19" t="s">
        <v>37</v>
      </c>
      <c r="B74" s="20"/>
      <c r="C74" s="20" t="s">
        <v>8</v>
      </c>
      <c r="G74" s="34">
        <f t="shared" ref="G74:H74" si="17">G39/G$11*$E$11</f>
        <v>185.858</v>
      </c>
      <c r="H74" s="34">
        <f t="shared" si="17"/>
        <v>305.57799999999992</v>
      </c>
      <c r="J74" s="34">
        <f t="shared" si="16"/>
        <v>491.43599999999992</v>
      </c>
      <c r="K74" s="39"/>
    </row>
    <row r="75" spans="1:11" x14ac:dyDescent="0.35">
      <c r="A75" s="7" t="s">
        <v>38</v>
      </c>
      <c r="B75" s="20"/>
      <c r="C75" s="20" t="s">
        <v>8</v>
      </c>
      <c r="G75" s="35">
        <f t="shared" ref="G75:H75" si="18">G40/G$11*$E$11</f>
        <v>255.858</v>
      </c>
      <c r="H75" s="35">
        <f t="shared" si="18"/>
        <v>375.57799999999992</v>
      </c>
      <c r="J75" s="35">
        <f t="shared" si="16"/>
        <v>631.43599999999992</v>
      </c>
      <c r="K75" s="39"/>
    </row>
    <row r="76" spans="1:11" x14ac:dyDescent="0.35">
      <c r="A76" s="29"/>
    </row>
    <row r="77" spans="1:11" x14ac:dyDescent="0.35">
      <c r="A77" s="29"/>
    </row>
    <row r="78" spans="1:11" x14ac:dyDescent="0.35">
      <c r="A78" s="19" t="s">
        <v>39</v>
      </c>
      <c r="B78" s="20"/>
      <c r="C78" s="20" t="s">
        <v>8</v>
      </c>
      <c r="G78" s="34">
        <f>G43/G$11*$E$11</f>
        <v>3570</v>
      </c>
      <c r="H78" s="34">
        <f>H43/H$11*$E$11</f>
        <v>3570</v>
      </c>
      <c r="J78" s="34">
        <f t="shared" ref="J78:J80" si="19">SUM(G78:H78)</f>
        <v>7140</v>
      </c>
      <c r="K78" s="39"/>
    </row>
    <row r="79" spans="1:11" x14ac:dyDescent="0.35">
      <c r="A79" s="19" t="s">
        <v>40</v>
      </c>
      <c r="B79" s="20"/>
      <c r="C79" s="20" t="s">
        <v>8</v>
      </c>
      <c r="G79" s="34">
        <f t="shared" ref="G79:H79" si="20">G44/G$11*$E$11</f>
        <v>9478.7579999999998</v>
      </c>
      <c r="H79" s="34">
        <f t="shared" si="20"/>
        <v>15584.477999999997</v>
      </c>
      <c r="J79" s="34">
        <f t="shared" si="19"/>
        <v>25063.235999999997</v>
      </c>
      <c r="K79" s="39"/>
    </row>
    <row r="80" spans="1:11" x14ac:dyDescent="0.35">
      <c r="A80" s="7" t="s">
        <v>41</v>
      </c>
      <c r="B80" s="20"/>
      <c r="C80" s="20" t="s">
        <v>8</v>
      </c>
      <c r="G80" s="34">
        <f t="shared" ref="G80:H80" si="21">G45/G$11*$E$11</f>
        <v>13048.758</v>
      </c>
      <c r="H80" s="34">
        <f t="shared" si="21"/>
        <v>19154.477999999996</v>
      </c>
      <c r="J80" s="34">
        <f t="shared" si="19"/>
        <v>32203.235999999997</v>
      </c>
      <c r="K80" s="39"/>
    </row>
    <row r="81" spans="1:11" x14ac:dyDescent="0.35">
      <c r="A81" s="18"/>
      <c r="B81" s="37"/>
      <c r="C81" s="37"/>
    </row>
    <row r="82" spans="1:11" x14ac:dyDescent="0.35">
      <c r="A82" s="18"/>
      <c r="B82" s="37"/>
      <c r="C82" s="37"/>
    </row>
    <row r="83" spans="1:11" x14ac:dyDescent="0.35">
      <c r="A83" s="19" t="s">
        <v>42</v>
      </c>
      <c r="B83" s="20"/>
      <c r="C83" s="20" t="s">
        <v>8</v>
      </c>
      <c r="G83" s="34">
        <f>G48/G$11*$E$11</f>
        <v>44.268000000000001</v>
      </c>
      <c r="H83" s="34">
        <f>H48/H$11*$E$11</f>
        <v>44.268000000000001</v>
      </c>
      <c r="J83" s="34">
        <f t="shared" ref="J83:J85" si="22">SUM(G83:H83)</f>
        <v>88.536000000000001</v>
      </c>
      <c r="K83" s="39"/>
    </row>
    <row r="84" spans="1:11" x14ac:dyDescent="0.35">
      <c r="A84" s="19" t="s">
        <v>43</v>
      </c>
      <c r="B84" s="20"/>
      <c r="C84" s="20" t="s">
        <v>8</v>
      </c>
      <c r="G84" s="34">
        <f t="shared" ref="G84:H84" si="23">G49/G$11*$E$11</f>
        <v>117.5365992</v>
      </c>
      <c r="H84" s="34">
        <f t="shared" si="23"/>
        <v>193.24752719999995</v>
      </c>
      <c r="J84" s="34">
        <f t="shared" si="22"/>
        <v>310.78412639999993</v>
      </c>
      <c r="K84" s="39"/>
    </row>
    <row r="85" spans="1:11" x14ac:dyDescent="0.35">
      <c r="A85" s="7" t="s">
        <v>44</v>
      </c>
      <c r="B85" s="20"/>
      <c r="C85" s="20" t="s">
        <v>8</v>
      </c>
      <c r="G85" s="35">
        <f t="shared" ref="G85:H85" si="24">G50/G$11*$E$11</f>
        <v>161.80459919999998</v>
      </c>
      <c r="H85" s="35">
        <f t="shared" si="24"/>
        <v>237.51552719999992</v>
      </c>
      <c r="J85" s="35">
        <f t="shared" si="22"/>
        <v>399.32012639999994</v>
      </c>
      <c r="K85" s="39"/>
    </row>
    <row r="86" spans="1:11" x14ac:dyDescent="0.35">
      <c r="A86" s="9"/>
      <c r="C86" s="37"/>
    </row>
    <row r="87" spans="1:11" x14ac:dyDescent="0.35">
      <c r="A87" s="9"/>
      <c r="C87" s="37"/>
    </row>
    <row r="88" spans="1:11" ht="29" x14ac:dyDescent="0.35">
      <c r="A88" s="19" t="s">
        <v>58</v>
      </c>
      <c r="B88" s="20"/>
      <c r="C88" s="20" t="s">
        <v>8</v>
      </c>
      <c r="G88" s="34">
        <f t="shared" ref="G88:H90" si="25">G78+G83</f>
        <v>3614.268</v>
      </c>
      <c r="H88" s="34">
        <f t="shared" si="25"/>
        <v>3614.268</v>
      </c>
      <c r="J88" s="34">
        <f t="shared" ref="J88:J90" si="26">SUM(G88:H88)</f>
        <v>7228.5360000000001</v>
      </c>
    </row>
    <row r="89" spans="1:11" ht="29" x14ac:dyDescent="0.35">
      <c r="A89" s="19" t="s">
        <v>59</v>
      </c>
      <c r="B89" s="20"/>
      <c r="C89" s="20" t="s">
        <v>8</v>
      </c>
      <c r="G89" s="34">
        <f t="shared" si="25"/>
        <v>9596.2945992000004</v>
      </c>
      <c r="H89" s="34">
        <f t="shared" si="25"/>
        <v>15777.725527199997</v>
      </c>
      <c r="J89" s="34">
        <f t="shared" si="26"/>
        <v>25374.020126399999</v>
      </c>
    </row>
    <row r="90" spans="1:11" ht="29" x14ac:dyDescent="0.35">
      <c r="A90" s="7" t="s">
        <v>60</v>
      </c>
      <c r="B90" s="20"/>
      <c r="C90" s="20" t="s">
        <v>8</v>
      </c>
      <c r="G90" s="35">
        <f t="shared" si="25"/>
        <v>13210.5625992</v>
      </c>
      <c r="H90" s="35">
        <f t="shared" si="25"/>
        <v>19391.993527199997</v>
      </c>
      <c r="I90" s="39"/>
      <c r="J90" s="35">
        <f t="shared" si="26"/>
        <v>32602.556126399999</v>
      </c>
    </row>
    <row r="91" spans="1:11" x14ac:dyDescent="0.35">
      <c r="A91" s="29"/>
      <c r="G91" s="36"/>
      <c r="H91" s="36"/>
    </row>
    <row r="92" spans="1:11" x14ac:dyDescent="0.35">
      <c r="A92" s="29"/>
      <c r="G92" s="36"/>
      <c r="H92" s="36"/>
    </row>
    <row r="93" spans="1:11" x14ac:dyDescent="0.35">
      <c r="A93" s="31" t="s">
        <v>48</v>
      </c>
      <c r="B93" s="41"/>
      <c r="C93" s="20" t="s">
        <v>30</v>
      </c>
      <c r="G93" s="34">
        <f t="shared" ref="G93:H95" si="27">G58/G$11*$E$11</f>
        <v>0.27943930725220351</v>
      </c>
      <c r="H93" s="34">
        <f t="shared" si="27"/>
        <v>0.27472392824566738</v>
      </c>
      <c r="J93" s="34">
        <f>J88/J$15</f>
        <v>0.2770615561517823</v>
      </c>
    </row>
    <row r="94" spans="1:11" x14ac:dyDescent="0.35">
      <c r="A94" s="31" t="s">
        <v>50</v>
      </c>
      <c r="B94" s="41"/>
      <c r="C94" s="20" t="s">
        <v>30</v>
      </c>
      <c r="G94" s="34">
        <f t="shared" si="27"/>
        <v>0.74194329667542913</v>
      </c>
      <c r="H94" s="34">
        <f t="shared" si="27"/>
        <v>1.1992798363636363</v>
      </c>
      <c r="J94" s="34">
        <f t="shared" ref="J94:J95" si="28">J89/J$15</f>
        <v>0.97255730649290917</v>
      </c>
    </row>
    <row r="95" spans="1:11" x14ac:dyDescent="0.35">
      <c r="A95" s="10" t="s">
        <v>51</v>
      </c>
      <c r="B95" s="41"/>
      <c r="C95" s="20" t="s">
        <v>30</v>
      </c>
      <c r="G95" s="35">
        <f t="shared" si="27"/>
        <v>1.0213826039276324</v>
      </c>
      <c r="H95" s="35">
        <f t="shared" si="27"/>
        <v>1.4740037646093032</v>
      </c>
      <c r="I95" s="39"/>
      <c r="J95" s="35">
        <f t="shared" si="28"/>
        <v>1.2496188626446914</v>
      </c>
    </row>
    <row r="96" spans="1:11" x14ac:dyDescent="0.35">
      <c r="A96" s="29"/>
      <c r="G96" s="36"/>
      <c r="H96" s="36"/>
    </row>
    <row r="97" spans="1:10" x14ac:dyDescent="0.35">
      <c r="A97" s="29"/>
      <c r="G97" s="36"/>
      <c r="H97" s="36"/>
    </row>
    <row r="98" spans="1:10" x14ac:dyDescent="0.35">
      <c r="A98" s="31" t="s">
        <v>52</v>
      </c>
      <c r="B98" s="41"/>
      <c r="C98" s="20" t="s">
        <v>30</v>
      </c>
      <c r="G98" s="34">
        <f t="shared" ref="G98:H100" si="29">G63/G$11*$E$11</f>
        <v>1.4003363037582335</v>
      </c>
      <c r="H98" s="34">
        <f t="shared" si="29"/>
        <v>1.3821292543021033</v>
      </c>
      <c r="J98" s="34">
        <f>J88/J$14</f>
        <v>1.3911732101616627</v>
      </c>
    </row>
    <row r="99" spans="1:10" x14ac:dyDescent="0.35">
      <c r="A99" s="31" t="s">
        <v>53</v>
      </c>
      <c r="B99" s="41"/>
      <c r="C99" s="20" t="s">
        <v>30</v>
      </c>
      <c r="G99" s="34">
        <f t="shared" si="29"/>
        <v>3.7180529249128242</v>
      </c>
      <c r="H99" s="34">
        <f t="shared" si="29"/>
        <v>6.0335470467304004</v>
      </c>
      <c r="J99" s="34">
        <f>J89/J$14</f>
        <v>4.883375697921478</v>
      </c>
    </row>
    <row r="100" spans="1:10" x14ac:dyDescent="0.35">
      <c r="A100" s="10" t="s">
        <v>54</v>
      </c>
      <c r="B100" s="41"/>
      <c r="C100" s="20" t="s">
        <v>30</v>
      </c>
      <c r="G100" s="35">
        <f t="shared" si="29"/>
        <v>5.1183892286710577</v>
      </c>
      <c r="H100" s="35">
        <f t="shared" si="29"/>
        <v>7.4156763010325015</v>
      </c>
      <c r="I100" s="39"/>
      <c r="J100" s="35">
        <f>J90/J$14</f>
        <v>6.2745489080831405</v>
      </c>
    </row>
    <row r="101" spans="1:10" x14ac:dyDescent="0.35">
      <c r="A101" s="29"/>
      <c r="G101" s="36"/>
      <c r="H101" s="36"/>
    </row>
    <row r="102" spans="1:10" x14ac:dyDescent="0.35">
      <c r="A102" s="29"/>
      <c r="G102" s="36"/>
      <c r="H102" s="36"/>
    </row>
    <row r="103" spans="1:10" x14ac:dyDescent="0.35">
      <c r="A103" s="31" t="s">
        <v>55</v>
      </c>
      <c r="B103" s="41"/>
      <c r="C103" s="20" t="s">
        <v>30</v>
      </c>
      <c r="G103" s="34">
        <f t="shared" ref="G103:H105" si="30">G68/G$11*$E$11</f>
        <v>1.0771817721217179E-2</v>
      </c>
      <c r="H103" s="34">
        <f t="shared" si="30"/>
        <v>1.0631763494631566E-2</v>
      </c>
      <c r="J103" s="34">
        <f>J98/D$19</f>
        <v>1.0701332385858945E-2</v>
      </c>
    </row>
    <row r="104" spans="1:10" x14ac:dyDescent="0.35">
      <c r="A104" s="31" t="s">
        <v>56</v>
      </c>
      <c r="B104" s="41"/>
      <c r="C104" s="20" t="s">
        <v>30</v>
      </c>
      <c r="G104" s="34">
        <f t="shared" si="30"/>
        <v>2.8600407114714031E-2</v>
      </c>
      <c r="H104" s="34">
        <f t="shared" si="30"/>
        <v>4.6411900359464631E-2</v>
      </c>
      <c r="J104" s="34">
        <f>J99/D$19</f>
        <v>3.756442844554983E-2</v>
      </c>
    </row>
    <row r="105" spans="1:10" x14ac:dyDescent="0.35">
      <c r="A105" s="10" t="s">
        <v>57</v>
      </c>
      <c r="B105" s="41"/>
      <c r="C105" s="20" t="s">
        <v>30</v>
      </c>
      <c r="G105" s="35">
        <f t="shared" si="30"/>
        <v>3.937222483593121E-2</v>
      </c>
      <c r="H105" s="35">
        <f t="shared" si="30"/>
        <v>5.7043663854096177E-2</v>
      </c>
      <c r="I105" s="39"/>
      <c r="J105" s="35">
        <f>J100/D$19</f>
        <v>4.8265760831408773E-2</v>
      </c>
    </row>
    <row r="108" spans="1:10" ht="29" x14ac:dyDescent="0.35">
      <c r="A108" s="31" t="s">
        <v>61</v>
      </c>
      <c r="B108" s="41"/>
      <c r="C108" s="20" t="s">
        <v>23</v>
      </c>
      <c r="G108" s="42">
        <f>G93/$D$20</f>
        <v>3.7154541583858999E-3</v>
      </c>
      <c r="H108" s="42">
        <f>H93/$D$20</f>
        <v>3.6527579875770162E-3</v>
      </c>
      <c r="J108" s="42">
        <f>J93/$D$20</f>
        <v>3.6838393318944598E-3</v>
      </c>
    </row>
    <row r="109" spans="1:10" ht="29" x14ac:dyDescent="0.35">
      <c r="A109" s="31" t="s">
        <v>62</v>
      </c>
      <c r="B109" s="41"/>
      <c r="C109" s="20" t="s">
        <v>23</v>
      </c>
      <c r="G109" s="42">
        <f t="shared" ref="G109:H109" si="31">G94/$D$20</f>
        <v>9.8649554138469514E-3</v>
      </c>
      <c r="H109" s="42">
        <f t="shared" si="31"/>
        <v>1.5945749718968706E-2</v>
      </c>
      <c r="J109" s="42">
        <f>J94/$D$20</f>
        <v>1.2931223327920613E-2</v>
      </c>
    </row>
    <row r="110" spans="1:10" ht="29" x14ac:dyDescent="0.35">
      <c r="A110" s="10" t="s">
        <v>63</v>
      </c>
      <c r="B110" s="41"/>
      <c r="C110" s="20" t="s">
        <v>23</v>
      </c>
      <c r="G110" s="43">
        <f t="shared" ref="G110:H110" si="32">G95/$D$20</f>
        <v>1.3580409572232848E-2</v>
      </c>
      <c r="H110" s="43">
        <f t="shared" si="32"/>
        <v>1.9598507706545715E-2</v>
      </c>
      <c r="I110" s="17"/>
      <c r="J110" s="43">
        <f>J95/$D$20</f>
        <v>1.6615062659815071E-2</v>
      </c>
    </row>
  </sheetData>
  <hyperlinks>
    <hyperlink ref="B6" r:id="rId1" xr:uid="{6CDC89BF-3BEB-4CF6-8850-29820F33D7C7}"/>
    <hyperlink ref="B11" r:id="rId2" xr:uid="{821ED18F-0128-4113-BC86-95A96720FB33}"/>
    <hyperlink ref="B19" r:id="rId3" display="CAA analysis of EUROCONTROL’s Standard Inputs for Economic Analyses – section 13" xr:uid="{8829BD07-5B64-49E2-AD83-CE7B346D0DBA}"/>
    <hyperlink ref="B20" r:id="rId4" display="Eurocontrol Route Charges System, Information to users (No.2024/01). Conversion based on EUR/GBP rate of 0.861581" xr:uid="{BB0E5B8E-A6F9-46E0-AF70-36BB9DA6A72A}"/>
    <hyperlink ref="B14" r:id="rId5" xr:uid="{54C63A30-A296-4A7F-90A4-11FD0EB5B117}"/>
    <hyperlink ref="B15" r:id="rId6" xr:uid="{0F75A81B-2238-464C-BF87-DC3F32FAE85B}"/>
  </hyperlinks>
  <pageMargins left="0.7" right="0.7" top="0.75" bottom="0.75" header="0.3" footer="0.3"/>
  <pageSetup paperSize="9" orientation="portrait" r:id="rId7"/>
  <ignoredErrors>
    <ignoredError sqref="F7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4B3F-98AF-4768-97F5-845D67FDD81E}">
  <sheetPr>
    <tabColor theme="8" tint="0.39997558519241921"/>
  </sheetPr>
  <dimension ref="A1:K16"/>
  <sheetViews>
    <sheetView showGridLines="0" zoomScaleNormal="100" workbookViewId="0"/>
  </sheetViews>
  <sheetFormatPr defaultColWidth="9.453125" defaultRowHeight="14.5" x14ac:dyDescent="0.35"/>
  <cols>
    <col min="1" max="1" width="48" customWidth="1"/>
    <col min="2" max="2" width="47.54296875" customWidth="1"/>
    <col min="3" max="3" width="14.54296875" bestFit="1" customWidth="1"/>
    <col min="4" max="4" width="8.1796875" bestFit="1" customWidth="1"/>
    <col min="5" max="5" width="9.453125" customWidth="1"/>
    <col min="6" max="6" width="9.1796875" bestFit="1" customWidth="1"/>
    <col min="7" max="7" width="8" bestFit="1" customWidth="1"/>
    <col min="8" max="9" width="9.453125" customWidth="1"/>
  </cols>
  <sheetData>
    <row r="1" spans="1:11" x14ac:dyDescent="0.35">
      <c r="A1" s="2" t="s">
        <v>64</v>
      </c>
      <c r="B1" s="2"/>
      <c r="C1" s="2"/>
      <c r="D1" s="2"/>
      <c r="E1" s="2"/>
    </row>
    <row r="2" spans="1:11" x14ac:dyDescent="0.35">
      <c r="A2" s="2"/>
      <c r="B2" s="2"/>
      <c r="C2" s="2"/>
      <c r="D2" s="2"/>
      <c r="E2" s="2"/>
      <c r="F2" s="2"/>
      <c r="G2" s="2"/>
    </row>
    <row r="3" spans="1:11" x14ac:dyDescent="0.35">
      <c r="A3" s="14" t="s">
        <v>1</v>
      </c>
      <c r="B3" s="14" t="s">
        <v>2</v>
      </c>
      <c r="C3" s="14" t="s">
        <v>3</v>
      </c>
      <c r="F3" s="13">
        <v>2026</v>
      </c>
      <c r="G3" s="13">
        <v>2027</v>
      </c>
      <c r="I3" s="13" t="s">
        <v>5</v>
      </c>
    </row>
    <row r="4" spans="1:11" ht="29" x14ac:dyDescent="0.35">
      <c r="A4" s="31" t="s">
        <v>65</v>
      </c>
      <c r="B4" s="31" t="s">
        <v>66</v>
      </c>
      <c r="C4" s="41" t="s">
        <v>35</v>
      </c>
      <c r="F4" s="30">
        <f>'Model for FPs'!G33</f>
        <v>3710.6483499045698</v>
      </c>
      <c r="G4" s="30">
        <f>'Model for FPs'!H33</f>
        <v>3785.4267856351044</v>
      </c>
      <c r="I4" s="23">
        <f>AVERAGE(F4:G4)</f>
        <v>3748.0375677698371</v>
      </c>
    </row>
    <row r="5" spans="1:11" ht="29" x14ac:dyDescent="0.35">
      <c r="A5" s="31" t="s">
        <v>67</v>
      </c>
      <c r="B5" s="31" t="s">
        <v>66</v>
      </c>
      <c r="C5" s="41" t="s">
        <v>35</v>
      </c>
      <c r="F5" s="30">
        <f>'Model for FPs'!G34</f>
        <v>9852.1954430937658</v>
      </c>
      <c r="G5" s="30">
        <f>'Model for FPs'!H34</f>
        <v>16524.902090011481</v>
      </c>
      <c r="I5" s="23">
        <f>SUM(F5:G5)</f>
        <v>26377.097533105247</v>
      </c>
    </row>
    <row r="6" spans="1:11" x14ac:dyDescent="0.35">
      <c r="A6" s="31" t="s">
        <v>68</v>
      </c>
      <c r="B6" s="31" t="s">
        <v>66</v>
      </c>
      <c r="C6" s="41" t="s">
        <v>35</v>
      </c>
      <c r="F6" s="30">
        <f>'Model for FPs'!G35</f>
        <v>13562.843792998336</v>
      </c>
      <c r="G6" s="30">
        <f>'Model for FPs'!H35</f>
        <v>20310.328875646584</v>
      </c>
      <c r="I6" s="23">
        <f>SUM(F6:G6)</f>
        <v>33873.172668644918</v>
      </c>
    </row>
    <row r="7" spans="1:11" x14ac:dyDescent="0.35">
      <c r="F7" s="36"/>
      <c r="G7" s="36"/>
    </row>
    <row r="8" spans="1:11" x14ac:dyDescent="0.35">
      <c r="F8" s="36"/>
      <c r="G8" s="36"/>
    </row>
    <row r="9" spans="1:11" ht="29" x14ac:dyDescent="0.35">
      <c r="A9" s="31" t="s">
        <v>69</v>
      </c>
      <c r="B9" s="27" t="s">
        <v>70</v>
      </c>
      <c r="C9" s="41" t="s">
        <v>23</v>
      </c>
      <c r="D9" s="16">
        <f>(SUM('SONIA data'!$B$2:$B$31)/30)/100</f>
        <v>3.9690299999999984E-2</v>
      </c>
      <c r="F9" s="36"/>
      <c r="G9" s="36"/>
    </row>
    <row r="10" spans="1:11" ht="29" x14ac:dyDescent="0.35">
      <c r="A10" s="31" t="s">
        <v>71</v>
      </c>
      <c r="B10" s="27" t="s">
        <v>72</v>
      </c>
      <c r="C10" s="41" t="s">
        <v>23</v>
      </c>
      <c r="D10" s="44">
        <v>3.8999999999999998E-3</v>
      </c>
      <c r="F10" s="36"/>
      <c r="G10" s="36"/>
    </row>
    <row r="11" spans="1:11" ht="29" x14ac:dyDescent="0.35">
      <c r="A11" s="31" t="s">
        <v>73</v>
      </c>
      <c r="B11" s="31" t="s">
        <v>74</v>
      </c>
      <c r="C11" s="41" t="s">
        <v>23</v>
      </c>
      <c r="D11" s="45">
        <f>D9+D10</f>
        <v>4.3590299999999985E-2</v>
      </c>
      <c r="F11" s="36"/>
      <c r="G11" s="36"/>
    </row>
    <row r="12" spans="1:11" x14ac:dyDescent="0.35">
      <c r="A12" s="31" t="s">
        <v>75</v>
      </c>
      <c r="B12" s="31" t="s">
        <v>76</v>
      </c>
      <c r="C12" s="41" t="s">
        <v>23</v>
      </c>
      <c r="D12" s="44">
        <f>3/12</f>
        <v>0.25</v>
      </c>
      <c r="F12" s="36"/>
      <c r="G12" s="36"/>
    </row>
    <row r="13" spans="1:11" x14ac:dyDescent="0.35">
      <c r="D13" s="36"/>
      <c r="F13" s="36"/>
      <c r="G13" s="36"/>
    </row>
    <row r="14" spans="1:11" x14ac:dyDescent="0.35">
      <c r="F14" s="36"/>
      <c r="G14" s="36"/>
    </row>
    <row r="15" spans="1:11" x14ac:dyDescent="0.35">
      <c r="A15" s="31" t="s">
        <v>77</v>
      </c>
      <c r="B15" s="41" t="s">
        <v>12</v>
      </c>
      <c r="E15" s="12"/>
      <c r="F15" s="46">
        <f>(F$6*$D$12*$D$11)/F$6</f>
        <v>1.0897574999999996E-2</v>
      </c>
      <c r="G15" s="46">
        <f>(G$6*$D$12*$D$11)/G$6</f>
        <v>1.0897574999999996E-2</v>
      </c>
      <c r="H15" s="12"/>
      <c r="I15" s="46">
        <f>(I$6*$D$12*$D$11)/I$6</f>
        <v>1.0897574999999996E-2</v>
      </c>
      <c r="K15" s="48"/>
    </row>
    <row r="16" spans="1:11" x14ac:dyDescent="0.35">
      <c r="A16" s="31" t="s">
        <v>78</v>
      </c>
      <c r="B16" s="41" t="s">
        <v>12</v>
      </c>
      <c r="E16" s="12"/>
      <c r="F16" s="47">
        <f>F15*F6</f>
        <v>147.80210744748379</v>
      </c>
      <c r="G16" s="47">
        <f>G15*G6</f>
        <v>221.33333219702425</v>
      </c>
      <c r="H16" s="12"/>
      <c r="I16" s="47">
        <f>SUM(F16:G16)</f>
        <v>369.13543964450804</v>
      </c>
    </row>
  </sheetData>
  <phoneticPr fontId="15" type="noConversion"/>
  <hyperlinks>
    <hyperlink ref="B9" r:id="rId1" display="CAA analysis of Bank of England SONIA data" xr:uid="{DC1DEC3F-52BF-49F8-8550-76697AB9F03D}"/>
    <hyperlink ref="B10" r:id="rId2" display="NERL proposal, based on its annual report and accounts" xr:uid="{2D300A65-552F-4475-8D1C-85D1210661CD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14EA7-ED1A-4E25-A0D9-3322DA4279EA}">
  <sheetPr>
    <tabColor rgb="FFFFC000"/>
  </sheetPr>
  <dimension ref="A1:B34"/>
  <sheetViews>
    <sheetView showGridLines="0" zoomScaleNormal="100" workbookViewId="0"/>
  </sheetViews>
  <sheetFormatPr defaultColWidth="9.453125" defaultRowHeight="14.5" x14ac:dyDescent="0.35"/>
  <cols>
    <col min="1" max="1" width="13.453125" bestFit="1" customWidth="1"/>
    <col min="2" max="2" width="61.54296875" bestFit="1" customWidth="1"/>
    <col min="3" max="3" width="3.54296875" customWidth="1"/>
    <col min="4" max="4" width="9.453125" customWidth="1"/>
  </cols>
  <sheetData>
    <row r="1" spans="1:2" x14ac:dyDescent="0.35">
      <c r="A1" s="15" t="s">
        <v>79</v>
      </c>
      <c r="B1" s="15" t="s">
        <v>80</v>
      </c>
    </row>
    <row r="2" spans="1:2" x14ac:dyDescent="0.35">
      <c r="A2" s="3">
        <v>45945</v>
      </c>
      <c r="B2" s="4">
        <v>3.9670999999999998</v>
      </c>
    </row>
    <row r="3" spans="1:2" x14ac:dyDescent="0.35">
      <c r="A3" s="3">
        <v>45946</v>
      </c>
      <c r="B3" s="4">
        <v>3.9676</v>
      </c>
    </row>
    <row r="4" spans="1:2" x14ac:dyDescent="0.35">
      <c r="A4" s="3">
        <v>45947</v>
      </c>
      <c r="B4" s="4">
        <v>3.9681999999999999</v>
      </c>
    </row>
    <row r="5" spans="1:2" x14ac:dyDescent="0.35">
      <c r="A5" s="3">
        <v>45950</v>
      </c>
      <c r="B5" s="4">
        <v>3.9681999999999999</v>
      </c>
    </row>
    <row r="6" spans="1:2" x14ac:dyDescent="0.35">
      <c r="A6" s="3">
        <v>45951</v>
      </c>
      <c r="B6" s="4">
        <v>3.9687999999999999</v>
      </c>
    </row>
    <row r="7" spans="1:2" x14ac:dyDescent="0.35">
      <c r="A7" s="3">
        <v>45952</v>
      </c>
      <c r="B7" s="4">
        <v>3.9687000000000001</v>
      </c>
    </row>
    <row r="8" spans="1:2" x14ac:dyDescent="0.35">
      <c r="A8" s="3">
        <v>45953</v>
      </c>
      <c r="B8" s="4">
        <v>3.9691000000000001</v>
      </c>
    </row>
    <row r="9" spans="1:2" x14ac:dyDescent="0.35">
      <c r="A9" s="3">
        <v>45954</v>
      </c>
      <c r="B9" s="4">
        <v>3.9691000000000001</v>
      </c>
    </row>
    <row r="10" spans="1:2" x14ac:dyDescent="0.35">
      <c r="A10" s="3">
        <v>45957</v>
      </c>
      <c r="B10" s="4">
        <v>3.9693000000000001</v>
      </c>
    </row>
    <row r="11" spans="1:2" x14ac:dyDescent="0.35">
      <c r="A11" s="3">
        <v>45958</v>
      </c>
      <c r="B11" s="4">
        <v>3.9693999999999998</v>
      </c>
    </row>
    <row r="12" spans="1:2" x14ac:dyDescent="0.35">
      <c r="A12" s="3">
        <v>45959</v>
      </c>
      <c r="B12" s="4">
        <v>3.9693000000000001</v>
      </c>
    </row>
    <row r="13" spans="1:2" x14ac:dyDescent="0.35">
      <c r="A13" s="3">
        <v>45960</v>
      </c>
      <c r="B13" s="4">
        <v>3.9693000000000001</v>
      </c>
    </row>
    <row r="14" spans="1:2" x14ac:dyDescent="0.35">
      <c r="A14" s="3">
        <v>45961</v>
      </c>
      <c r="B14" s="4">
        <v>3.9689000000000001</v>
      </c>
    </row>
    <row r="15" spans="1:2" x14ac:dyDescent="0.35">
      <c r="A15" s="3">
        <v>45964</v>
      </c>
      <c r="B15" s="4">
        <v>3.9693999999999998</v>
      </c>
    </row>
    <row r="16" spans="1:2" x14ac:dyDescent="0.35">
      <c r="A16" s="3">
        <v>45965</v>
      </c>
      <c r="B16" s="4">
        <v>3.9693999999999998</v>
      </c>
    </row>
    <row r="17" spans="1:2" x14ac:dyDescent="0.35">
      <c r="A17" s="3">
        <v>45966</v>
      </c>
      <c r="B17" s="4">
        <v>3.9693999999999998</v>
      </c>
    </row>
    <row r="18" spans="1:2" x14ac:dyDescent="0.35">
      <c r="A18" s="3">
        <v>45967</v>
      </c>
      <c r="B18" s="4">
        <v>3.9693000000000001</v>
      </c>
    </row>
    <row r="19" spans="1:2" x14ac:dyDescent="0.35">
      <c r="A19" s="3">
        <v>45968</v>
      </c>
      <c r="B19" s="4">
        <v>3.9697</v>
      </c>
    </row>
    <row r="20" spans="1:2" x14ac:dyDescent="0.35">
      <c r="A20" s="3">
        <v>45971</v>
      </c>
      <c r="B20" s="4">
        <v>3.9693999999999998</v>
      </c>
    </row>
    <row r="21" spans="1:2" x14ac:dyDescent="0.35">
      <c r="A21" s="3">
        <v>45972</v>
      </c>
      <c r="B21" s="4">
        <v>3.9693999999999998</v>
      </c>
    </row>
    <row r="22" spans="1:2" x14ac:dyDescent="0.35">
      <c r="A22" s="3">
        <v>45973</v>
      </c>
      <c r="B22" s="4">
        <v>3.9691999999999998</v>
      </c>
    </row>
    <row r="23" spans="1:2" x14ac:dyDescent="0.35">
      <c r="A23" s="3">
        <v>45974</v>
      </c>
      <c r="B23" s="4">
        <v>3.9698000000000002</v>
      </c>
    </row>
    <row r="24" spans="1:2" x14ac:dyDescent="0.35">
      <c r="A24" s="3">
        <v>45975</v>
      </c>
      <c r="B24" s="4">
        <v>3.9693999999999998</v>
      </c>
    </row>
    <row r="25" spans="1:2" x14ac:dyDescent="0.35">
      <c r="A25" s="3">
        <v>45978</v>
      </c>
      <c r="B25" s="4">
        <v>3.9691999999999998</v>
      </c>
    </row>
    <row r="26" spans="1:2" x14ac:dyDescent="0.35">
      <c r="A26" s="3">
        <v>45979</v>
      </c>
      <c r="B26" s="4">
        <v>3.9693999999999998</v>
      </c>
    </row>
    <row r="27" spans="1:2" x14ac:dyDescent="0.35">
      <c r="A27" s="3">
        <v>45980</v>
      </c>
      <c r="B27" s="4">
        <v>3.9693000000000001</v>
      </c>
    </row>
    <row r="28" spans="1:2" x14ac:dyDescent="0.35">
      <c r="A28" s="3">
        <v>45981</v>
      </c>
      <c r="B28" s="4">
        <v>3.9689999999999999</v>
      </c>
    </row>
    <row r="29" spans="1:2" x14ac:dyDescent="0.35">
      <c r="A29" s="3">
        <v>45985</v>
      </c>
      <c r="B29" s="4">
        <v>3.9687999999999999</v>
      </c>
    </row>
    <row r="30" spans="1:2" x14ac:dyDescent="0.35">
      <c r="A30" s="3">
        <v>45986</v>
      </c>
      <c r="B30" s="4">
        <v>3.9687999999999999</v>
      </c>
    </row>
    <row r="31" spans="1:2" x14ac:dyDescent="0.35">
      <c r="A31" s="3">
        <v>45987</v>
      </c>
      <c r="B31" s="4">
        <v>3.9689999999999999</v>
      </c>
    </row>
    <row r="34" spans="1:1" x14ac:dyDescent="0.35">
      <c r="A34" t="s">
        <v>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TM Regulation Project Document" ma:contentTypeID="0x010100026BFE6A34D44FF09C8C098CCC1B744C009B8D996D0FD744A9A49CFBFA9017BD7300AD2639D8460879439C13465FB56D4000" ma:contentTypeVersion="11" ma:contentTypeDescription="Create a new document." ma:contentTypeScope="" ma:versionID="28f6ff8abec24938ae4f25a58fa674ce">
  <xsd:schema xmlns:xsd="http://www.w3.org/2001/XMLSchema" xmlns:xs="http://www.w3.org/2001/XMLSchema" xmlns:p="http://schemas.microsoft.com/office/2006/metadata/properties" xmlns:ns2="7c02c562-1e82-4d3d-bb6c-843c3e7142ca" xmlns:ns3="ff770cc1-d340-4e6a-a844-29da8690ed3d" targetNamespace="http://schemas.microsoft.com/office/2006/metadata/properties" ma:root="true" ma:fieldsID="de5314716be2ab8f67e16533e61dd5a5" ns2:_="" ns3:_="">
    <xsd:import namespace="7c02c562-1e82-4d3d-bb6c-843c3e7142ca"/>
    <xsd:import namespace="ff770cc1-d340-4e6a-a844-29da8690ed3d"/>
    <xsd:element name="properties">
      <xsd:complexType>
        <xsd:sequence>
          <xsd:element name="documentManagement">
            <xsd:complexType>
              <xsd:all>
                <xsd:element ref="ns2:obd7f88e7c304967bb7efaedae455aad" minOccurs="0"/>
                <xsd:element ref="ns2:TaxCatchAll" minOccurs="0"/>
                <xsd:element ref="ns2:TaxCatchAllLabel" minOccurs="0"/>
                <xsd:element ref="ns2:md537954de5d4799b31f8b38caab65fb" minOccurs="0"/>
                <xsd:element ref="ns2:c0579850fabd4de2a8282f228563db32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2c562-1e82-4d3d-bb6c-843c3e7142ca" elementFormDefault="qualified">
    <xsd:import namespace="http://schemas.microsoft.com/office/2006/documentManagement/types"/>
    <xsd:import namespace="http://schemas.microsoft.com/office/infopath/2007/PartnerControls"/>
    <xsd:element name="obd7f88e7c304967bb7efaedae455aad" ma:index="8" ma:taxonomy="true" ma:internalName="obd7f88e7c304967bb7efaedae455aad" ma:taxonomyFieldName="CAAContentGroup" ma:displayName="Content Group" ma:fieldId="{8bd7f88e-7c30-4967-bb7e-faedae455aad}" ma:sspId="32b1b85a-9065-498a-a715-2e842cb76486" ma:termSetId="078a1673-67d9-42ad-9a0e-7f45c535ee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28361a6-fa2d-4f95-8851-bf529f68af46}" ma:internalName="TaxCatchAll" ma:showField="CatchAllData" ma:web="7c02c562-1e82-4d3d-bb6c-843c3e7142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28361a6-fa2d-4f95-8851-bf529f68af46}" ma:internalName="TaxCatchAllLabel" ma:readOnly="true" ma:showField="CatchAllDataLabel" ma:web="7c02c562-1e82-4d3d-bb6c-843c3e7142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537954de5d4799b31f8b38caab65fb" ma:index="12" ma:taxonomy="true" ma:internalName="md537954de5d4799b31f8b38caab65fb" ma:taxonomyFieldName="CAABusinessFunctions" ma:displayName="Business Functions" ma:fieldId="{6d537954-de5d-4799-b31f-8b38caab65fb}" ma:taxonomyMulti="true" ma:sspId="32b1b85a-9065-498a-a715-2e842cb76486" ma:termSetId="cf28a2d6-8bcd-450b-a49a-65779e58cd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579850fabd4de2a8282f228563db32" ma:index="14" ma:taxonomy="true" ma:internalName="c0579850fabd4de2a8282f228563db32" ma:taxonomyFieldName="CAADepartments" ma:displayName="Departments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70cc1-d340-4e6a-a844-29da8690ed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0579850fabd4de2a8282f228563db32 xmlns="7c02c562-1e82-4d3d-bb6c-843c3e7142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Consumers and Markets</TermName>
          <TermId xmlns="http://schemas.microsoft.com/office/infopath/2007/PartnerControls">aaae88c1-0366-4a2a-8362-d7feeedf0c8e</TermId>
        </TermInfo>
      </Terms>
    </c0579850fabd4de2a8282f228563db32>
    <md537954de5d4799b31f8b38caab65fb xmlns="7c02c562-1e82-4d3d-bb6c-843c3e7142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Aviation Consumer Protection</TermName>
          <TermId xmlns="http://schemas.microsoft.com/office/infopath/2007/PartnerControls">ec17897e-028e-417d-afc9-b145dc8f0a0b</TermId>
        </TermInfo>
        <TermInfo xmlns="http://schemas.microsoft.com/office/infopath/2007/PartnerControls">
          <TermName xmlns="http://schemas.microsoft.com/office/infopath/2007/PartnerControls">Market and Performance Regulation</TermName>
          <TermId xmlns="http://schemas.microsoft.com/office/infopath/2007/PartnerControls">7c83a01d-94da-43c4-a6c6-f97ba212aa86</TermId>
        </TermInfo>
      </Terms>
    </md537954de5d4799b31f8b38caab65fb>
    <TaxCatchAll xmlns="7c02c562-1e82-4d3d-bb6c-843c3e7142ca">
      <Value>10</Value>
      <Value>2</Value>
      <Value>1</Value>
      <Value>3</Value>
    </TaxCatchAll>
    <obd7f88e7c304967bb7efaedae455aad xmlns="7c02c562-1e82-4d3d-bb6c-843c3e7142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8f0ac385-1b1c-42dd-8d95-2d53389c5a43</TermId>
        </TermInfo>
      </Terms>
    </obd7f88e7c304967bb7efaedae455aad>
    <_dlc_DocId xmlns="7c02c562-1e82-4d3d-bb6c-843c3e7142ca">YDDR3SSRJYKD-1187335610-11126</_dlc_DocId>
    <_dlc_DocIdUrl xmlns="7c02c562-1e82-4d3d-bb6c-843c3e7142ca">
      <Url>https://caa.sharepoint.com/sites/consumers-and-markets-group/ercp/atm-regulation/_layouts/15/DocIdRedir.aspx?ID=YDDR3SSRJYKD-1187335610-11126</Url>
      <Description>YDDR3SSRJYKD-1187335610-11126</Description>
    </_dlc_DocIdUrl>
  </documentManagement>
</p:properties>
</file>

<file path=customXml/itemProps1.xml><?xml version="1.0" encoding="utf-8"?>
<ds:datastoreItem xmlns:ds="http://schemas.openxmlformats.org/officeDocument/2006/customXml" ds:itemID="{5C2B5AA8-5285-46C5-8C9E-9F770DDD33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2c562-1e82-4d3d-bb6c-843c3e7142ca"/>
    <ds:schemaRef ds:uri="ff770cc1-d340-4e6a-a844-29da8690e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4DE95F-23AD-4F75-91D7-1F0F5A60CA6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4087A56-0EF9-4351-B488-5938F25D36D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C7E7AEA-01BC-4A1D-9F05-9C7A46279ABC}">
  <ds:schemaRefs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7c02c562-1e82-4d3d-bb6c-843c3e7142ca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ff770cc1-d340-4e6a-a844-29da8690ed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for FPs</vt:lpstr>
      <vt:lpstr>Working capital calculation</vt:lpstr>
      <vt:lpstr>SONIA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Pinto</dc:creator>
  <cp:keywords/>
  <dc:description/>
  <cp:lastModifiedBy>Kelvin Woock</cp:lastModifiedBy>
  <cp:revision/>
  <dcterms:created xsi:type="dcterms:W3CDTF">2025-09-19T05:05:44Z</dcterms:created>
  <dcterms:modified xsi:type="dcterms:W3CDTF">2025-12-08T09:58:54Z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a6fdcc-05da-4183-a585-00569377c19e_Enabled">
    <vt:lpwstr>true</vt:lpwstr>
  </property>
  <property fmtid="{D5CDD505-2E9C-101B-9397-08002B2CF9AE}" pid="3" name="MSIP_Label_9ba6fdcc-05da-4183-a585-00569377c19e_SetDate">
    <vt:lpwstr>2025-09-19T13:03:11Z</vt:lpwstr>
  </property>
  <property fmtid="{D5CDD505-2E9C-101B-9397-08002B2CF9AE}" pid="4" name="MSIP_Label_9ba6fdcc-05da-4183-a585-00569377c19e_Method">
    <vt:lpwstr>Privileged</vt:lpwstr>
  </property>
  <property fmtid="{D5CDD505-2E9C-101B-9397-08002B2CF9AE}" pid="5" name="MSIP_Label_9ba6fdcc-05da-4183-a585-00569377c19e_Name">
    <vt:lpwstr>OS - Restricted - Named Parties Only</vt:lpwstr>
  </property>
  <property fmtid="{D5CDD505-2E9C-101B-9397-08002B2CF9AE}" pid="6" name="MSIP_Label_9ba6fdcc-05da-4183-a585-00569377c19e_SiteId">
    <vt:lpwstr>c4edd5ba-10c3-4fe3-946a-7c9c446ab8c8</vt:lpwstr>
  </property>
  <property fmtid="{D5CDD505-2E9C-101B-9397-08002B2CF9AE}" pid="7" name="MSIP_Label_9ba6fdcc-05da-4183-a585-00569377c19e_ActionId">
    <vt:lpwstr>8f4880e3-44e7-4261-8812-3cad88822c0a</vt:lpwstr>
  </property>
  <property fmtid="{D5CDD505-2E9C-101B-9397-08002B2CF9AE}" pid="8" name="MSIP_Label_9ba6fdcc-05da-4183-a585-00569377c19e_ContentBits">
    <vt:lpwstr>3</vt:lpwstr>
  </property>
  <property fmtid="{D5CDD505-2E9C-101B-9397-08002B2CF9AE}" pid="9" name="MSIP_Label_9ba6fdcc-05da-4183-a585-00569377c19e_Tag">
    <vt:lpwstr>10, 0, 1, 1</vt:lpwstr>
  </property>
  <property fmtid="{D5CDD505-2E9C-101B-9397-08002B2CF9AE}" pid="10" name="ContentTypeId">
    <vt:lpwstr>0x010100026BFE6A34D44FF09C8C098CCC1B744C009B8D996D0FD744A9A49CFBFA9017BD7300AD2639D8460879439C13465FB56D4000</vt:lpwstr>
  </property>
  <property fmtid="{D5CDD505-2E9C-101B-9397-08002B2CF9AE}" pid="11" name="CAAContentGroup">
    <vt:lpwstr>10;#Project|8f0ac385-1b1c-42dd-8d95-2d53389c5a43</vt:lpwstr>
  </property>
  <property fmtid="{D5CDD505-2E9C-101B-9397-08002B2CF9AE}" pid="12" name="CAADepartments">
    <vt:lpwstr>1;#Consumers and Markets|aaae88c1-0366-4a2a-8362-d7feeedf0c8e</vt:lpwstr>
  </property>
  <property fmtid="{D5CDD505-2E9C-101B-9397-08002B2CF9AE}" pid="13" name="CAABusinessFunctions">
    <vt:lpwstr>2;#Aviation Consumer Protection|ec17897e-028e-417d-afc9-b145dc8f0a0b;#3;#Market and Performance Regulation|7c83a01d-94da-43c4-a6c6-f97ba212aa86</vt:lpwstr>
  </property>
  <property fmtid="{D5CDD505-2E9C-101B-9397-08002B2CF9AE}" pid="14" name="_dlc_DocIdItemGuid">
    <vt:lpwstr>6f6ba812-4b67-499b-bdb6-4df74b39f18e</vt:lpwstr>
  </property>
</Properties>
</file>