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Y:\CAP 3000s\CAP 3121 UKADS initial proposals - Econ Reg\"/>
    </mc:Choice>
  </mc:AlternateContent>
  <xr:revisionPtr revIDLastSave="0" documentId="13_ncr:1_{4B08D7E7-507E-47D8-961E-2046788782CD}" xr6:coauthVersionLast="47" xr6:coauthVersionMax="47" xr10:uidLastSave="{00000000-0000-0000-0000-000000000000}"/>
  <bookViews>
    <workbookView xWindow="-110" yWindow="-110" windowWidth="19420" windowHeight="11620" xr2:uid="{00000000-000D-0000-FFFF-FFFF00000000}"/>
  </bookViews>
  <sheets>
    <sheet name="Cover" sheetId="1" r:id="rId1"/>
    <sheet name="Contents" sheetId="2" r:id="rId2"/>
    <sheet name="Inputs" sheetId="3" r:id="rId3"/>
    <sheet name="Time" sheetId="4" r:id="rId4"/>
    <sheet name="RAB" sheetId="5" r:id="rId5"/>
    <sheet name="Cost+ Operating Margin" sheetId="6" r:id="rId6"/>
    <sheet name="Scenarios Chosen" sheetId="7" r:id="rId7"/>
    <sheet name="Operating Cost + Margin Report" sheetId="9" r:id="rId8"/>
    <sheet name="RAB model Report" sheetId="10" r:id="rId9"/>
    <sheet name="Named ranges" sheetId="14" r:id="rId10"/>
  </sheets>
  <definedNames>
    <definedName name="_2025_date" xml:space="preserve"> Inputs!$F$11</definedName>
    <definedName name="_2025_flag">Time!$N$67:$X$67</definedName>
    <definedName name="_2026_date" xml:space="preserve"> Inputs!$F$12</definedName>
    <definedName name="_2026_flag">Time!$N$76:$X$76</definedName>
    <definedName name="_xlnm._FilterDatabase" localSheetId="9" hidden="1">'Named ranges'!$A$1:$E$187</definedName>
    <definedName name="Annual_Flights_forecast_for_10_year_period__2026_start_">'Scenarios Chosen'!$N$90:$X$90</definedName>
    <definedName name="Annual_Flights_forecast_for_NR23_period__2026_start_">'Scenarios Chosen'!$N$54:$X$54</definedName>
    <definedName name="Annual_Service_Units_forecast_for_10_year_period__2026_start_">'Scenarios Chosen'!$N$79:$X$79</definedName>
    <definedName name="Annual_Service_Units_forecast_for_NR23_period__2026_start_">'Scenarios Chosen'!$N$43:$X$43</definedName>
    <definedName name="Assumed_asset_life_for_depreciation" xml:space="preserve"> Inputs!$F$29</definedName>
    <definedName name="Average_RAB">RAB!$N$40:$X$40</definedName>
    <definedName name="Bridge_to_determine_costs_used_for_calculation_for_Determined_costs_real_for__RAB_NR23_only">RAB!$N$108:$X$108</definedName>
    <definedName name="Bridge_to_determine_costs_used_for_calculation_for_Determined_costs_real_for_NR23_only">'Cost+ Operating Margin'!$N$31:$X$31</definedName>
    <definedName name="Charge_as_a___of_UK_en_route_rate_real__Operating_Cost_Margin_only_">'Cost+ Operating Margin'!$N$101:$X$101</definedName>
    <definedName name="Charge_as_a___of_UK_en_route_rate_real__RAB_only_">RAB!$N$256:$X$256</definedName>
    <definedName name="Charge_per_flight__RAB_only__real_for_10_year_period" xml:space="preserve"> RAB!$F$345</definedName>
    <definedName name="Charge_per_flight__RAB_only__real_for_NR23_period" xml:space="preserve"> RAB!$F$295</definedName>
    <definedName name="Charge_per_flight_real_for_10_year_period" xml:space="preserve"> 'Cost+ Operating Margin'!$F$171</definedName>
    <definedName name="Charge_per_flight_real_for_NR23_period" xml:space="preserve"> 'Cost+ Operating Margin'!$F$134</definedName>
    <definedName name="Charge_per_passenger__RAB_only__real_for_10_year_period" xml:space="preserve"> RAB!$F$351</definedName>
    <definedName name="Charge_per_passenger__RAB_only__real_for_NR23_period" xml:space="preserve"> RAB!$F$301</definedName>
    <definedName name="Charge_per_passenger_real_for_10_year_period" xml:space="preserve"> 'Cost+ Operating Margin'!$F$177</definedName>
    <definedName name="Charge_per_passenger_real_for_NR23_period" xml:space="preserve"> 'Cost+ Operating Margin'!$F$140</definedName>
    <definedName name="Charge_per_pax__Cost_Operating_Margin_only_">'Cost+ Operating Margin'!$N$95:$X$95</definedName>
    <definedName name="Charge_per_pax__RAB_only_">RAB!$N$250:$X$250</definedName>
    <definedName name="Charge_per_service_unit__RAB_only__real_for_10_year_period" xml:space="preserve"> RAB!$F$339</definedName>
    <definedName name="Charge_per_service_unit__RAB_only__real_for_NR23_period" xml:space="preserve"> RAB!$F$289</definedName>
    <definedName name="Charge_per_service_unit_real_for_10_year_period" xml:space="preserve"> 'Cost+ Operating Margin'!$F$165</definedName>
    <definedName name="Charge_per_service_unit_real_for_NR23_period" xml:space="preserve"> 'Cost+ Operating Margin'!$F$128</definedName>
    <definedName name="Charge_per_SU__RAB_only__as___of_2024_UK_en_route_rate_for_10_year_period" xml:space="preserve"> RAB!$F$357</definedName>
    <definedName name="Charge_per_SU__RAB_only__as___of_2024_UK_en_route_rate_for_NR23_period" xml:space="preserve"> RAB!$F$307</definedName>
    <definedName name="Charge_per_SU_as___of_2024_UK_en_route_rate_for_10_year_period" xml:space="preserve"> 'Cost+ Operating Margin'!$F$183</definedName>
    <definedName name="Charge_per_SU_as___of_2024_UK_en_route_rate_for_NR23_period" xml:space="preserve"> 'Cost+ Operating Margin'!$F$146</definedName>
    <definedName name="Checks_breached_any_period">#REF!</definedName>
    <definedName name="Constants">Inputs!$F$1</definedName>
    <definedName name="Corporation_tax_calculated_real">RAB!$N$62:$X$62</definedName>
    <definedName name="Corporation_tax_grossed_up">RAB!$N$68:$X$68</definedName>
    <definedName name="Cost_of_UKADS1.High">Inputs!$N$43:$X$43</definedName>
    <definedName name="Cost_of_UKADS1.Low">Inputs!$N$44:$X$44</definedName>
    <definedName name="Cost_of_UKADS1.Mid">Inputs!$N$45:$X$45</definedName>
    <definedName name="Cost_of_UKADSF.High">Inputs!$N$39:$X$39</definedName>
    <definedName name="Cost_of_UKADSF.Low">Inputs!$N$40:$X$40</definedName>
    <definedName name="Cost_of_UKADSF.Mid">Inputs!$N$41:$X$41</definedName>
    <definedName name="CPI_Index_2024" xml:space="preserve"> Inputs!$F$32</definedName>
    <definedName name="CPI_Index_Forecast">Inputs!$N$51:$X$51</definedName>
    <definedName name="CPI_Index_Forecast__Calculations_">Time!$N$14:$X$14</definedName>
    <definedName name="CPI_Index_forecast_beginning_date" xml:space="preserve"> Inputs!$F$13</definedName>
    <definedName name="CPI_Index_forecast_flag">Time!$N$48:$X$48</definedName>
    <definedName name="CPI_Inflation">Time!$N$21:$X$21</definedName>
    <definedName name="DC_per_flight_from_2026_nominal__RAB_only_">RAB!$N$237:$X$237</definedName>
    <definedName name="DC_per_flight_from_2026_real__RAB_only_">RAB!$N$217:$X$217</definedName>
    <definedName name="DC_per_flight_from_2026_real_Opex_check">#REF!</definedName>
    <definedName name="DC_per_flight_from_2026_real_Opex_check_overall">#REF!</definedName>
    <definedName name="DC_per_flight_from_2026_real_RAB_check">#REF!</definedName>
    <definedName name="DC_per_flight_from_2026_real_RAB_check_overall">#REF!</definedName>
    <definedName name="DC_per_flight_nominal__RAB_only_">RAB!$N$127:$X$127</definedName>
    <definedName name="DC_per_flight_nominal_from_2026">'Cost+ Operating Margin'!$N$89:$X$89</definedName>
    <definedName name="DC_per_flight_nominal_from_2026__RAB_check">#REF!</definedName>
    <definedName name="DC_per_flight_nominal_from_2026__RAB_check_overall">#REF!</definedName>
    <definedName name="DC_per_flight_nominal_from_2026_Opex_check">#REF!</definedName>
    <definedName name="DC_per_flight_nominal_from_2026_Opex_check_overall">#REF!</definedName>
    <definedName name="DC_per_flight_Opex_nominal_prelim_model">Inputs!#REF!</definedName>
    <definedName name="DC_per_flight_Opex_real_prelim_model">Inputs!#REF!</definedName>
    <definedName name="DC_per_flight_RAB_nominal_prelim_model">Inputs!#REF!</definedName>
    <definedName name="DC_per_flight_RAB_Real_prelim_model">Inputs!#REF!</definedName>
    <definedName name="DC_per_flight_real">'Cost+ Operating Margin'!$N$19:$X$19</definedName>
    <definedName name="DC_per_Flight_Real__RAB_only_">RAB!$N$120:$X$120</definedName>
    <definedName name="DC_per_flight_real_from_2026">'Cost+ Operating Margin'!$N$64:$X$64</definedName>
    <definedName name="DC_per_SU_from_2026_nominal__RAB_only_">RAB!$N$230:$X$230</definedName>
    <definedName name="DC_per_SU_from_2026_nominal_Opex_check">#REF!</definedName>
    <definedName name="DC_per_SU_from_2026_nominal_Opex_check_overall">#REF!</definedName>
    <definedName name="DC_per_SU_from_2026_nominal_RAB_check">#REF!</definedName>
    <definedName name="DC_per_SU_from_2026_nominal_RAB_check_overall">#REF!</definedName>
    <definedName name="DC_per_SU_from_2026_real__Opex_check">#REF!</definedName>
    <definedName name="DC_per_SU_from_2026_real__Opex_check_overall">#REF!</definedName>
    <definedName name="DC_per_SU_from_2026_real__RAB_only_">RAB!$N$211:$X$211</definedName>
    <definedName name="DC_per_SU_from_2026_real_RAB_check">#REF!</definedName>
    <definedName name="DC_per_SU_from_2026_real_RAB_check_overall">#REF!</definedName>
    <definedName name="DC_per_SU_nominal__RAB_only_">RAB!$N$134:$X$134</definedName>
    <definedName name="DC_per_SU_nominal_from_2026">'Cost+ Operating Margin'!$N$83:$X$83</definedName>
    <definedName name="DC_per_SU_Opex_nominal_prelim_model">Inputs!#REF!</definedName>
    <definedName name="DC_per_SU_Opex_real_prelim_model">Inputs!#REF!</definedName>
    <definedName name="DC_per_SU_RAB_nominal_prelim_model">Inputs!#REF!</definedName>
    <definedName name="DC_per_SU_RAB_real_prelim_model">Inputs!#REF!</definedName>
    <definedName name="DC_per_SU_real">'Cost+ Operating Margin'!$N$25:$X$25</definedName>
    <definedName name="DC_per_SU_real__RAB_only_">RAB!$N$114:$X$114</definedName>
    <definedName name="DC_per_SU_real_from_2026">'Cost+ Operating Margin'!$N$70:$X$70</definedName>
    <definedName name="Determined_Cost_from_2026_nominal__RAB_Only_">RAB!$N$244:$X$244</definedName>
    <definedName name="Determined_Cost_from_2026_nominal_Opex_prelim_model">Inputs!#REF!</definedName>
    <definedName name="Determined_Cost_from_2026_Nominal_RAB_prelim_model">Inputs!#REF!</definedName>
    <definedName name="Determined_Cost_from_2026_real__10_year_period_">RAB!$N$328:$X$328</definedName>
    <definedName name="Determined_Cost_from_2026_real__NR23_period_">RAB!$N$278:$X$278</definedName>
    <definedName name="Determined_Cost_from_2026_Real__RAB_only_">RAB!$N$223:$X$223</definedName>
    <definedName name="Determined_Cost_from_2026_Real__RAB_only__Terminal_Value_">RAB!$N$262:$X$262</definedName>
    <definedName name="Determined_Cost_from_2026_real_Opex_prelim_model">Inputs!#REF!</definedName>
    <definedName name="Determined_Cost_from_2026_real_RAB_prelim_model">Inputs!#REF!</definedName>
    <definedName name="Determined_Cost_nominal_from_2026">'Cost+ Operating Margin'!$N$77:$X$77</definedName>
    <definedName name="Determined_Cost_Real">'Cost+ Operating Margin'!$N$13:$X$13</definedName>
    <definedName name="Determined_costs_for_RAB_Real_for_2026_only">RAB!$N$196:$X$196</definedName>
    <definedName name="Determined_Costs_Real__RAB_only_">RAB!$N$102:$X$102</definedName>
    <definedName name="Determined_costs_real_for_2026_only">'Cost+ Operating Margin'!$N$43:$X$43</definedName>
    <definedName name="Determined_costs_real_for_NR23___RAB_only_">RAB!$N$190:$X$190</definedName>
    <definedName name="Determined_costs_real_for_NR23_only">'Cost+ Operating Margin'!$N$37:$X$37</definedName>
    <definedName name="Determined_costs_real_from_2026">'Cost+ Operating Margin'!$N$58:$X$58</definedName>
    <definedName name="Determined_costs_real_from_2026__10_year_period_">'Cost+ Operating Margin'!$N$154:$X$154</definedName>
    <definedName name="Determined_costs_real_from_2026__NR23_period_">'Cost+ Operating Margin'!$N$117:$X$117</definedName>
    <definedName name="Estimated_annual_costs_of_providing_the_UKADS_and_the_Support_Fund_10_year">'Scenarios Chosen'!$N$68:$X$68</definedName>
    <definedName name="Estimated_annual_costs_of_providing_the_UKADS_and_the_Support_Fund_NR23">'Scenarios Chosen'!$N$32:$X$32</definedName>
    <definedName name="Estimated_total_cost_of_providing_the_UKADS_and_the_Support_Fund_10_year" xml:space="preserve"> 'Scenarios Chosen'!$F$73</definedName>
    <definedName name="Estimated_total_cost_of_providing_the_UKADS_and_the_Support_Fund_NR23" xml:space="preserve"> 'Scenarios Chosen'!$F$37</definedName>
    <definedName name="factor_dividing_the_determined_costs_for_2026_and_2027" xml:space="preserve"> Inputs!$F$27</definedName>
    <definedName name="Financial_year_end_month" xml:space="preserve"> Inputs!$F$21</definedName>
    <definedName name="FirstRow">Inputs!$A$7</definedName>
    <definedName name="FirstTime">Inputs!$N$1</definedName>
    <definedName name="Flights">Inputs!$N$52:$X$52</definedName>
    <definedName name="Forecast_Closing_RAB_for_10_year_period_only">RAB!$N$365:$X$365</definedName>
    <definedName name="Forecast_closing_RAB_for_NR23_period">RAB!$N$320:$X$320</definedName>
    <definedName name="Forecast_CPI__growth_from_2030" xml:space="preserve"> Inputs!$F$31</definedName>
    <definedName name="Forecast_RAB_for_NR23_period">RAB!$N$313:$X$313</definedName>
    <definedName name="Headings">Inputs!$E$2:$E$5</definedName>
    <definedName name="Initial_Calculations_Determined_Cost_Real_from_2026">'Cost+ Operating Margin'!$N$52:$X$52</definedName>
    <definedName name="Initial_Calculations_Determined_Cost_Real_from_2026__RAB_only_">RAB!$N$205:$X$205</definedName>
    <definedName name="Label">Inputs!$E$1</definedName>
    <definedName name="MasterALERT" localSheetId="5">'Cost+ Operating Margin'!$F$3</definedName>
    <definedName name="MasterALERT" localSheetId="2">Inputs!$F$3</definedName>
    <definedName name="MasterALERT" localSheetId="7">'Operating Cost + Margin Report'!$F$3</definedName>
    <definedName name="MasterALERT" localSheetId="4">RAB!$F$3</definedName>
    <definedName name="MasterALERT" localSheetId="8">'RAB model Report'!$F$3</definedName>
    <definedName name="MasterALERT" localSheetId="6">'Scenarios Chosen'!$F$3</definedName>
    <definedName name="MasterALERT" localSheetId="3">Time!$F$3</definedName>
    <definedName name="MasterCHK" localSheetId="5">'Cost+ Operating Margin'!$F$2</definedName>
    <definedName name="MasterCHK" localSheetId="2">Inputs!$F$2</definedName>
    <definedName name="MasterCHK" localSheetId="7">'Operating Cost + Margin Report'!$F$2</definedName>
    <definedName name="MasterCHK" localSheetId="4">RAB!$F$2</definedName>
    <definedName name="MasterCHK" localSheetId="8">'RAB model Report'!$F$2</definedName>
    <definedName name="MasterCHK" localSheetId="6">'Scenarios Chosen'!$F$2</definedName>
    <definedName name="MasterCHK" localSheetId="3">Time!$F$2</definedName>
    <definedName name="Model_period_end">Time!$N$29:$X$29</definedName>
    <definedName name="Model_period_start">Time!$N$40:$X$40</definedName>
    <definedName name="Months_per_period" xml:space="preserve"> Inputs!$F$20</definedName>
    <definedName name="Net_Capex_for_the_year">RAB!$N$21:$X$21</definedName>
    <definedName name="NPV_Determined_Cost_from_2026_Real__RAB_only_" xml:space="preserve"> RAB!$F$268</definedName>
    <definedName name="NPV_Operating_cost___Margin" xml:space="preserve"> 'Cost+ Operating Margin'!$F$107</definedName>
    <definedName name="NR23_beginning_date" xml:space="preserve"> Inputs!$F$14</definedName>
    <definedName name="NR23_end_date" xml:space="preserve"> Inputs!$F$26</definedName>
    <definedName name="NR23_flag">Time!$N$58:$X$58</definedName>
    <definedName name="NR23_specific_date_date" xml:space="preserve"> Inputs!$F$15</definedName>
    <definedName name="NR23_specific_date_flag">Time!$N$94:$X$94</definedName>
    <definedName name="NR33__Closing_RAB_end_date__date" xml:space="preserve"> Inputs!$F$16</definedName>
    <definedName name="NR33__Closing_RAB_end_date__flag">Time!$N$85:$X$85</definedName>
    <definedName name="obxIssuesLog">#REF!</definedName>
    <definedName name="Operating_Margin_for_Opex" xml:space="preserve"> Inputs!$F$33</definedName>
    <definedName name="Operating_Margin_for_RAB" xml:space="preserve"> Inputs!$F$34</definedName>
    <definedName name="Opex_Nominal_Determined_Cost_from_2026_check">#REF!</definedName>
    <definedName name="Opex_Nominal_Determined_Cost_from_2026_check_overall">#REF!</definedName>
    <definedName name="Opex_Real">RAB!$N$93:$X$93</definedName>
    <definedName name="Opex_Real_Determined_Cost_from_2026_check">#REF!</definedName>
    <definedName name="Opex_Real_Determined_Cost_from_2026_check_overall">#REF!</definedName>
    <definedName name="Passengers__PAX__per_flight" xml:space="preserve"> Inputs!$F$35</definedName>
    <definedName name="Period_number">Time!$N$33:$X$33</definedName>
    <definedName name="Proportion_of_first_year_RAB_additions_in_depreciation" xml:space="preserve"> Inputs!$F$30</definedName>
    <definedName name="RAB">RAB!$N$29:$X$29</definedName>
    <definedName name="RAB.BEG">RAB!$N$25:$X$25</definedName>
    <definedName name="RAB_depreciation_by_Year.1" xml:space="preserve"> Inputs!$F$56</definedName>
    <definedName name="RAB_depreciation_by_Year.10" xml:space="preserve"> Inputs!$F$65</definedName>
    <definedName name="RAB_depreciation_by_Year.11" xml:space="preserve"> Inputs!$F$66</definedName>
    <definedName name="RAB_depreciation_by_Year.2" xml:space="preserve"> Inputs!$F$57</definedName>
    <definedName name="RAB_depreciation_by_Year.3" xml:space="preserve"> Inputs!$F$58</definedName>
    <definedName name="RAB_depreciation_by_Year.4" xml:space="preserve"> Inputs!$F$59</definedName>
    <definedName name="RAB_depreciation_by_Year.5" xml:space="preserve"> Inputs!$F$60</definedName>
    <definedName name="RAB_depreciation_by_Year.6" xml:space="preserve"> Inputs!$F$61</definedName>
    <definedName name="RAB_depreciation_by_Year.7" xml:space="preserve"> Inputs!$F$62</definedName>
    <definedName name="RAB_depreciation_by_Year.8" xml:space="preserve"> Inputs!$F$63</definedName>
    <definedName name="RAB_depreciation_by_Year.9" xml:space="preserve"> Inputs!$F$64</definedName>
    <definedName name="RAB_depreciation_nominal.1">RAB!$N$152:$X$152</definedName>
    <definedName name="RAB_depreciation_nominal.10">RAB!$N$161:$X$161</definedName>
    <definedName name="RAB_depreciation_nominal.11">RAB!$N$162:$X$162</definedName>
    <definedName name="RAB_depreciation_nominal.2">RAB!$N$153:$X$153</definedName>
    <definedName name="RAB_depreciation_nominal.3">RAB!$N$154:$X$154</definedName>
    <definedName name="RAB_depreciation_nominal.4">RAB!$N$155:$X$155</definedName>
    <definedName name="RAB_depreciation_nominal.5">RAB!$N$156:$X$156</definedName>
    <definedName name="RAB_depreciation_nominal.6">RAB!$N$157:$X$157</definedName>
    <definedName name="RAB_depreciation_nominal.7">RAB!$N$158:$X$158</definedName>
    <definedName name="RAB_depreciation_nominal.8">RAB!$N$159:$X$159</definedName>
    <definedName name="RAB_depreciation_nominal.9">RAB!$N$160:$X$160</definedName>
    <definedName name="RAB_Indexation">RAB!$N$34:$X$34</definedName>
    <definedName name="RAB_Nominal_Determined_Cost_from_2026_check">#REF!</definedName>
    <definedName name="RAB_Nominal_Determined_Cost_from_2026_check_overall">#REF!</definedName>
    <definedName name="RAB_Real_Determined_Cost_from_2026_check">#REF!</definedName>
    <definedName name="RAB_Real_Determined_Cost_from_2026_check_overall">#REF!</definedName>
    <definedName name="Real_Return" xml:space="preserve"> Inputs!$F$25</definedName>
    <definedName name="Real_Social_Time_Preference_Rate" xml:space="preserve"> Inputs!$F$70</definedName>
    <definedName name="Regulatory_return_nominal">RAB!$N$48:$X$48</definedName>
    <definedName name="Regulatory_return_real">RAB!$N$56:$X$56</definedName>
    <definedName name="ReportBarFormat">Contents!$A$5</definedName>
    <definedName name="Service_Units">Inputs!$N$53:$X$53</definedName>
    <definedName name="Slow_Money">RAB!$N$14:$X$14</definedName>
    <definedName name="Start_date" xml:space="preserve"> Inputs!$F$19</definedName>
    <definedName name="Straight_line_depreciation__" xml:space="preserve"> RAB!$F$74</definedName>
    <definedName name="Timeline_label">Inputs!$N$76:$X$76</definedName>
    <definedName name="TimeRow">Inputs!$A$2</definedName>
    <definedName name="TOCFirstLine">Contents!$A$6</definedName>
    <definedName name="TOCobxCost__Operating_Margin">'Cost+ Operating Margin'!$A$1</definedName>
    <definedName name="TOCobxCost__Operating_Margin.Calculations_for_Final_reporting">'Cost+ Operating Margin'!$A$112</definedName>
    <definedName name="TOCobxCost__Operating_Margin.Calculations_for_Final_reporting.10_year_period">'Cost+ Operating Margin'!$A$151</definedName>
    <definedName name="TOCobxCost__Operating_Margin.Calculations_for_Final_reporting.NR23_period">'Cost+ Operating Margin'!$A$114</definedName>
    <definedName name="TOCobxInputs">Inputs!$A$1</definedName>
    <definedName name="TOCobxInputs.Dates">Inputs!$A$10</definedName>
    <definedName name="TOCobxInputs.Headers">Inputs!$A$18</definedName>
    <definedName name="TOCobxInputs.Model_Constants">Inputs!$A$23</definedName>
    <definedName name="TOCobxInputs.Model_Constants.Model_Scenarios">Inputs!$B$38</definedName>
    <definedName name="TOCobxInputs.Model_Constants.Model_Scenarios.Time_based">Inputs!$C$50</definedName>
    <definedName name="TOCobxInputs.Model_Constants.Model_Scenarios.Time_based.RAB_Input">Inputs!$D$55</definedName>
    <definedName name="TOCobxInputs.Results_from_preliminary_model">Inputs!#REF!</definedName>
    <definedName name="TOCobxModel_Checks_and_Alerts">#REF!</definedName>
    <definedName name="TOCobxModel_Checks_and_Alerts.Model_Checks">#REF!</definedName>
    <definedName name="TOCobxRAB">RAB!$A$1</definedName>
    <definedName name="TOCobxRAB.Calculations_for_Final_reporting">RAB!$A$273</definedName>
    <definedName name="TOCobxRAB.Calculations_for_Final_reporting.10_year_period">RAB!$A$325</definedName>
    <definedName name="TOCobxRAB.Calculations_for_Final_reporting.NR23_period">RAB!$A$275</definedName>
    <definedName name="TOCobxRAB.RAB_calculations">RAB!$A$45</definedName>
    <definedName name="TOCobxScenarios_Chosen">'Scenarios Chosen'!$A$1</definedName>
    <definedName name="TOCobxScenarios_Chosen.Calculations_for_Final_reporting">'Scenarios Chosen'!$A$26</definedName>
    <definedName name="TOCobxScenarios_Chosen.Calculations_for_Final_reporting.10_year_period">'Scenarios Chosen'!$A$64</definedName>
    <definedName name="TOCobxScenarios_Chosen.Calculations_for_Final_reporting.NR23_period">'Scenarios Chosen'!$A$28</definedName>
    <definedName name="TOCobxTime">Time!$A$1</definedName>
    <definedName name="TOCobxTime.2025_flag_1">Time!$A$63</definedName>
    <definedName name="TOCobxTime.2026_flag_1">Time!$A$72</definedName>
    <definedName name="TOCobxTime.CPI_Calculations">Time!$A$10</definedName>
    <definedName name="TOCobxTime.CPI_Index_forecast_flag_1">Time!$A$45</definedName>
    <definedName name="TOCobxTime.Headers">Time!$A$26</definedName>
    <definedName name="TOCobxTime.NR23_flag_1">Time!$A$53</definedName>
    <definedName name="TOCobxTime.NR23_specific_date_flag_1">Time!$A$90</definedName>
    <definedName name="TOCobxTime.NR33__Closing_RAB_end_date__flag_1">Time!$A$81</definedName>
    <definedName name="TOCobxUnallocated">#REF!</definedName>
    <definedName name="TOCrepobxOperating_Cost___Margin_Report_Year">'Operating Cost + Margin Report'!$A$8</definedName>
    <definedName name="TOCrepobxRAB_model_Report_Year">'RAB model Report'!$A$8</definedName>
    <definedName name="Total_Determined_Cost_from_2026_real__10_year_period_" xml:space="preserve"> RAB!$F$333</definedName>
    <definedName name="Total_Determined_Cost_from_2026_real__NR23_period_" xml:space="preserve"> RAB!$F$283</definedName>
    <definedName name="Total_Determined_costs_real_from_2026__10_year_period_" xml:space="preserve"> 'Cost+ Operating Margin'!$F$159</definedName>
    <definedName name="Total_Determined_costs_real_from_2026__NR23_period_" xml:space="preserve"> 'Cost+ Operating Margin'!$F$122</definedName>
    <definedName name="Total_Flights_forecast_for_10_year_period__2026_start_" xml:space="preserve"> 'Scenarios Chosen'!$F$95</definedName>
    <definedName name="Total_Flights_forecast_for_NR23_period__2026_start_" xml:space="preserve"> 'Scenarios Chosen'!$F$59</definedName>
    <definedName name="Total_RAB_depreciation">RAB!$N$177:$X$177</definedName>
    <definedName name="Total_RAB_depreciation_real">RAB!$N$184:$X$184</definedName>
    <definedName name="Total_Service_Units_forecast_for_10_year_period__2026_start_" xml:space="preserve"> 'Scenarios Chosen'!$F$84</definedName>
    <definedName name="Total_Service_Units_forecast_for_NR23_period__2026_start_" xml:space="preserve"> 'Scenarios Chosen'!$F$48</definedName>
    <definedName name="Totals">Inputs!$L$5</definedName>
    <definedName name="UK_corporation_tax_rate" xml:space="preserve"> Inputs!$F$28</definedName>
    <definedName name="UK_en_route_rate" xml:space="preserve"> Inputs!$F$36</definedName>
    <definedName name="UKADS1_costs_are_capex__slow_money__ratio" xml:space="preserve"> Inputs!$F$69</definedName>
    <definedName name="UKADS1_costs_are_opex__fast_money__ratio" xml:space="preserve"> RAB!$F$79</definedName>
    <definedName name="UKADS1_scenario_chosen">'Scenarios Chosen'!$N$21:$X$21</definedName>
    <definedName name="UKADS1_scenarios" xml:space="preserve"> Inputs!$F$48</definedName>
    <definedName name="UKADSF_costs_are_capex__slow_money__ratio" xml:space="preserve"> Inputs!$F$68</definedName>
    <definedName name="UKADSF_costs_are_opex__fast_money__ratio" xml:space="preserve"> RAB!$F$84</definedName>
    <definedName name="UKADSF_scenarios" xml:space="preserve"> Inputs!$F$47</definedName>
    <definedName name="UKADSF_scenarios_chosen">'Scenarios Chosen'!$N$13:$X$13</definedName>
    <definedName name="Units">Inputs!$G$1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0" i="5" l="1"/>
  <c r="F28" i="10" s="1"/>
  <c r="F365" i="5"/>
  <c r="X94" i="6"/>
  <c r="W94" i="6"/>
  <c r="V94" i="6"/>
  <c r="U94" i="6"/>
  <c r="T94" i="6"/>
  <c r="S94" i="6"/>
  <c r="R94" i="6"/>
  <c r="Q94" i="6"/>
  <c r="P94" i="6"/>
  <c r="O94" i="6"/>
  <c r="N94" i="6"/>
  <c r="M94" i="6"/>
  <c r="L94" i="6"/>
  <c r="K94" i="6"/>
  <c r="J94" i="6"/>
  <c r="I94" i="6"/>
  <c r="H94" i="6"/>
  <c r="G94" i="6"/>
  <c r="F94" i="6"/>
  <c r="E94" i="6"/>
  <c r="G9" i="6" l="1"/>
  <c r="F9" i="6"/>
  <c r="F97" i="5"/>
  <c r="G97" i="5"/>
  <c r="M37" i="10"/>
  <c r="G37" i="10"/>
  <c r="F37" i="10"/>
  <c r="E37" i="10"/>
  <c r="D50"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8" i="14"/>
  <c r="D7" i="14"/>
  <c r="D6" i="14"/>
  <c r="D5" i="14"/>
  <c r="D4" i="14"/>
  <c r="D3" i="14"/>
  <c r="D2" i="14"/>
  <c r="G36" i="10"/>
  <c r="E36" i="10"/>
  <c r="G35" i="10"/>
  <c r="E35" i="10"/>
  <c r="G34" i="10"/>
  <c r="E34" i="10"/>
  <c r="G33" i="10"/>
  <c r="E33" i="10"/>
  <c r="G32" i="10"/>
  <c r="E32" i="10"/>
  <c r="G31" i="10"/>
  <c r="E31" i="10"/>
  <c r="G30" i="10"/>
  <c r="E30" i="10"/>
  <c r="G29" i="10"/>
  <c r="E29" i="10"/>
  <c r="M28" i="10"/>
  <c r="G28" i="10"/>
  <c r="E28" i="10"/>
  <c r="G27" i="10"/>
  <c r="E27" i="10"/>
  <c r="G26" i="10"/>
  <c r="E26" i="10"/>
  <c r="G25" i="10"/>
  <c r="E25" i="10"/>
  <c r="G24" i="10"/>
  <c r="E24" i="10"/>
  <c r="G23" i="10"/>
  <c r="E23" i="10"/>
  <c r="G22" i="10"/>
  <c r="F22" i="10"/>
  <c r="E22" i="10"/>
  <c r="G21" i="10"/>
  <c r="F21" i="10"/>
  <c r="E21" i="10"/>
  <c r="G20" i="10"/>
  <c r="E20" i="10"/>
  <c r="G19" i="10"/>
  <c r="E19" i="10"/>
  <c r="G18" i="10"/>
  <c r="E18" i="10"/>
  <c r="G17" i="10"/>
  <c r="E17" i="10"/>
  <c r="M16" i="10"/>
  <c r="G16" i="10"/>
  <c r="F16" i="10"/>
  <c r="E16" i="10"/>
  <c r="M15" i="10"/>
  <c r="L15" i="10"/>
  <c r="G15" i="10"/>
  <c r="F15" i="10"/>
  <c r="E15" i="10"/>
  <c r="L14" i="10"/>
  <c r="G14" i="10"/>
  <c r="F14" i="10"/>
  <c r="E14" i="10"/>
  <c r="M13" i="10"/>
  <c r="G13" i="10"/>
  <c r="F13" i="10"/>
  <c r="E13" i="10"/>
  <c r="M12" i="10"/>
  <c r="G12" i="10"/>
  <c r="F12" i="10"/>
  <c r="E12" i="10"/>
  <c r="M11" i="10"/>
  <c r="G11" i="10"/>
  <c r="F11" i="10"/>
  <c r="E11" i="10"/>
  <c r="M10" i="10"/>
  <c r="G10" i="10"/>
  <c r="F10" i="10"/>
  <c r="E10" i="10"/>
  <c r="M9" i="10"/>
  <c r="G9" i="10"/>
  <c r="F9" i="10"/>
  <c r="E9" i="10"/>
  <c r="M8" i="10"/>
  <c r="G8" i="10"/>
  <c r="F8" i="10"/>
  <c r="E8" i="10"/>
  <c r="X2" i="10"/>
  <c r="W2" i="10"/>
  <c r="V2" i="10"/>
  <c r="U2" i="10"/>
  <c r="T2" i="10"/>
  <c r="S2" i="10"/>
  <c r="R2" i="10"/>
  <c r="Q2" i="10"/>
  <c r="P2" i="10"/>
  <c r="O2" i="10"/>
  <c r="N2" i="10"/>
  <c r="F1" i="10"/>
  <c r="A1" i="10"/>
  <c r="G34" i="9"/>
  <c r="E34" i="9"/>
  <c r="G33" i="9"/>
  <c r="E33" i="9"/>
  <c r="G32" i="9"/>
  <c r="E32" i="9"/>
  <c r="G31" i="9"/>
  <c r="E31" i="9"/>
  <c r="G30" i="9"/>
  <c r="E30" i="9"/>
  <c r="G29" i="9"/>
  <c r="E29" i="9"/>
  <c r="G28" i="9"/>
  <c r="E28" i="9"/>
  <c r="G27" i="9"/>
  <c r="E27" i="9"/>
  <c r="G26" i="9"/>
  <c r="E26" i="9"/>
  <c r="G25" i="9"/>
  <c r="E25" i="9"/>
  <c r="G24" i="9"/>
  <c r="E24" i="9"/>
  <c r="G23" i="9"/>
  <c r="E23" i="9"/>
  <c r="G22" i="9"/>
  <c r="E22" i="9"/>
  <c r="G21" i="9"/>
  <c r="F21" i="9"/>
  <c r="E21" i="9"/>
  <c r="G20" i="9"/>
  <c r="F20" i="9"/>
  <c r="E20" i="9"/>
  <c r="G19" i="9"/>
  <c r="E19" i="9"/>
  <c r="G18" i="9"/>
  <c r="E18" i="9"/>
  <c r="G17" i="9"/>
  <c r="E17" i="9"/>
  <c r="G16" i="9"/>
  <c r="E16" i="9"/>
  <c r="M15" i="9"/>
  <c r="L15" i="9"/>
  <c r="G15" i="9"/>
  <c r="F15" i="9"/>
  <c r="E15" i="9"/>
  <c r="M14" i="9"/>
  <c r="G14" i="9"/>
  <c r="F14" i="9"/>
  <c r="E14" i="9"/>
  <c r="M13" i="9"/>
  <c r="G13" i="9"/>
  <c r="F13" i="9"/>
  <c r="E13" i="9"/>
  <c r="M12" i="9"/>
  <c r="G12" i="9"/>
  <c r="F12" i="9"/>
  <c r="E12" i="9"/>
  <c r="M11" i="9"/>
  <c r="G11" i="9"/>
  <c r="F11" i="9"/>
  <c r="E11" i="9"/>
  <c r="M10" i="9"/>
  <c r="G10" i="9"/>
  <c r="F10" i="9"/>
  <c r="E10" i="9"/>
  <c r="M9" i="9"/>
  <c r="G9" i="9"/>
  <c r="F9" i="9"/>
  <c r="E9" i="9"/>
  <c r="M8" i="9"/>
  <c r="G8" i="9"/>
  <c r="F8" i="9"/>
  <c r="E8" i="9"/>
  <c r="X2" i="9"/>
  <c r="W2" i="9"/>
  <c r="V2" i="9"/>
  <c r="U2" i="9"/>
  <c r="T2" i="9"/>
  <c r="S2" i="9"/>
  <c r="R2" i="9"/>
  <c r="Q2" i="9"/>
  <c r="P2" i="9"/>
  <c r="O2" i="9"/>
  <c r="N2" i="9"/>
  <c r="F1" i="9"/>
  <c r="A1" i="9"/>
  <c r="M94" i="7"/>
  <c r="G94" i="7"/>
  <c r="F94" i="7"/>
  <c r="E94" i="7"/>
  <c r="X89" i="7"/>
  <c r="W89" i="7"/>
  <c r="V89" i="7"/>
  <c r="U89" i="7"/>
  <c r="T89" i="7"/>
  <c r="S89" i="7"/>
  <c r="R89" i="7"/>
  <c r="Q89" i="7"/>
  <c r="P89" i="7"/>
  <c r="O89" i="7"/>
  <c r="N89" i="7"/>
  <c r="M89" i="7"/>
  <c r="G89" i="7"/>
  <c r="F89" i="7"/>
  <c r="E89" i="7"/>
  <c r="M88" i="7"/>
  <c r="L88" i="7"/>
  <c r="G88" i="7"/>
  <c r="F88" i="7"/>
  <c r="E88" i="7"/>
  <c r="M83" i="7"/>
  <c r="G83" i="7"/>
  <c r="F83" i="7"/>
  <c r="E83" i="7"/>
  <c r="X78" i="7"/>
  <c r="W78" i="7"/>
  <c r="V78" i="7"/>
  <c r="U78" i="7"/>
  <c r="T78" i="7"/>
  <c r="S78" i="7"/>
  <c r="R78" i="7"/>
  <c r="Q78" i="7"/>
  <c r="P78" i="7"/>
  <c r="O78" i="7"/>
  <c r="N78" i="7"/>
  <c r="M78" i="7"/>
  <c r="G78" i="7"/>
  <c r="F78" i="7"/>
  <c r="E78" i="7"/>
  <c r="M77" i="7"/>
  <c r="L77" i="7"/>
  <c r="G77" i="7"/>
  <c r="F77" i="7"/>
  <c r="E77" i="7"/>
  <c r="M72" i="7"/>
  <c r="G72" i="7"/>
  <c r="F72" i="7"/>
  <c r="E72" i="7"/>
  <c r="M67" i="7"/>
  <c r="G67" i="7"/>
  <c r="F67" i="7"/>
  <c r="E67" i="7"/>
  <c r="M66" i="7"/>
  <c r="G66" i="7"/>
  <c r="F66" i="7"/>
  <c r="E66" i="7"/>
  <c r="M65" i="7"/>
  <c r="L65" i="7"/>
  <c r="G65" i="7"/>
  <c r="F65" i="7"/>
  <c r="E65" i="7"/>
  <c r="M58" i="7"/>
  <c r="G58" i="7"/>
  <c r="F58" i="7"/>
  <c r="E58" i="7"/>
  <c r="X53" i="7"/>
  <c r="W53" i="7"/>
  <c r="V53" i="7"/>
  <c r="U53" i="7"/>
  <c r="T53" i="7"/>
  <c r="S53" i="7"/>
  <c r="R53" i="7"/>
  <c r="Q53" i="7"/>
  <c r="P53" i="7"/>
  <c r="O53" i="7"/>
  <c r="N53" i="7"/>
  <c r="M53" i="7"/>
  <c r="G53" i="7"/>
  <c r="F53" i="7"/>
  <c r="E53" i="7"/>
  <c r="M52" i="7"/>
  <c r="L52" i="7"/>
  <c r="G52" i="7"/>
  <c r="F52" i="7"/>
  <c r="E52" i="7"/>
  <c r="M47" i="7"/>
  <c r="G47" i="7"/>
  <c r="F47" i="7"/>
  <c r="E47" i="7"/>
  <c r="X42" i="7"/>
  <c r="W42" i="7"/>
  <c r="V42" i="7"/>
  <c r="U42" i="7"/>
  <c r="T42" i="7"/>
  <c r="S42" i="7"/>
  <c r="R42" i="7"/>
  <c r="Q42" i="7"/>
  <c r="P42" i="7"/>
  <c r="O42" i="7"/>
  <c r="N42" i="7"/>
  <c r="M42" i="7"/>
  <c r="G42" i="7"/>
  <c r="F42" i="7"/>
  <c r="E42" i="7"/>
  <c r="M41" i="7"/>
  <c r="L41" i="7"/>
  <c r="G41" i="7"/>
  <c r="F41" i="7"/>
  <c r="E41" i="7"/>
  <c r="M36" i="7"/>
  <c r="G36" i="7"/>
  <c r="F36" i="7"/>
  <c r="E36" i="7"/>
  <c r="M31" i="7"/>
  <c r="G31" i="7"/>
  <c r="F31" i="7"/>
  <c r="E31" i="7"/>
  <c r="M30" i="7"/>
  <c r="G30" i="7"/>
  <c r="F30" i="7"/>
  <c r="E30" i="7"/>
  <c r="M29" i="7"/>
  <c r="G29" i="7"/>
  <c r="F29" i="7"/>
  <c r="E29" i="7"/>
  <c r="X20" i="7"/>
  <c r="W20" i="7"/>
  <c r="V20" i="7"/>
  <c r="U20" i="7"/>
  <c r="T20" i="7"/>
  <c r="S20" i="7"/>
  <c r="R20" i="7"/>
  <c r="Q20" i="7"/>
  <c r="P20" i="7"/>
  <c r="O20" i="7"/>
  <c r="N20" i="7"/>
  <c r="M20" i="7"/>
  <c r="G20" i="7"/>
  <c r="F20" i="7"/>
  <c r="E20" i="7"/>
  <c r="X19" i="7"/>
  <c r="W19" i="7"/>
  <c r="V19" i="7"/>
  <c r="U19" i="7"/>
  <c r="T19" i="7"/>
  <c r="S19" i="7"/>
  <c r="R19" i="7"/>
  <c r="Q19" i="7"/>
  <c r="P19" i="7"/>
  <c r="O19" i="7"/>
  <c r="N19" i="7"/>
  <c r="M19" i="7"/>
  <c r="G19" i="7"/>
  <c r="F19" i="7"/>
  <c r="E19" i="7"/>
  <c r="X18" i="7"/>
  <c r="W18" i="7"/>
  <c r="V18" i="7"/>
  <c r="U18" i="7"/>
  <c r="T18" i="7"/>
  <c r="S18" i="7"/>
  <c r="R18" i="7"/>
  <c r="Q18" i="7"/>
  <c r="P18" i="7"/>
  <c r="O18" i="7"/>
  <c r="N18" i="7"/>
  <c r="M18" i="7"/>
  <c r="G18" i="7"/>
  <c r="F18" i="7"/>
  <c r="E18" i="7"/>
  <c r="G17" i="7"/>
  <c r="F17" i="7"/>
  <c r="E17" i="7"/>
  <c r="X12" i="7"/>
  <c r="W12" i="7"/>
  <c r="V12" i="7"/>
  <c r="U12" i="7"/>
  <c r="T12" i="7"/>
  <c r="S12" i="7"/>
  <c r="R12" i="7"/>
  <c r="Q12" i="7"/>
  <c r="P12" i="7"/>
  <c r="O12" i="7"/>
  <c r="N12" i="7"/>
  <c r="M12" i="7"/>
  <c r="G12" i="7"/>
  <c r="F12" i="7"/>
  <c r="E12" i="7"/>
  <c r="X11" i="7"/>
  <c r="W11" i="7"/>
  <c r="V11" i="7"/>
  <c r="U11" i="7"/>
  <c r="T11" i="7"/>
  <c r="S11" i="7"/>
  <c r="R11" i="7"/>
  <c r="Q11" i="7"/>
  <c r="P11" i="7"/>
  <c r="O11" i="7"/>
  <c r="N11" i="7"/>
  <c r="M11" i="7"/>
  <c r="G11" i="7"/>
  <c r="F11" i="7"/>
  <c r="E11" i="7"/>
  <c r="X10" i="7"/>
  <c r="W10" i="7"/>
  <c r="V10" i="7"/>
  <c r="U10" i="7"/>
  <c r="T10" i="7"/>
  <c r="S10" i="7"/>
  <c r="R10" i="7"/>
  <c r="Q10" i="7"/>
  <c r="P10" i="7"/>
  <c r="O10" i="7"/>
  <c r="N10" i="7"/>
  <c r="M10" i="7"/>
  <c r="G10" i="7"/>
  <c r="F10" i="7"/>
  <c r="E10" i="7"/>
  <c r="G9" i="7"/>
  <c r="F9" i="7"/>
  <c r="E9" i="7"/>
  <c r="X3" i="7"/>
  <c r="W3" i="7"/>
  <c r="V3" i="7"/>
  <c r="U3" i="7"/>
  <c r="T3" i="7"/>
  <c r="S3" i="7"/>
  <c r="R3" i="7"/>
  <c r="Q3" i="7"/>
  <c r="P3" i="7"/>
  <c r="O3" i="7"/>
  <c r="N3" i="7"/>
  <c r="F1" i="7"/>
  <c r="A1" i="7"/>
  <c r="G182" i="6"/>
  <c r="F182" i="6"/>
  <c r="E182" i="6"/>
  <c r="G181" i="6"/>
  <c r="E181" i="6"/>
  <c r="G176" i="6"/>
  <c r="F176" i="6"/>
  <c r="E176" i="6"/>
  <c r="G175" i="6"/>
  <c r="E175" i="6"/>
  <c r="G170" i="6"/>
  <c r="E170" i="6"/>
  <c r="G169" i="6"/>
  <c r="E169" i="6"/>
  <c r="G164" i="6"/>
  <c r="E164" i="6"/>
  <c r="G163" i="6"/>
  <c r="E163" i="6"/>
  <c r="M158" i="6"/>
  <c r="G158" i="6"/>
  <c r="F158" i="6"/>
  <c r="E158" i="6"/>
  <c r="M153" i="6"/>
  <c r="G153" i="6"/>
  <c r="F153" i="6"/>
  <c r="E153" i="6"/>
  <c r="M152" i="6"/>
  <c r="L152" i="6"/>
  <c r="G152" i="6"/>
  <c r="F152" i="6"/>
  <c r="E152" i="6"/>
  <c r="G145" i="6"/>
  <c r="F145" i="6"/>
  <c r="E145" i="6"/>
  <c r="G144" i="6"/>
  <c r="E144" i="6"/>
  <c r="G139" i="6"/>
  <c r="F139" i="6"/>
  <c r="E139" i="6"/>
  <c r="G138" i="6"/>
  <c r="E138" i="6"/>
  <c r="G133" i="6"/>
  <c r="E133" i="6"/>
  <c r="G132" i="6"/>
  <c r="E132" i="6"/>
  <c r="G127" i="6"/>
  <c r="E127" i="6"/>
  <c r="G126" i="6"/>
  <c r="E126" i="6"/>
  <c r="M121" i="6"/>
  <c r="G121" i="6"/>
  <c r="F121" i="6"/>
  <c r="E121" i="6"/>
  <c r="M116" i="6"/>
  <c r="G116" i="6"/>
  <c r="F116" i="6"/>
  <c r="E116" i="6"/>
  <c r="M115" i="6"/>
  <c r="L115" i="6"/>
  <c r="G115" i="6"/>
  <c r="F115" i="6"/>
  <c r="E115" i="6"/>
  <c r="M106" i="6"/>
  <c r="G106" i="6"/>
  <c r="F106" i="6"/>
  <c r="E106" i="6"/>
  <c r="G105" i="6"/>
  <c r="F105" i="6"/>
  <c r="E105" i="6"/>
  <c r="M100" i="6"/>
  <c r="G100" i="6"/>
  <c r="F100" i="6"/>
  <c r="E100" i="6"/>
  <c r="G99" i="6"/>
  <c r="F99" i="6"/>
  <c r="E99" i="6"/>
  <c r="G93" i="6"/>
  <c r="F93" i="6"/>
  <c r="T95" i="6" s="1"/>
  <c r="E93" i="6"/>
  <c r="X88" i="6"/>
  <c r="W88" i="6"/>
  <c r="V88" i="6"/>
  <c r="U88" i="6"/>
  <c r="T88" i="6"/>
  <c r="S88" i="6"/>
  <c r="R88" i="6"/>
  <c r="Q88" i="6"/>
  <c r="P88" i="6"/>
  <c r="O88" i="6"/>
  <c r="N88" i="6"/>
  <c r="M88" i="6"/>
  <c r="G88" i="6"/>
  <c r="F88" i="6"/>
  <c r="E88" i="6"/>
  <c r="M87" i="6"/>
  <c r="G87" i="6"/>
  <c r="F87" i="6"/>
  <c r="E87" i="6"/>
  <c r="X82" i="6"/>
  <c r="W82" i="6"/>
  <c r="V82" i="6"/>
  <c r="U82" i="6"/>
  <c r="T82" i="6"/>
  <c r="S82" i="6"/>
  <c r="R82" i="6"/>
  <c r="Q82" i="6"/>
  <c r="P82" i="6"/>
  <c r="O82" i="6"/>
  <c r="N82" i="6"/>
  <c r="M82" i="6"/>
  <c r="G82" i="6"/>
  <c r="F82" i="6"/>
  <c r="E82" i="6"/>
  <c r="M81" i="6"/>
  <c r="G81" i="6"/>
  <c r="F81" i="6"/>
  <c r="E81" i="6"/>
  <c r="M76" i="6"/>
  <c r="G76" i="6"/>
  <c r="F76" i="6"/>
  <c r="E76" i="6"/>
  <c r="M75" i="6"/>
  <c r="G75" i="6"/>
  <c r="F75" i="6"/>
  <c r="E75" i="6"/>
  <c r="G74" i="6"/>
  <c r="F74" i="6"/>
  <c r="E74" i="6"/>
  <c r="X69" i="6"/>
  <c r="W69" i="6"/>
  <c r="V69" i="6"/>
  <c r="U69" i="6"/>
  <c r="T69" i="6"/>
  <c r="S69" i="6"/>
  <c r="R69" i="6"/>
  <c r="Q69" i="6"/>
  <c r="P69" i="6"/>
  <c r="O69" i="6"/>
  <c r="N69" i="6"/>
  <c r="M69" i="6"/>
  <c r="G69" i="6"/>
  <c r="F69" i="6"/>
  <c r="E69" i="6"/>
  <c r="M68" i="6"/>
  <c r="G68" i="6"/>
  <c r="F68" i="6"/>
  <c r="E68" i="6"/>
  <c r="X63" i="6"/>
  <c r="W63" i="6"/>
  <c r="V63" i="6"/>
  <c r="U63" i="6"/>
  <c r="T63" i="6"/>
  <c r="S63" i="6"/>
  <c r="R63" i="6"/>
  <c r="Q63" i="6"/>
  <c r="P63" i="6"/>
  <c r="O63" i="6"/>
  <c r="N63" i="6"/>
  <c r="M63" i="6"/>
  <c r="G63" i="6"/>
  <c r="F63" i="6"/>
  <c r="E63" i="6"/>
  <c r="M62" i="6"/>
  <c r="G62" i="6"/>
  <c r="F62" i="6"/>
  <c r="E62" i="6"/>
  <c r="M57" i="6"/>
  <c r="G57" i="6"/>
  <c r="F57" i="6"/>
  <c r="E57" i="6"/>
  <c r="M56" i="6"/>
  <c r="G56" i="6"/>
  <c r="F56" i="6"/>
  <c r="E56" i="6"/>
  <c r="M51" i="6"/>
  <c r="G51" i="6"/>
  <c r="F51" i="6"/>
  <c r="E51" i="6"/>
  <c r="M50" i="6"/>
  <c r="G50" i="6"/>
  <c r="F50" i="6"/>
  <c r="E50" i="6"/>
  <c r="M49" i="6"/>
  <c r="G49" i="6"/>
  <c r="F49" i="6"/>
  <c r="E49" i="6"/>
  <c r="M48" i="6"/>
  <c r="G48" i="6"/>
  <c r="F48" i="6"/>
  <c r="E48" i="6"/>
  <c r="G47" i="6"/>
  <c r="F47" i="6"/>
  <c r="E47" i="6"/>
  <c r="M42" i="6"/>
  <c r="G42" i="6"/>
  <c r="F42" i="6"/>
  <c r="E42" i="6"/>
  <c r="M41" i="6"/>
  <c r="G41" i="6"/>
  <c r="F41" i="6"/>
  <c r="E41" i="6"/>
  <c r="M36" i="6"/>
  <c r="G36" i="6"/>
  <c r="F36" i="6"/>
  <c r="E36" i="6"/>
  <c r="G35" i="6"/>
  <c r="F35" i="6"/>
  <c r="E35" i="6"/>
  <c r="M30" i="6"/>
  <c r="G30" i="6"/>
  <c r="F30" i="6"/>
  <c r="E30" i="6"/>
  <c r="M29" i="6"/>
  <c r="G29" i="6"/>
  <c r="F29" i="6"/>
  <c r="E29" i="6"/>
  <c r="X24" i="6"/>
  <c r="W24" i="6"/>
  <c r="V24" i="6"/>
  <c r="U24" i="6"/>
  <c r="T24" i="6"/>
  <c r="S24" i="6"/>
  <c r="R24" i="6"/>
  <c r="Q24" i="6"/>
  <c r="P24" i="6"/>
  <c r="O24" i="6"/>
  <c r="N24" i="6"/>
  <c r="M24" i="6"/>
  <c r="G24" i="6"/>
  <c r="F24" i="6"/>
  <c r="E24" i="6"/>
  <c r="M23" i="6"/>
  <c r="G23" i="6"/>
  <c r="F23" i="6"/>
  <c r="E23" i="6"/>
  <c r="X18" i="6"/>
  <c r="W18" i="6"/>
  <c r="V18" i="6"/>
  <c r="U18" i="6"/>
  <c r="T18" i="6"/>
  <c r="S18" i="6"/>
  <c r="R18" i="6"/>
  <c r="Q18" i="6"/>
  <c r="P18" i="6"/>
  <c r="O18" i="6"/>
  <c r="N18" i="6"/>
  <c r="M18" i="6"/>
  <c r="G18" i="6"/>
  <c r="F18" i="6"/>
  <c r="E18" i="6"/>
  <c r="M17" i="6"/>
  <c r="G17" i="6"/>
  <c r="F17" i="6"/>
  <c r="E17" i="6"/>
  <c r="M12" i="6"/>
  <c r="G12" i="6"/>
  <c r="F12" i="6"/>
  <c r="E12" i="6"/>
  <c r="M11" i="6"/>
  <c r="G11" i="6"/>
  <c r="F11" i="6"/>
  <c r="E11" i="6"/>
  <c r="G10" i="6"/>
  <c r="F10" i="6"/>
  <c r="E10" i="6"/>
  <c r="X3" i="6"/>
  <c r="W3" i="6"/>
  <c r="V3" i="6"/>
  <c r="U3" i="6"/>
  <c r="T3" i="6"/>
  <c r="S3" i="6"/>
  <c r="R3" i="6"/>
  <c r="Q3" i="6"/>
  <c r="P3" i="6"/>
  <c r="O3" i="6"/>
  <c r="N3" i="6"/>
  <c r="F1" i="6"/>
  <c r="A1" i="6"/>
  <c r="M364" i="5"/>
  <c r="G364" i="5"/>
  <c r="F364" i="5"/>
  <c r="E364" i="5"/>
  <c r="M363" i="5"/>
  <c r="G363" i="5"/>
  <c r="F363" i="5"/>
  <c r="E363" i="5"/>
  <c r="L362" i="5"/>
  <c r="G362" i="5"/>
  <c r="F362" i="5"/>
  <c r="E362" i="5"/>
  <c r="G361" i="5"/>
  <c r="F361" i="5"/>
  <c r="E361" i="5"/>
  <c r="G356" i="5"/>
  <c r="F356" i="5"/>
  <c r="E356" i="5"/>
  <c r="G355" i="5"/>
  <c r="E355" i="5"/>
  <c r="G350" i="5"/>
  <c r="F350" i="5"/>
  <c r="E350" i="5"/>
  <c r="G349" i="5"/>
  <c r="E349" i="5"/>
  <c r="G344" i="5"/>
  <c r="E344" i="5"/>
  <c r="G343" i="5"/>
  <c r="E343" i="5"/>
  <c r="G338" i="5"/>
  <c r="E338" i="5"/>
  <c r="G337" i="5"/>
  <c r="E337" i="5"/>
  <c r="M332" i="5"/>
  <c r="G332" i="5"/>
  <c r="F332" i="5"/>
  <c r="E332" i="5"/>
  <c r="M327" i="5"/>
  <c r="G327" i="5"/>
  <c r="F327" i="5"/>
  <c r="E327" i="5"/>
  <c r="M326" i="5"/>
  <c r="L326" i="5"/>
  <c r="G326" i="5"/>
  <c r="F326" i="5"/>
  <c r="E326" i="5"/>
  <c r="M319" i="5"/>
  <c r="G319" i="5"/>
  <c r="F319" i="5"/>
  <c r="E319" i="5"/>
  <c r="M318" i="5"/>
  <c r="G318" i="5"/>
  <c r="F318" i="5"/>
  <c r="E318" i="5"/>
  <c r="G317" i="5"/>
  <c r="F317" i="5"/>
  <c r="E317" i="5"/>
  <c r="M312" i="5"/>
  <c r="G312" i="5"/>
  <c r="F312" i="5"/>
  <c r="E312" i="5"/>
  <c r="L311" i="5"/>
  <c r="G311" i="5"/>
  <c r="F311" i="5"/>
  <c r="E311" i="5"/>
  <c r="G306" i="5"/>
  <c r="F306" i="5"/>
  <c r="E306" i="5"/>
  <c r="G305" i="5"/>
  <c r="E305" i="5"/>
  <c r="G300" i="5"/>
  <c r="F300" i="5"/>
  <c r="E300" i="5"/>
  <c r="G299" i="5"/>
  <c r="E299" i="5"/>
  <c r="G294" i="5"/>
  <c r="E294" i="5"/>
  <c r="G293" i="5"/>
  <c r="E293" i="5"/>
  <c r="G288" i="5"/>
  <c r="E288" i="5"/>
  <c r="G287" i="5"/>
  <c r="E287" i="5"/>
  <c r="M282" i="5"/>
  <c r="G282" i="5"/>
  <c r="F282" i="5"/>
  <c r="E282" i="5"/>
  <c r="M277" i="5"/>
  <c r="G277" i="5"/>
  <c r="F277" i="5"/>
  <c r="E277" i="5"/>
  <c r="M276" i="5"/>
  <c r="L276" i="5"/>
  <c r="G276" i="5"/>
  <c r="F276" i="5"/>
  <c r="E276" i="5"/>
  <c r="M267" i="5"/>
  <c r="G267" i="5"/>
  <c r="F267" i="5"/>
  <c r="E267" i="5"/>
  <c r="G266" i="5"/>
  <c r="F266" i="5"/>
  <c r="E266" i="5"/>
  <c r="M261" i="5"/>
  <c r="G261" i="5"/>
  <c r="F261" i="5"/>
  <c r="E261" i="5"/>
  <c r="M260" i="5"/>
  <c r="G260" i="5"/>
  <c r="F260" i="5"/>
  <c r="E260" i="5"/>
  <c r="M255" i="5"/>
  <c r="G255" i="5"/>
  <c r="F255" i="5"/>
  <c r="E255" i="5"/>
  <c r="G254" i="5"/>
  <c r="F254" i="5"/>
  <c r="E254" i="5"/>
  <c r="M249" i="5"/>
  <c r="G249" i="5"/>
  <c r="F249" i="5"/>
  <c r="E249" i="5"/>
  <c r="G248" i="5"/>
  <c r="F248" i="5"/>
  <c r="E248" i="5"/>
  <c r="M243" i="5"/>
  <c r="G243" i="5"/>
  <c r="F243" i="5"/>
  <c r="E243" i="5"/>
  <c r="M242" i="5"/>
  <c r="G242" i="5"/>
  <c r="F242" i="5"/>
  <c r="E242" i="5"/>
  <c r="G241" i="5"/>
  <c r="F241" i="5"/>
  <c r="E241" i="5"/>
  <c r="M236" i="5"/>
  <c r="G236" i="5"/>
  <c r="F236" i="5"/>
  <c r="E236" i="5"/>
  <c r="M235" i="5"/>
  <c r="G235" i="5"/>
  <c r="F235" i="5"/>
  <c r="E235" i="5"/>
  <c r="G234" i="5"/>
  <c r="F234" i="5"/>
  <c r="E234" i="5"/>
  <c r="M229" i="5"/>
  <c r="G229" i="5"/>
  <c r="F229" i="5"/>
  <c r="E229" i="5"/>
  <c r="M228" i="5"/>
  <c r="G228" i="5"/>
  <c r="F228" i="5"/>
  <c r="E228" i="5"/>
  <c r="G227" i="5"/>
  <c r="F227" i="5"/>
  <c r="E227" i="5"/>
  <c r="M222" i="5"/>
  <c r="G222" i="5"/>
  <c r="F222" i="5"/>
  <c r="E222" i="5"/>
  <c r="M221" i="5"/>
  <c r="G221" i="5"/>
  <c r="F221" i="5"/>
  <c r="E221" i="5"/>
  <c r="X216" i="5"/>
  <c r="W216" i="5"/>
  <c r="V216" i="5"/>
  <c r="U216" i="5"/>
  <c r="T216" i="5"/>
  <c r="S216" i="5"/>
  <c r="R216" i="5"/>
  <c r="Q216" i="5"/>
  <c r="P216" i="5"/>
  <c r="O216" i="5"/>
  <c r="N216" i="5"/>
  <c r="M216" i="5"/>
  <c r="G216" i="5"/>
  <c r="F216" i="5"/>
  <c r="E216" i="5"/>
  <c r="M215" i="5"/>
  <c r="G215" i="5"/>
  <c r="F215" i="5"/>
  <c r="E215" i="5"/>
  <c r="X210" i="5"/>
  <c r="W210" i="5"/>
  <c r="V210" i="5"/>
  <c r="U210" i="5"/>
  <c r="T210" i="5"/>
  <c r="S210" i="5"/>
  <c r="R210" i="5"/>
  <c r="Q210" i="5"/>
  <c r="P210" i="5"/>
  <c r="O210" i="5"/>
  <c r="N210" i="5"/>
  <c r="M210" i="5"/>
  <c r="G210" i="5"/>
  <c r="F210" i="5"/>
  <c r="E210" i="5"/>
  <c r="M209" i="5"/>
  <c r="G209" i="5"/>
  <c r="F209" i="5"/>
  <c r="E209" i="5"/>
  <c r="M204" i="5"/>
  <c r="G204" i="5"/>
  <c r="F204" i="5"/>
  <c r="E204" i="5"/>
  <c r="M203" i="5"/>
  <c r="G203" i="5"/>
  <c r="F203" i="5"/>
  <c r="E203" i="5"/>
  <c r="M202" i="5"/>
  <c r="G202" i="5"/>
  <c r="F202" i="5"/>
  <c r="E202" i="5"/>
  <c r="M201" i="5"/>
  <c r="G201" i="5"/>
  <c r="F201" i="5"/>
  <c r="E201" i="5"/>
  <c r="G200" i="5"/>
  <c r="F200" i="5"/>
  <c r="E200" i="5"/>
  <c r="M195" i="5"/>
  <c r="G195" i="5"/>
  <c r="F195" i="5"/>
  <c r="E195" i="5"/>
  <c r="M194" i="5"/>
  <c r="G194" i="5"/>
  <c r="F194" i="5"/>
  <c r="E194" i="5"/>
  <c r="M189" i="5"/>
  <c r="G189" i="5"/>
  <c r="F189" i="5"/>
  <c r="E189" i="5"/>
  <c r="G188" i="5"/>
  <c r="F188" i="5"/>
  <c r="E188" i="5"/>
  <c r="M183" i="5"/>
  <c r="G183" i="5"/>
  <c r="F183" i="5"/>
  <c r="E183" i="5"/>
  <c r="M182" i="5"/>
  <c r="G182" i="5"/>
  <c r="F182" i="5"/>
  <c r="E182" i="5"/>
  <c r="G181" i="5"/>
  <c r="F181" i="5"/>
  <c r="E181" i="5"/>
  <c r="M176" i="5"/>
  <c r="G176" i="5"/>
  <c r="F176" i="5"/>
  <c r="E176" i="5"/>
  <c r="M175" i="5"/>
  <c r="G175" i="5"/>
  <c r="F175" i="5"/>
  <c r="E175" i="5"/>
  <c r="M174" i="5"/>
  <c r="G174" i="5"/>
  <c r="F174" i="5"/>
  <c r="E174" i="5"/>
  <c r="M173" i="5"/>
  <c r="G173" i="5"/>
  <c r="F173" i="5"/>
  <c r="E173" i="5"/>
  <c r="M172" i="5"/>
  <c r="G172" i="5"/>
  <c r="F172" i="5"/>
  <c r="E172" i="5"/>
  <c r="M171" i="5"/>
  <c r="G171" i="5"/>
  <c r="F171" i="5"/>
  <c r="E171" i="5"/>
  <c r="M170" i="5"/>
  <c r="G170" i="5"/>
  <c r="F170" i="5"/>
  <c r="E170" i="5"/>
  <c r="M169" i="5"/>
  <c r="G169" i="5"/>
  <c r="F169" i="5"/>
  <c r="E169" i="5"/>
  <c r="M168" i="5"/>
  <c r="G168" i="5"/>
  <c r="F168" i="5"/>
  <c r="E168" i="5"/>
  <c r="M167" i="5"/>
  <c r="G167" i="5"/>
  <c r="F167" i="5"/>
  <c r="E167" i="5"/>
  <c r="M166" i="5"/>
  <c r="G166" i="5"/>
  <c r="F166" i="5"/>
  <c r="E166" i="5"/>
  <c r="M151" i="5"/>
  <c r="G151" i="5"/>
  <c r="F151" i="5"/>
  <c r="E151" i="5"/>
  <c r="M150" i="5"/>
  <c r="L150" i="5"/>
  <c r="G150" i="5"/>
  <c r="F150" i="5"/>
  <c r="E150" i="5"/>
  <c r="G149" i="5"/>
  <c r="E149" i="5"/>
  <c r="G148" i="5"/>
  <c r="F148" i="5"/>
  <c r="E148" i="5"/>
  <c r="G147" i="5"/>
  <c r="F147" i="5"/>
  <c r="E147" i="5"/>
  <c r="G146" i="5"/>
  <c r="F146" i="5"/>
  <c r="E146" i="5"/>
  <c r="G145" i="5"/>
  <c r="F145" i="5"/>
  <c r="E145" i="5"/>
  <c r="G144" i="5"/>
  <c r="F144" i="5"/>
  <c r="E144" i="5"/>
  <c r="G143" i="5"/>
  <c r="F143" i="5"/>
  <c r="E143" i="5"/>
  <c r="G142" i="5"/>
  <c r="F142" i="5"/>
  <c r="E142" i="5"/>
  <c r="G141" i="5"/>
  <c r="F141" i="5"/>
  <c r="E141" i="5"/>
  <c r="G140" i="5"/>
  <c r="F140" i="5"/>
  <c r="E140" i="5"/>
  <c r="G139" i="5"/>
  <c r="F139" i="5"/>
  <c r="E139" i="5"/>
  <c r="G138" i="5"/>
  <c r="F138" i="5"/>
  <c r="E138" i="5"/>
  <c r="M133" i="5"/>
  <c r="G133" i="5"/>
  <c r="F133" i="5"/>
  <c r="E133" i="5"/>
  <c r="M132" i="5"/>
  <c r="G132" i="5"/>
  <c r="F132" i="5"/>
  <c r="E132" i="5"/>
  <c r="G131" i="5"/>
  <c r="F131" i="5"/>
  <c r="E131" i="5"/>
  <c r="M126" i="5"/>
  <c r="G126" i="5"/>
  <c r="F126" i="5"/>
  <c r="E126" i="5"/>
  <c r="M125" i="5"/>
  <c r="G125" i="5"/>
  <c r="F125" i="5"/>
  <c r="E125" i="5"/>
  <c r="G124" i="5"/>
  <c r="F124" i="5"/>
  <c r="E124" i="5"/>
  <c r="X119" i="5"/>
  <c r="W119" i="5"/>
  <c r="V119" i="5"/>
  <c r="U119" i="5"/>
  <c r="T119" i="5"/>
  <c r="S119" i="5"/>
  <c r="R119" i="5"/>
  <c r="Q119" i="5"/>
  <c r="P119" i="5"/>
  <c r="O119" i="5"/>
  <c r="N119" i="5"/>
  <c r="M119" i="5"/>
  <c r="G119" i="5"/>
  <c r="F119" i="5"/>
  <c r="E119" i="5"/>
  <c r="M118" i="5"/>
  <c r="G118" i="5"/>
  <c r="F118" i="5"/>
  <c r="E118" i="5"/>
  <c r="X113" i="5"/>
  <c r="W113" i="5"/>
  <c r="V113" i="5"/>
  <c r="U113" i="5"/>
  <c r="T113" i="5"/>
  <c r="S113" i="5"/>
  <c r="R113" i="5"/>
  <c r="Q113" i="5"/>
  <c r="P113" i="5"/>
  <c r="O113" i="5"/>
  <c r="N113" i="5"/>
  <c r="M113" i="5"/>
  <c r="G113" i="5"/>
  <c r="F113" i="5"/>
  <c r="E113" i="5"/>
  <c r="M112" i="5"/>
  <c r="G112" i="5"/>
  <c r="F112" i="5"/>
  <c r="E112" i="5"/>
  <c r="M107" i="5"/>
  <c r="G107" i="5"/>
  <c r="F107" i="5"/>
  <c r="E107" i="5"/>
  <c r="M106" i="5"/>
  <c r="G106" i="5"/>
  <c r="F106" i="5"/>
  <c r="E106" i="5"/>
  <c r="M101" i="5"/>
  <c r="G101" i="5"/>
  <c r="F101" i="5"/>
  <c r="E101" i="5"/>
  <c r="M100" i="5"/>
  <c r="G100" i="5"/>
  <c r="F100" i="5"/>
  <c r="E100" i="5"/>
  <c r="M99" i="5"/>
  <c r="G99" i="5"/>
  <c r="F99" i="5"/>
  <c r="E99" i="5"/>
  <c r="M98" i="5"/>
  <c r="G98" i="5"/>
  <c r="F98" i="5"/>
  <c r="E98" i="5"/>
  <c r="M92" i="5"/>
  <c r="G92" i="5"/>
  <c r="F92" i="5"/>
  <c r="E92" i="5"/>
  <c r="M91" i="5"/>
  <c r="G91" i="5"/>
  <c r="F91" i="5"/>
  <c r="E91" i="5"/>
  <c r="G90" i="5"/>
  <c r="E90" i="5"/>
  <c r="G89" i="5"/>
  <c r="F89" i="5"/>
  <c r="E89" i="5"/>
  <c r="G88" i="5"/>
  <c r="E88" i="5"/>
  <c r="G83" i="5"/>
  <c r="F83" i="5"/>
  <c r="F84" i="5" s="1"/>
  <c r="E83" i="5"/>
  <c r="G78" i="5"/>
  <c r="F78" i="5"/>
  <c r="F79" i="5" s="1"/>
  <c r="F88" i="5" s="1"/>
  <c r="E78" i="5"/>
  <c r="G73" i="5"/>
  <c r="F73" i="5"/>
  <c r="E73" i="5"/>
  <c r="G72" i="5"/>
  <c r="F72" i="5"/>
  <c r="E72" i="5"/>
  <c r="M67" i="5"/>
  <c r="G67" i="5"/>
  <c r="F67" i="5"/>
  <c r="E67" i="5"/>
  <c r="G66" i="5"/>
  <c r="F66" i="5"/>
  <c r="E66" i="5"/>
  <c r="M61" i="5"/>
  <c r="G61" i="5"/>
  <c r="F61" i="5"/>
  <c r="E61" i="5"/>
  <c r="G60" i="5"/>
  <c r="F60" i="5"/>
  <c r="E60" i="5"/>
  <c r="M55" i="5"/>
  <c r="G55" i="5"/>
  <c r="F55" i="5"/>
  <c r="E55" i="5"/>
  <c r="M54" i="5"/>
  <c r="G54" i="5"/>
  <c r="F54" i="5"/>
  <c r="E54" i="5"/>
  <c r="G53" i="5"/>
  <c r="F53" i="5"/>
  <c r="E53" i="5"/>
  <c r="G52" i="5"/>
  <c r="F52" i="5"/>
  <c r="E52" i="5"/>
  <c r="M47" i="5"/>
  <c r="G47" i="5"/>
  <c r="F47" i="5"/>
  <c r="E47" i="5"/>
  <c r="G46" i="5"/>
  <c r="F46" i="5"/>
  <c r="E46" i="5"/>
  <c r="L39" i="5"/>
  <c r="G39" i="5"/>
  <c r="F39" i="5"/>
  <c r="E39" i="5"/>
  <c r="M38" i="5"/>
  <c r="L38" i="5"/>
  <c r="G38" i="5"/>
  <c r="F38" i="5"/>
  <c r="E38" i="5"/>
  <c r="M33" i="5"/>
  <c r="L33" i="5"/>
  <c r="G33" i="5"/>
  <c r="F33" i="5"/>
  <c r="E33" i="5"/>
  <c r="M32" i="5"/>
  <c r="L32" i="5"/>
  <c r="G32" i="5"/>
  <c r="F32" i="5"/>
  <c r="E32" i="5"/>
  <c r="M28" i="5"/>
  <c r="G28" i="5"/>
  <c r="F28" i="5"/>
  <c r="E28" i="5"/>
  <c r="M27" i="5"/>
  <c r="G27" i="5"/>
  <c r="F27" i="5"/>
  <c r="E27" i="5"/>
  <c r="M26" i="5"/>
  <c r="G26" i="5"/>
  <c r="F26" i="5"/>
  <c r="E26" i="5"/>
  <c r="M20" i="5"/>
  <c r="G20" i="5"/>
  <c r="F20" i="5"/>
  <c r="E20" i="5"/>
  <c r="M19" i="5"/>
  <c r="G19" i="5"/>
  <c r="F19" i="5"/>
  <c r="E19" i="5"/>
  <c r="G18" i="5"/>
  <c r="F18" i="5"/>
  <c r="E18" i="5"/>
  <c r="M13" i="5"/>
  <c r="G13" i="5"/>
  <c r="F13" i="5"/>
  <c r="E13" i="5"/>
  <c r="M12" i="5"/>
  <c r="G12" i="5"/>
  <c r="F12" i="5"/>
  <c r="E12" i="5"/>
  <c r="G11" i="5"/>
  <c r="F11" i="5"/>
  <c r="E11" i="5"/>
  <c r="G10" i="5"/>
  <c r="F10" i="5"/>
  <c r="E10" i="5"/>
  <c r="G9" i="5"/>
  <c r="F9" i="5"/>
  <c r="E9" i="5"/>
  <c r="N4" i="5"/>
  <c r="X3" i="5"/>
  <c r="W3" i="5"/>
  <c r="V3" i="5"/>
  <c r="U3" i="5"/>
  <c r="T3" i="5"/>
  <c r="S3" i="5"/>
  <c r="R3" i="5"/>
  <c r="Q3" i="5"/>
  <c r="P3" i="5"/>
  <c r="O3" i="5"/>
  <c r="N3" i="5"/>
  <c r="F1" i="5"/>
  <c r="A1" i="5"/>
  <c r="M93" i="4"/>
  <c r="L93" i="4"/>
  <c r="G93" i="4"/>
  <c r="F93" i="4"/>
  <c r="E93" i="4"/>
  <c r="M92" i="4"/>
  <c r="L92" i="4"/>
  <c r="G92" i="4"/>
  <c r="F92" i="4"/>
  <c r="E92" i="4"/>
  <c r="G91" i="4"/>
  <c r="F91" i="4"/>
  <c r="E91" i="4"/>
  <c r="M84" i="4"/>
  <c r="L84" i="4"/>
  <c r="G84" i="4"/>
  <c r="F84" i="4"/>
  <c r="E84" i="4"/>
  <c r="M83" i="4"/>
  <c r="L83" i="4"/>
  <c r="G83" i="4"/>
  <c r="F83" i="4"/>
  <c r="E83" i="4"/>
  <c r="G82" i="4"/>
  <c r="F82" i="4"/>
  <c r="E82" i="4"/>
  <c r="M75" i="4"/>
  <c r="L75" i="4"/>
  <c r="G75" i="4"/>
  <c r="F75" i="4"/>
  <c r="E75" i="4"/>
  <c r="M74" i="4"/>
  <c r="L74" i="4"/>
  <c r="G74" i="4"/>
  <c r="F74" i="4"/>
  <c r="E74" i="4"/>
  <c r="G73" i="4"/>
  <c r="F73" i="4"/>
  <c r="E73" i="4"/>
  <c r="M66" i="4"/>
  <c r="L66" i="4"/>
  <c r="G66" i="4"/>
  <c r="F66" i="4"/>
  <c r="E66" i="4"/>
  <c r="M65" i="4"/>
  <c r="L65" i="4"/>
  <c r="G65" i="4"/>
  <c r="F65" i="4"/>
  <c r="E65" i="4"/>
  <c r="G64" i="4"/>
  <c r="F64" i="4"/>
  <c r="E64" i="4"/>
  <c r="M57" i="4"/>
  <c r="L57" i="4"/>
  <c r="G57" i="4"/>
  <c r="F57" i="4"/>
  <c r="E57" i="4"/>
  <c r="M56" i="4"/>
  <c r="L56" i="4"/>
  <c r="G56" i="4"/>
  <c r="F56" i="4"/>
  <c r="E56" i="4"/>
  <c r="G55" i="4"/>
  <c r="F55" i="4"/>
  <c r="E55" i="4"/>
  <c r="G54" i="4"/>
  <c r="F54" i="4"/>
  <c r="E54" i="4"/>
  <c r="M47" i="4"/>
  <c r="L47" i="4"/>
  <c r="G47" i="4"/>
  <c r="F47" i="4"/>
  <c r="E47" i="4"/>
  <c r="G46" i="4"/>
  <c r="F46" i="4"/>
  <c r="E46" i="4"/>
  <c r="M39" i="4"/>
  <c r="L39" i="4"/>
  <c r="G39" i="4"/>
  <c r="F39" i="4"/>
  <c r="E39" i="4"/>
  <c r="G38" i="4"/>
  <c r="F38" i="4"/>
  <c r="E38" i="4"/>
  <c r="G37" i="4"/>
  <c r="F37" i="4"/>
  <c r="E37" i="4"/>
  <c r="N33" i="4"/>
  <c r="N77" i="7" s="1"/>
  <c r="N79" i="7" s="1"/>
  <c r="M28" i="4"/>
  <c r="L28" i="4"/>
  <c r="G28" i="4"/>
  <c r="F28" i="4"/>
  <c r="E28" i="4"/>
  <c r="G27" i="4"/>
  <c r="F27" i="4"/>
  <c r="E27" i="4"/>
  <c r="M20" i="4"/>
  <c r="G20" i="4"/>
  <c r="F20" i="4"/>
  <c r="E20" i="4"/>
  <c r="M19" i="4"/>
  <c r="L19" i="4"/>
  <c r="G19" i="4"/>
  <c r="F19" i="4"/>
  <c r="E19" i="4"/>
  <c r="G18" i="4"/>
  <c r="F18" i="4"/>
  <c r="E18" i="4"/>
  <c r="M13" i="4"/>
  <c r="G13" i="4"/>
  <c r="F13" i="4"/>
  <c r="E13" i="4"/>
  <c r="X12" i="4"/>
  <c r="W12" i="4"/>
  <c r="V12" i="4"/>
  <c r="U12" i="4"/>
  <c r="T12" i="4"/>
  <c r="S12" i="4"/>
  <c r="R12" i="4"/>
  <c r="Q12" i="4"/>
  <c r="P12" i="4"/>
  <c r="O12" i="4"/>
  <c r="N12" i="4"/>
  <c r="M12" i="4"/>
  <c r="G12" i="4"/>
  <c r="F12" i="4"/>
  <c r="E12" i="4"/>
  <c r="G11" i="4"/>
  <c r="F11" i="4"/>
  <c r="E11" i="4"/>
  <c r="X3" i="4"/>
  <c r="W3" i="4"/>
  <c r="V3" i="4"/>
  <c r="U3" i="4"/>
  <c r="T3" i="4"/>
  <c r="S3" i="4"/>
  <c r="R3" i="4"/>
  <c r="Q3" i="4"/>
  <c r="P3" i="4"/>
  <c r="O3" i="4"/>
  <c r="N3" i="4"/>
  <c r="F1" i="4"/>
  <c r="A1" i="4"/>
  <c r="L76" i="3"/>
  <c r="L53" i="3"/>
  <c r="L113" i="5" s="1"/>
  <c r="L52" i="3"/>
  <c r="L119" i="5" s="1"/>
  <c r="L51" i="3"/>
  <c r="L12" i="4" s="1"/>
  <c r="L45" i="3"/>
  <c r="L20" i="7" s="1"/>
  <c r="L44" i="3"/>
  <c r="L19" i="7" s="1"/>
  <c r="L43" i="3"/>
  <c r="L18" i="7" s="1"/>
  <c r="L41" i="3"/>
  <c r="L12" i="7" s="1"/>
  <c r="L40" i="3"/>
  <c r="L11" i="7" s="1"/>
  <c r="L39" i="3"/>
  <c r="L10" i="7" s="1"/>
  <c r="X3" i="3"/>
  <c r="W3" i="3"/>
  <c r="V3" i="3"/>
  <c r="U3" i="3"/>
  <c r="T3" i="3"/>
  <c r="S3" i="3"/>
  <c r="R3" i="3"/>
  <c r="Q3" i="3"/>
  <c r="P3" i="3"/>
  <c r="O3" i="3"/>
  <c r="N3" i="3"/>
  <c r="F1" i="3"/>
  <c r="A1" i="3"/>
  <c r="C50" i="2"/>
  <c r="C49" i="2"/>
  <c r="B48" i="2"/>
  <c r="A47" i="2"/>
  <c r="C45" i="2"/>
  <c r="C44" i="2"/>
  <c r="B43" i="2"/>
  <c r="A42" i="2"/>
  <c r="C40" i="2"/>
  <c r="C39" i="2"/>
  <c r="B38" i="2"/>
  <c r="B37" i="2"/>
  <c r="A36" i="2"/>
  <c r="B34" i="2"/>
  <c r="B33" i="2"/>
  <c r="B32" i="2"/>
  <c r="B31" i="2"/>
  <c r="B30" i="2"/>
  <c r="B29" i="2"/>
  <c r="B28" i="2"/>
  <c r="B27" i="2"/>
  <c r="A26" i="2"/>
  <c r="B24" i="2"/>
  <c r="C21" i="2"/>
  <c r="C20" i="2"/>
  <c r="C19" i="2"/>
  <c r="B18" i="2"/>
  <c r="B17" i="2"/>
  <c r="B16" i="2"/>
  <c r="A15" i="2"/>
  <c r="A9" i="2"/>
  <c r="A7" i="2"/>
  <c r="A1" i="2"/>
  <c r="V95" i="6" l="1"/>
  <c r="V14" i="9" s="1"/>
  <c r="X95" i="6"/>
  <c r="S13" i="7"/>
  <c r="S13" i="5" s="1"/>
  <c r="U95" i="6"/>
  <c r="W95" i="6"/>
  <c r="W14" i="9" s="1"/>
  <c r="L63" i="6"/>
  <c r="U13" i="7"/>
  <c r="O95" i="6"/>
  <c r="O14" i="9" s="1"/>
  <c r="N95" i="6"/>
  <c r="N14" i="9" s="1"/>
  <c r="P95" i="6"/>
  <c r="P14" i="9" s="1"/>
  <c r="F74" i="5"/>
  <c r="Q95" i="6"/>
  <c r="R95" i="6"/>
  <c r="S95" i="6"/>
  <c r="S14" i="9" s="1"/>
  <c r="N4" i="4"/>
  <c r="N19" i="4"/>
  <c r="N115" i="6"/>
  <c r="N117" i="6" s="1"/>
  <c r="D137" i="14" s="1"/>
  <c r="Q13" i="7"/>
  <c r="Q92" i="5" s="1"/>
  <c r="M29" i="5"/>
  <c r="M362" i="5" s="1"/>
  <c r="D72" i="14"/>
  <c r="F90" i="5"/>
  <c r="M14" i="10"/>
  <c r="M311" i="5"/>
  <c r="D159" i="14"/>
  <c r="N83" i="7"/>
  <c r="X14" i="9"/>
  <c r="O33" i="4"/>
  <c r="N39" i="4"/>
  <c r="N40" i="4" s="1"/>
  <c r="N326" i="5"/>
  <c r="N4" i="3"/>
  <c r="N4" i="6"/>
  <c r="N88" i="7"/>
  <c r="N90" i="7" s="1"/>
  <c r="D71" i="14"/>
  <c r="D52" i="14"/>
  <c r="N4" i="10"/>
  <c r="N52" i="7"/>
  <c r="N54" i="7" s="1"/>
  <c r="N4" i="9"/>
  <c r="N152" i="6"/>
  <c r="N41" i="7"/>
  <c r="N43" i="7" s="1"/>
  <c r="N276" i="5"/>
  <c r="N278" i="5" s="1"/>
  <c r="N150" i="5"/>
  <c r="N159" i="5" s="1"/>
  <c r="N4" i="7"/>
  <c r="N65" i="7"/>
  <c r="S12" i="6"/>
  <c r="L53" i="7"/>
  <c r="L18" i="6"/>
  <c r="L216" i="5"/>
  <c r="L88" i="6"/>
  <c r="L89" i="7"/>
  <c r="L78" i="7"/>
  <c r="L82" i="6"/>
  <c r="L69" i="6"/>
  <c r="L210" i="5"/>
  <c r="L24" i="6"/>
  <c r="L42" i="7"/>
  <c r="O13" i="7"/>
  <c r="P13" i="7"/>
  <c r="X21" i="7"/>
  <c r="U21" i="7"/>
  <c r="S21" i="7"/>
  <c r="Q21" i="7"/>
  <c r="T21" i="7"/>
  <c r="R21" i="7"/>
  <c r="P21" i="7"/>
  <c r="O21" i="7"/>
  <c r="N21" i="7"/>
  <c r="V21" i="7"/>
  <c r="W21" i="7"/>
  <c r="T14" i="9"/>
  <c r="T13" i="7"/>
  <c r="R13" i="7"/>
  <c r="X13" i="7"/>
  <c r="W13" i="7"/>
  <c r="V13" i="7"/>
  <c r="N13" i="7"/>
  <c r="S67" i="7" l="1"/>
  <c r="F149" i="5"/>
  <c r="D134" i="14"/>
  <c r="D70" i="14"/>
  <c r="S30" i="7"/>
  <c r="S92" i="5"/>
  <c r="U14" i="9"/>
  <c r="U92" i="5"/>
  <c r="U30" i="7"/>
  <c r="U12" i="6"/>
  <c r="U67" i="7"/>
  <c r="U13" i="5"/>
  <c r="R14" i="9"/>
  <c r="L95" i="6"/>
  <c r="L14" i="9" s="1"/>
  <c r="Q14" i="9"/>
  <c r="Q30" i="7"/>
  <c r="Q13" i="5"/>
  <c r="Q12" i="6"/>
  <c r="Q67" i="7"/>
  <c r="N158" i="5"/>
  <c r="D86" i="14" s="1"/>
  <c r="N156" i="5"/>
  <c r="D84" i="14" s="1"/>
  <c r="N25" i="5"/>
  <c r="N38" i="5" s="1"/>
  <c r="N121" i="6"/>
  <c r="M39" i="5"/>
  <c r="D87" i="14"/>
  <c r="N173" i="5"/>
  <c r="U29" i="7"/>
  <c r="U66" i="7"/>
  <c r="U11" i="6"/>
  <c r="U91" i="5"/>
  <c r="U12" i="5"/>
  <c r="O67" i="7"/>
  <c r="O30" i="7"/>
  <c r="O92" i="5"/>
  <c r="O12" i="6"/>
  <c r="O13" i="5"/>
  <c r="D63" i="14"/>
  <c r="D153" i="14"/>
  <c r="N47" i="7"/>
  <c r="P66" i="7"/>
  <c r="P11" i="6"/>
  <c r="P12" i="5"/>
  <c r="P29" i="7"/>
  <c r="P91" i="5"/>
  <c r="D53" i="14"/>
  <c r="N57" i="4"/>
  <c r="N28" i="4"/>
  <c r="N29" i="4" s="1"/>
  <c r="N65" i="4"/>
  <c r="N83" i="4"/>
  <c r="N92" i="4"/>
  <c r="N74" i="4"/>
  <c r="X30" i="7"/>
  <c r="X67" i="7"/>
  <c r="X12" i="6"/>
  <c r="X92" i="5"/>
  <c r="X13" i="5"/>
  <c r="X29" i="7"/>
  <c r="X11" i="6"/>
  <c r="X91" i="5"/>
  <c r="X12" i="5"/>
  <c r="X66" i="7"/>
  <c r="V29" i="7"/>
  <c r="V66" i="7"/>
  <c r="V91" i="5"/>
  <c r="V11" i="6"/>
  <c r="V12" i="5"/>
  <c r="O66" i="7"/>
  <c r="O11" i="6"/>
  <c r="O12" i="5"/>
  <c r="O91" i="5"/>
  <c r="O29" i="7"/>
  <c r="R66" i="7"/>
  <c r="R12" i="5"/>
  <c r="R29" i="7"/>
  <c r="R91" i="5"/>
  <c r="R11" i="6"/>
  <c r="N161" i="5"/>
  <c r="O4" i="10"/>
  <c r="O65" i="7"/>
  <c r="O88" i="7"/>
  <c r="O90" i="7" s="1"/>
  <c r="O41" i="7"/>
  <c r="O43" i="7" s="1"/>
  <c r="O152" i="6"/>
  <c r="O326" i="5"/>
  <c r="O4" i="9"/>
  <c r="O276" i="5"/>
  <c r="O150" i="5"/>
  <c r="O4" i="7"/>
  <c r="O52" i="7"/>
  <c r="O54" i="7" s="1"/>
  <c r="O39" i="4"/>
  <c r="O40" i="4" s="1"/>
  <c r="O77" i="7"/>
  <c r="O79" i="7" s="1"/>
  <c r="O4" i="6"/>
  <c r="O4" i="3"/>
  <c r="O19" i="4"/>
  <c r="P33" i="4"/>
  <c r="O4" i="4"/>
  <c r="O4" i="5"/>
  <c r="O115" i="6"/>
  <c r="S66" i="7"/>
  <c r="S11" i="6"/>
  <c r="S13" i="6" s="1"/>
  <c r="S29" i="7"/>
  <c r="S12" i="5"/>
  <c r="S14" i="5" s="1"/>
  <c r="S91" i="5"/>
  <c r="R67" i="7"/>
  <c r="R12" i="6"/>
  <c r="R13" i="5"/>
  <c r="R30" i="7"/>
  <c r="R92" i="5"/>
  <c r="T12" i="6"/>
  <c r="T13" i="5"/>
  <c r="T92" i="5"/>
  <c r="T30" i="7"/>
  <c r="T67" i="7"/>
  <c r="N282" i="5"/>
  <c r="D106" i="14"/>
  <c r="D150" i="14"/>
  <c r="N66" i="7"/>
  <c r="N91" i="5"/>
  <c r="L21" i="7"/>
  <c r="N12" i="5"/>
  <c r="N11" i="6"/>
  <c r="N29" i="7"/>
  <c r="D149" i="14"/>
  <c r="N67" i="7"/>
  <c r="N30" i="7"/>
  <c r="N92" i="5"/>
  <c r="N12" i="6"/>
  <c r="L13" i="7"/>
  <c r="N13" i="5"/>
  <c r="T29" i="7"/>
  <c r="T66" i="7"/>
  <c r="T11" i="6"/>
  <c r="T12" i="5"/>
  <c r="T91" i="5"/>
  <c r="W67" i="7"/>
  <c r="W12" i="6"/>
  <c r="W92" i="5"/>
  <c r="W13" i="5"/>
  <c r="W30" i="7"/>
  <c r="W11" i="6"/>
  <c r="W13" i="6" s="1"/>
  <c r="W29" i="7"/>
  <c r="W91" i="5"/>
  <c r="W12" i="5"/>
  <c r="W66" i="7"/>
  <c r="P67" i="7"/>
  <c r="P30" i="7"/>
  <c r="P12" i="6"/>
  <c r="P13" i="5"/>
  <c r="P92" i="5"/>
  <c r="N155" i="5"/>
  <c r="N162" i="5"/>
  <c r="N154" i="5"/>
  <c r="N157" i="5"/>
  <c r="N94" i="7"/>
  <c r="D161" i="14"/>
  <c r="D155" i="14"/>
  <c r="N58" i="7"/>
  <c r="N153" i="5"/>
  <c r="V30" i="7"/>
  <c r="V67" i="7"/>
  <c r="V12" i="6"/>
  <c r="V13" i="5"/>
  <c r="V92" i="5"/>
  <c r="N160" i="5"/>
  <c r="Q66" i="7"/>
  <c r="Q11" i="6"/>
  <c r="Q12" i="5"/>
  <c r="Q29" i="7"/>
  <c r="Q91" i="5"/>
  <c r="Q93" i="5" s="1"/>
  <c r="U13" i="6" l="1"/>
  <c r="U48" i="6" s="1"/>
  <c r="Q13" i="6"/>
  <c r="Q48" i="6" s="1"/>
  <c r="V13" i="6"/>
  <c r="V48" i="6" s="1"/>
  <c r="T13" i="6"/>
  <c r="Q14" i="5"/>
  <c r="Q20" i="5" s="1"/>
  <c r="P13" i="6"/>
  <c r="P17" i="6" s="1"/>
  <c r="P19" i="6" s="1"/>
  <c r="N68" i="7"/>
  <c r="T93" i="5"/>
  <c r="T98" i="5" s="1"/>
  <c r="T14" i="5"/>
  <c r="S93" i="5"/>
  <c r="S98" i="5" s="1"/>
  <c r="N13" i="6"/>
  <c r="O13" i="6"/>
  <c r="X13" i="6"/>
  <c r="X29" i="6" s="1"/>
  <c r="R13" i="6"/>
  <c r="W93" i="5"/>
  <c r="N32" i="5"/>
  <c r="U14" i="5"/>
  <c r="U93" i="5"/>
  <c r="N172" i="5"/>
  <c r="N170" i="5"/>
  <c r="N93" i="5"/>
  <c r="D73" i="14" s="1"/>
  <c r="N14" i="5"/>
  <c r="D60" i="14" s="1"/>
  <c r="V93" i="5"/>
  <c r="P93" i="5"/>
  <c r="O93" i="5"/>
  <c r="P14" i="5"/>
  <c r="P20" i="5" s="1"/>
  <c r="L66" i="7"/>
  <c r="L29" i="7"/>
  <c r="L91" i="5"/>
  <c r="L12" i="5"/>
  <c r="L11" i="6"/>
  <c r="O47" i="7"/>
  <c r="O94" i="7"/>
  <c r="P4" i="9"/>
  <c r="P4" i="10"/>
  <c r="P65" i="7"/>
  <c r="P68" i="7" s="1"/>
  <c r="P152" i="6"/>
  <c r="P41" i="7"/>
  <c r="P43" i="7" s="1"/>
  <c r="P326" i="5"/>
  <c r="P88" i="7"/>
  <c r="P90" i="7" s="1"/>
  <c r="P4" i="7"/>
  <c r="P77" i="7"/>
  <c r="P79" i="7" s="1"/>
  <c r="P4" i="6"/>
  <c r="P52" i="7"/>
  <c r="P54" i="7" s="1"/>
  <c r="P4" i="3"/>
  <c r="P39" i="4"/>
  <c r="P40" i="4" s="1"/>
  <c r="P276" i="5"/>
  <c r="Q33" i="4"/>
  <c r="P150" i="5"/>
  <c r="P19" i="4"/>
  <c r="P115" i="6"/>
  <c r="P4" i="5"/>
  <c r="P4" i="4"/>
  <c r="O68" i="7"/>
  <c r="D88" i="14"/>
  <c r="N174" i="5"/>
  <c r="D85" i="14"/>
  <c r="N171" i="5"/>
  <c r="W14" i="5"/>
  <c r="V14" i="5"/>
  <c r="O14" i="5"/>
  <c r="D90" i="14"/>
  <c r="N176" i="5"/>
  <c r="L67" i="7"/>
  <c r="L92" i="5"/>
  <c r="L30" i="7"/>
  <c r="L13" i="5"/>
  <c r="L12" i="6"/>
  <c r="O57" i="4"/>
  <c r="O83" i="4"/>
  <c r="O28" i="4"/>
  <c r="O29" i="4" s="1"/>
  <c r="O65" i="4"/>
  <c r="O92" i="4"/>
  <c r="O74" i="4"/>
  <c r="N3" i="9"/>
  <c r="N3" i="10"/>
  <c r="N2" i="7"/>
  <c r="N2" i="5"/>
  <c r="D51" i="14"/>
  <c r="N66" i="4"/>
  <c r="N67" i="4" s="1"/>
  <c r="N2" i="6"/>
  <c r="N75" i="4"/>
  <c r="N76" i="4" s="1"/>
  <c r="N47" i="4"/>
  <c r="N48" i="4" s="1"/>
  <c r="N84" i="4"/>
  <c r="N85" i="4" s="1"/>
  <c r="N2" i="3"/>
  <c r="N2" i="4"/>
  <c r="N93" i="4"/>
  <c r="N94" i="4" s="1"/>
  <c r="N56" i="4"/>
  <c r="N58" i="4" s="1"/>
  <c r="Q98" i="5"/>
  <c r="D82" i="14"/>
  <c r="N168" i="5"/>
  <c r="D89" i="14"/>
  <c r="N175" i="5"/>
  <c r="O83" i="7"/>
  <c r="D83" i="14"/>
  <c r="N169" i="5"/>
  <c r="R93" i="5"/>
  <c r="O58" i="7"/>
  <c r="R14" i="5"/>
  <c r="D81" i="14"/>
  <c r="N167" i="5"/>
  <c r="S20" i="5"/>
  <c r="O157" i="5"/>
  <c r="O161" i="5"/>
  <c r="O162" i="5"/>
  <c r="O154" i="5"/>
  <c r="O160" i="5"/>
  <c r="O155" i="5"/>
  <c r="O158" i="5"/>
  <c r="O156" i="5"/>
  <c r="O159" i="5"/>
  <c r="X14" i="5"/>
  <c r="S29" i="6"/>
  <c r="S23" i="6"/>
  <c r="S25" i="6" s="1"/>
  <c r="S17" i="6"/>
  <c r="S19" i="6" s="1"/>
  <c r="S48" i="6"/>
  <c r="X93" i="5"/>
  <c r="X48" i="6" l="1"/>
  <c r="U23" i="6"/>
  <c r="U25" i="6" s="1"/>
  <c r="U29" i="6"/>
  <c r="U17" i="6"/>
  <c r="U19" i="6" s="1"/>
  <c r="Q23" i="6"/>
  <c r="Q25" i="6" s="1"/>
  <c r="X23" i="6"/>
  <c r="X25" i="6" s="1"/>
  <c r="N72" i="7"/>
  <c r="U98" i="5"/>
  <c r="D157" i="14"/>
  <c r="U20" i="5"/>
  <c r="X17" i="6"/>
  <c r="X19" i="6" s="1"/>
  <c r="T20" i="5"/>
  <c r="W98" i="5"/>
  <c r="Q29" i="6"/>
  <c r="Q17" i="6"/>
  <c r="Q19" i="6" s="1"/>
  <c r="V17" i="6"/>
  <c r="V19" i="6" s="1"/>
  <c r="V23" i="6"/>
  <c r="V25" i="6" s="1"/>
  <c r="V29" i="6"/>
  <c r="N20" i="5"/>
  <c r="N98" i="5"/>
  <c r="O98" i="5"/>
  <c r="L93" i="5"/>
  <c r="L98" i="5" s="1"/>
  <c r="P98" i="5"/>
  <c r="P48" i="6"/>
  <c r="P29" i="6"/>
  <c r="P23" i="6"/>
  <c r="P25" i="6" s="1"/>
  <c r="N23" i="6"/>
  <c r="N25" i="6" s="1"/>
  <c r="D123" i="14" s="1"/>
  <c r="N29" i="6"/>
  <c r="N17" i="6"/>
  <c r="N19" i="6" s="1"/>
  <c r="D122" i="14" s="1"/>
  <c r="D121" i="14"/>
  <c r="R17" i="6"/>
  <c r="R19" i="6" s="1"/>
  <c r="R23" i="6"/>
  <c r="R25" i="6" s="1"/>
  <c r="R29" i="6"/>
  <c r="V98" i="5"/>
  <c r="R48" i="6"/>
  <c r="L13" i="6"/>
  <c r="L29" i="6" s="1"/>
  <c r="N48" i="6"/>
  <c r="D56" i="14"/>
  <c r="N202" i="5"/>
  <c r="N205" i="5" s="1"/>
  <c r="N49" i="6"/>
  <c r="N52" i="6" s="1"/>
  <c r="D57" i="14"/>
  <c r="N42" i="6"/>
  <c r="N43" i="6" s="1"/>
  <c r="N195" i="5"/>
  <c r="N196" i="5" s="1"/>
  <c r="N203" i="5"/>
  <c r="N50" i="6"/>
  <c r="D59" i="14"/>
  <c r="N312" i="5"/>
  <c r="N313" i="5" s="1"/>
  <c r="O3" i="9"/>
  <c r="O3" i="10"/>
  <c r="O2" i="7"/>
  <c r="O2" i="5"/>
  <c r="O56" i="4"/>
  <c r="O58" i="4" s="1"/>
  <c r="O66" i="4"/>
  <c r="O67" i="4" s="1"/>
  <c r="O84" i="4"/>
  <c r="O85" i="4" s="1"/>
  <c r="O2" i="4"/>
  <c r="O2" i="3"/>
  <c r="O47" i="4"/>
  <c r="O48" i="4" s="1"/>
  <c r="O93" i="4"/>
  <c r="O94" i="4" s="1"/>
  <c r="O75" i="4"/>
  <c r="O76" i="4" s="1"/>
  <c r="O2" i="6"/>
  <c r="V20" i="5"/>
  <c r="X20" i="5"/>
  <c r="O170" i="5"/>
  <c r="W23" i="6"/>
  <c r="W25" i="6" s="1"/>
  <c r="W48" i="6"/>
  <c r="W17" i="6"/>
  <c r="W19" i="6" s="1"/>
  <c r="W29" i="6"/>
  <c r="P65" i="4"/>
  <c r="P83" i="4"/>
  <c r="P28" i="4"/>
  <c r="P29" i="4" s="1"/>
  <c r="P92" i="4"/>
  <c r="P57" i="4"/>
  <c r="P74" i="4"/>
  <c r="O23" i="6"/>
  <c r="O25" i="6" s="1"/>
  <c r="O29" i="6"/>
  <c r="O48" i="6"/>
  <c r="O17" i="6"/>
  <c r="O19" i="6" s="1"/>
  <c r="O168" i="5"/>
  <c r="P83" i="7"/>
  <c r="D54" i="14"/>
  <c r="N13" i="4"/>
  <c r="N14" i="4" s="1"/>
  <c r="W20" i="5"/>
  <c r="O20" i="5"/>
  <c r="Q65" i="7"/>
  <c r="Q68" i="7" s="1"/>
  <c r="Q4" i="7"/>
  <c r="Q77" i="7"/>
  <c r="Q79" i="7" s="1"/>
  <c r="Q4" i="9"/>
  <c r="Q88" i="7"/>
  <c r="Q90" i="7" s="1"/>
  <c r="Q4" i="10"/>
  <c r="Q4" i="6"/>
  <c r="Q115" i="6"/>
  <c r="Q117" i="6" s="1"/>
  <c r="Q4" i="3"/>
  <c r="Q39" i="4"/>
  <c r="Q40" i="4" s="1"/>
  <c r="Q326" i="5"/>
  <c r="R33" i="4"/>
  <c r="Q19" i="4"/>
  <c r="Q41" i="7"/>
  <c r="Q43" i="7" s="1"/>
  <c r="Q152" i="6"/>
  <c r="Q52" i="7"/>
  <c r="Q54" i="7" s="1"/>
  <c r="Q150" i="5"/>
  <c r="Q4" i="5"/>
  <c r="Q4" i="4"/>
  <c r="Q276" i="5"/>
  <c r="Q278" i="5" s="1"/>
  <c r="O172" i="5"/>
  <c r="P58" i="7"/>
  <c r="O174" i="5"/>
  <c r="L14" i="5"/>
  <c r="L20" i="5" s="1"/>
  <c r="X98" i="5"/>
  <c r="P94" i="7"/>
  <c r="O175" i="5"/>
  <c r="P72" i="7"/>
  <c r="P161" i="5"/>
  <c r="P160" i="5"/>
  <c r="P159" i="5"/>
  <c r="P162" i="5"/>
  <c r="P158" i="5"/>
  <c r="P157" i="5"/>
  <c r="P156" i="5"/>
  <c r="P155" i="5"/>
  <c r="O173" i="5"/>
  <c r="T29" i="6"/>
  <c r="T17" i="6"/>
  <c r="T19" i="6" s="1"/>
  <c r="T23" i="6"/>
  <c r="T25" i="6" s="1"/>
  <c r="T48" i="6"/>
  <c r="R20" i="5"/>
  <c r="O169" i="5"/>
  <c r="D55" i="14"/>
  <c r="N31" i="7"/>
  <c r="N32" i="7" s="1"/>
  <c r="N107" i="5"/>
  <c r="N51" i="6"/>
  <c r="N30" i="6"/>
  <c r="N204" i="5"/>
  <c r="R98" i="5"/>
  <c r="O176" i="5"/>
  <c r="D58" i="14"/>
  <c r="N364" i="5"/>
  <c r="N365" i="5" s="1"/>
  <c r="N37" i="10" s="1"/>
  <c r="O171" i="5"/>
  <c r="O72" i="7"/>
  <c r="P47" i="7"/>
  <c r="N31" i="6" l="1"/>
  <c r="N36" i="6" s="1"/>
  <c r="N37" i="6" s="1"/>
  <c r="L17" i="6"/>
  <c r="L23" i="6"/>
  <c r="L48" i="6"/>
  <c r="O312" i="5"/>
  <c r="O313" i="5" s="1"/>
  <c r="O31" i="7"/>
  <c r="O32" i="7" s="1"/>
  <c r="O204" i="5"/>
  <c r="O107" i="5"/>
  <c r="O30" i="6"/>
  <c r="O31" i="6" s="1"/>
  <c r="O51" i="6"/>
  <c r="Q282" i="5"/>
  <c r="D94" i="14"/>
  <c r="N221" i="5"/>
  <c r="O203" i="5"/>
  <c r="O50" i="6"/>
  <c r="O195" i="5"/>
  <c r="O42" i="6"/>
  <c r="Q83" i="7"/>
  <c r="D151" i="14"/>
  <c r="N36" i="7"/>
  <c r="Q72" i="7"/>
  <c r="P170" i="5"/>
  <c r="D112" i="14"/>
  <c r="N318" i="5"/>
  <c r="P171" i="5"/>
  <c r="Q74" i="4"/>
  <c r="Q83" i="4"/>
  <c r="Q57" i="4"/>
  <c r="Q65" i="4"/>
  <c r="Q92" i="4"/>
  <c r="Q28" i="4"/>
  <c r="Q29" i="4" s="1"/>
  <c r="O13" i="4"/>
  <c r="O14" i="4" s="1"/>
  <c r="D127" i="14"/>
  <c r="N57" i="6"/>
  <c r="P3" i="10"/>
  <c r="P3" i="9"/>
  <c r="P2" i="6"/>
  <c r="P2" i="7"/>
  <c r="P2" i="5"/>
  <c r="P66" i="4"/>
  <c r="P67" i="4" s="1"/>
  <c r="P84" i="4"/>
  <c r="P85" i="4" s="1"/>
  <c r="P2" i="4"/>
  <c r="P2" i="3"/>
  <c r="P56" i="4"/>
  <c r="P58" i="4" s="1"/>
  <c r="P75" i="4"/>
  <c r="P76" i="4" s="1"/>
  <c r="P47" i="4"/>
  <c r="P48" i="4" s="1"/>
  <c r="P93" i="4"/>
  <c r="P94" i="4" s="1"/>
  <c r="L19" i="6"/>
  <c r="Q58" i="7"/>
  <c r="D120" i="14"/>
  <c r="N261" i="5"/>
  <c r="O202" i="5"/>
  <c r="O49" i="6"/>
  <c r="O364" i="5"/>
  <c r="O365" i="5" s="1"/>
  <c r="O37" i="10" s="1"/>
  <c r="P176" i="5"/>
  <c r="P173" i="5"/>
  <c r="D48" i="14"/>
  <c r="N76" i="6"/>
  <c r="N183" i="5"/>
  <c r="N243" i="5"/>
  <c r="N133" i="5"/>
  <c r="N319" i="5"/>
  <c r="N229" i="5"/>
  <c r="N19" i="5"/>
  <c r="N21" i="5" s="1"/>
  <c r="N126" i="5"/>
  <c r="N363" i="5"/>
  <c r="N236" i="5"/>
  <c r="N55" i="5"/>
  <c r="N20" i="4"/>
  <c r="N21" i="4" s="1"/>
  <c r="P174" i="5"/>
  <c r="Q94" i="7"/>
  <c r="P175" i="5"/>
  <c r="D126" i="14"/>
  <c r="N56" i="6"/>
  <c r="Q160" i="5"/>
  <c r="Q161" i="5"/>
  <c r="Q159" i="5"/>
  <c r="Q162" i="5"/>
  <c r="Q156" i="5"/>
  <c r="Q158" i="5"/>
  <c r="Q157" i="5"/>
  <c r="Q47" i="7"/>
  <c r="P169" i="5"/>
  <c r="R4" i="9"/>
  <c r="R77" i="7"/>
  <c r="R79" i="7" s="1"/>
  <c r="R41" i="7"/>
  <c r="R43" i="7" s="1"/>
  <c r="R4" i="7"/>
  <c r="R88" i="7"/>
  <c r="R90" i="7" s="1"/>
  <c r="R4" i="10"/>
  <c r="R4" i="6"/>
  <c r="R52" i="7"/>
  <c r="R54" i="7" s="1"/>
  <c r="R115" i="6"/>
  <c r="R117" i="6" s="1"/>
  <c r="R65" i="7"/>
  <c r="R68" i="7" s="1"/>
  <c r="R39" i="4"/>
  <c r="R40" i="4" s="1"/>
  <c r="R326" i="5"/>
  <c r="R4" i="5"/>
  <c r="S33" i="4"/>
  <c r="R4" i="3"/>
  <c r="R152" i="6"/>
  <c r="R19" i="4"/>
  <c r="R150" i="5"/>
  <c r="R4" i="4"/>
  <c r="R276" i="5"/>
  <c r="R278" i="5" s="1"/>
  <c r="P172" i="5"/>
  <c r="D95" i="14"/>
  <c r="N222" i="5"/>
  <c r="L25" i="6"/>
  <c r="Q121" i="6"/>
  <c r="D124" i="14" l="1"/>
  <c r="O52" i="6"/>
  <c r="O57" i="6" s="1"/>
  <c r="O205" i="5"/>
  <c r="O222" i="5" s="1"/>
  <c r="N223" i="5"/>
  <c r="N327" i="5" s="1"/>
  <c r="N328" i="5" s="1"/>
  <c r="N320" i="5"/>
  <c r="N58" i="6"/>
  <c r="P202" i="5"/>
  <c r="P49" i="6"/>
  <c r="P203" i="5"/>
  <c r="P50" i="6"/>
  <c r="P195" i="5"/>
  <c r="P196" i="5" s="1"/>
  <c r="P42" i="6"/>
  <c r="P43" i="6" s="1"/>
  <c r="D61" i="14"/>
  <c r="N151" i="5"/>
  <c r="N152" i="5" s="1"/>
  <c r="N27" i="5"/>
  <c r="P364" i="5"/>
  <c r="P365" i="5" s="1"/>
  <c r="P37" i="10" s="1"/>
  <c r="R282" i="5"/>
  <c r="R160" i="5"/>
  <c r="R157" i="5"/>
  <c r="R161" i="5"/>
  <c r="R158" i="5"/>
  <c r="R162" i="5"/>
  <c r="R159" i="5"/>
  <c r="O318" i="5"/>
  <c r="Q170" i="5"/>
  <c r="P312" i="5"/>
  <c r="P31" i="7"/>
  <c r="P32" i="7" s="1"/>
  <c r="P107" i="5"/>
  <c r="P51" i="6"/>
  <c r="P30" i="6"/>
  <c r="P31" i="6" s="1"/>
  <c r="P204" i="5"/>
  <c r="R94" i="7"/>
  <c r="O183" i="5"/>
  <c r="O243" i="5"/>
  <c r="O236" i="5"/>
  <c r="O319" i="5"/>
  <c r="O229" i="5"/>
  <c r="O126" i="5"/>
  <c r="O76" i="6"/>
  <c r="O363" i="5"/>
  <c r="O19" i="5"/>
  <c r="O21" i="5" s="1"/>
  <c r="O55" i="5"/>
  <c r="O133" i="5"/>
  <c r="O20" i="4"/>
  <c r="O21" i="4" s="1"/>
  <c r="O36" i="7"/>
  <c r="Q171" i="5"/>
  <c r="R47" i="7"/>
  <c r="Q172" i="5"/>
  <c r="O36" i="6"/>
  <c r="O37" i="6" s="1"/>
  <c r="Q176" i="5"/>
  <c r="D49" i="14"/>
  <c r="N33" i="5"/>
  <c r="N34" i="5" s="1"/>
  <c r="Q174" i="5"/>
  <c r="R72" i="7"/>
  <c r="D125" i="14"/>
  <c r="N41" i="6"/>
  <c r="R121" i="6"/>
  <c r="Q3" i="10"/>
  <c r="Q2" i="6"/>
  <c r="Q2" i="5"/>
  <c r="Q2" i="7"/>
  <c r="Q3" i="9"/>
  <c r="Q75" i="4"/>
  <c r="Q76" i="4" s="1"/>
  <c r="Q47" i="4"/>
  <c r="Q48" i="4" s="1"/>
  <c r="Q2" i="3"/>
  <c r="Q56" i="4"/>
  <c r="Q58" i="4" s="1"/>
  <c r="Q2" i="4"/>
  <c r="Q93" i="4"/>
  <c r="Q94" i="4" s="1"/>
  <c r="Q84" i="4"/>
  <c r="Q85" i="4" s="1"/>
  <c r="Q66" i="4"/>
  <c r="Q67" i="4" s="1"/>
  <c r="R83" i="7"/>
  <c r="Q173" i="5"/>
  <c r="S4" i="9"/>
  <c r="S4" i="10"/>
  <c r="S77" i="7"/>
  <c r="S79" i="7" s="1"/>
  <c r="S41" i="7"/>
  <c r="S43" i="7" s="1"/>
  <c r="S4" i="7"/>
  <c r="S115" i="6"/>
  <c r="S117" i="6" s="1"/>
  <c r="S4" i="6"/>
  <c r="S276" i="5"/>
  <c r="S278" i="5" s="1"/>
  <c r="S88" i="7"/>
  <c r="S90" i="7" s="1"/>
  <c r="S52" i="7"/>
  <c r="S54" i="7" s="1"/>
  <c r="S65" i="7"/>
  <c r="S68" i="7" s="1"/>
  <c r="S326" i="5"/>
  <c r="S4" i="5"/>
  <c r="T33" i="4"/>
  <c r="S19" i="4"/>
  <c r="S4" i="4"/>
  <c r="S4" i="3"/>
  <c r="S152" i="6"/>
  <c r="S150" i="5"/>
  <c r="S39" i="4"/>
  <c r="S40" i="4" s="1"/>
  <c r="Q175" i="5"/>
  <c r="R83" i="4"/>
  <c r="R57" i="4"/>
  <c r="R74" i="4"/>
  <c r="R65" i="4"/>
  <c r="R92" i="4"/>
  <c r="R28" i="4"/>
  <c r="R29" i="4" s="1"/>
  <c r="R58" i="7"/>
  <c r="O261" i="5"/>
  <c r="P13" i="4"/>
  <c r="P14" i="4" s="1"/>
  <c r="N116" i="6" l="1"/>
  <c r="N62" i="6"/>
  <c r="N64" i="6" s="1"/>
  <c r="N106" i="6"/>
  <c r="N11" i="9"/>
  <c r="D128" i="14"/>
  <c r="O320" i="5"/>
  <c r="D113" i="14"/>
  <c r="N28" i="10"/>
  <c r="N260" i="5"/>
  <c r="N262" i="5" s="1"/>
  <c r="D104" i="14" s="1"/>
  <c r="D98" i="14"/>
  <c r="N242" i="5"/>
  <c r="N244" i="5" s="1"/>
  <c r="D101" i="14" s="1"/>
  <c r="N277" i="5"/>
  <c r="N8" i="10"/>
  <c r="N209" i="5"/>
  <c r="N211" i="5" s="1"/>
  <c r="N228" i="5" s="1"/>
  <c r="N230" i="5" s="1"/>
  <c r="N215" i="5"/>
  <c r="N217" i="5" s="1"/>
  <c r="N68" i="6"/>
  <c r="N70" i="6" s="1"/>
  <c r="N13" i="9" s="1"/>
  <c r="N153" i="6"/>
  <c r="N154" i="6" s="1"/>
  <c r="D143" i="14" s="1"/>
  <c r="N75" i="6"/>
  <c r="N77" i="6" s="1"/>
  <c r="N87" i="6" s="1"/>
  <c r="N89" i="6" s="1"/>
  <c r="Q42" i="6"/>
  <c r="Q43" i="6" s="1"/>
  <c r="Q203" i="5"/>
  <c r="Q50" i="6"/>
  <c r="Q195" i="5"/>
  <c r="Q196" i="5" s="1"/>
  <c r="R172" i="5"/>
  <c r="R171" i="5"/>
  <c r="T77" i="7"/>
  <c r="T79" i="7" s="1"/>
  <c r="T4" i="7"/>
  <c r="T4" i="9"/>
  <c r="T88" i="7"/>
  <c r="T90" i="7" s="1"/>
  <c r="T4" i="10"/>
  <c r="T52" i="7"/>
  <c r="T54" i="7" s="1"/>
  <c r="T115" i="6"/>
  <c r="T117" i="6" s="1"/>
  <c r="T41" i="7"/>
  <c r="T43" i="7" s="1"/>
  <c r="T65" i="7"/>
  <c r="T68" i="7" s="1"/>
  <c r="T326" i="5"/>
  <c r="T39" i="4"/>
  <c r="T40" i="4" s="1"/>
  <c r="U33" i="4"/>
  <c r="T4" i="6"/>
  <c r="T19" i="4"/>
  <c r="T276" i="5"/>
  <c r="T278" i="5" s="1"/>
  <c r="T150" i="5"/>
  <c r="T4" i="5"/>
  <c r="T4" i="4"/>
  <c r="T152" i="6"/>
  <c r="T4" i="3"/>
  <c r="Q49" i="6"/>
  <c r="Q202" i="5"/>
  <c r="R174" i="5"/>
  <c r="D114" i="14"/>
  <c r="N332" i="5"/>
  <c r="S58" i="7"/>
  <c r="S94" i="7"/>
  <c r="Q31" i="7"/>
  <c r="Q32" i="7" s="1"/>
  <c r="Q30" i="6"/>
  <c r="Q31" i="6" s="1"/>
  <c r="Q204" i="5"/>
  <c r="Q51" i="6"/>
  <c r="Q107" i="5"/>
  <c r="P236" i="5"/>
  <c r="P19" i="5"/>
  <c r="P21" i="5" s="1"/>
  <c r="P319" i="5"/>
  <c r="P229" i="5"/>
  <c r="P243" i="5"/>
  <c r="P76" i="6"/>
  <c r="P126" i="5"/>
  <c r="P183" i="5"/>
  <c r="P363" i="5"/>
  <c r="P55" i="5"/>
  <c r="P133" i="5"/>
  <c r="P20" i="4"/>
  <c r="P21" i="4" s="1"/>
  <c r="P36" i="6"/>
  <c r="P37" i="6" s="1"/>
  <c r="Q13" i="4"/>
  <c r="Q14" i="4" s="1"/>
  <c r="R2" i="7"/>
  <c r="R3" i="9"/>
  <c r="R84" i="4"/>
  <c r="R85" i="4" s="1"/>
  <c r="R2" i="6"/>
  <c r="R2" i="3"/>
  <c r="R56" i="4"/>
  <c r="R58" i="4" s="1"/>
  <c r="R3" i="10"/>
  <c r="R2" i="5"/>
  <c r="R2" i="4"/>
  <c r="R75" i="4"/>
  <c r="R76" i="4" s="1"/>
  <c r="R47" i="4"/>
  <c r="R48" i="4" s="1"/>
  <c r="R66" i="4"/>
  <c r="R67" i="4" s="1"/>
  <c r="R93" i="4"/>
  <c r="R94" i="4" s="1"/>
  <c r="Q364" i="5"/>
  <c r="Q365" i="5" s="1"/>
  <c r="Q37" i="10" s="1"/>
  <c r="P56" i="6"/>
  <c r="S282" i="5"/>
  <c r="R173" i="5"/>
  <c r="S121" i="6"/>
  <c r="R176" i="5"/>
  <c r="S160" i="5"/>
  <c r="S159" i="5"/>
  <c r="S162" i="5"/>
  <c r="S158" i="5"/>
  <c r="S161" i="5"/>
  <c r="S47" i="7"/>
  <c r="O33" i="5"/>
  <c r="S83" i="7"/>
  <c r="D64" i="14"/>
  <c r="N26" i="5"/>
  <c r="R175" i="5"/>
  <c r="O41" i="6"/>
  <c r="D80" i="14"/>
  <c r="N166" i="5"/>
  <c r="N177" i="5" s="1"/>
  <c r="O152" i="5"/>
  <c r="O151" i="5"/>
  <c r="O153" i="5" s="1"/>
  <c r="O27" i="5"/>
  <c r="P36" i="7"/>
  <c r="Q312" i="5"/>
  <c r="Q313" i="5" s="1"/>
  <c r="S72" i="7"/>
  <c r="P221" i="5"/>
  <c r="N158" i="6"/>
  <c r="P52" i="6"/>
  <c r="S92" i="4"/>
  <c r="S57" i="4"/>
  <c r="S74" i="4"/>
  <c r="S28" i="4"/>
  <c r="S29" i="4" s="1"/>
  <c r="S65" i="4"/>
  <c r="S83" i="4"/>
  <c r="P261" i="5"/>
  <c r="N12" i="9" l="1"/>
  <c r="D129" i="14"/>
  <c r="O28" i="10"/>
  <c r="D131" i="14"/>
  <c r="N8" i="9"/>
  <c r="N81" i="6"/>
  <c r="N83" i="6" s="1"/>
  <c r="N9" i="9" s="1"/>
  <c r="N267" i="5"/>
  <c r="N9" i="10"/>
  <c r="D96" i="14"/>
  <c r="N255" i="5"/>
  <c r="N256" i="5" s="1"/>
  <c r="D103" i="14" s="1"/>
  <c r="N11" i="10"/>
  <c r="N235" i="5"/>
  <c r="N237" i="5" s="1"/>
  <c r="N10" i="10"/>
  <c r="N249" i="5"/>
  <c r="N250" i="5" s="1"/>
  <c r="D102" i="14" s="1"/>
  <c r="D97" i="14"/>
  <c r="N100" i="6"/>
  <c r="N101" i="6" s="1"/>
  <c r="N15" i="9" s="1"/>
  <c r="D130" i="14"/>
  <c r="Q52" i="6"/>
  <c r="Q57" i="6" s="1"/>
  <c r="R312" i="5"/>
  <c r="R313" i="5" s="1"/>
  <c r="R50" i="6"/>
  <c r="R42" i="6"/>
  <c r="R43" i="6" s="1"/>
  <c r="R203" i="5"/>
  <c r="R195" i="5"/>
  <c r="R196" i="5" s="1"/>
  <c r="R49" i="6"/>
  <c r="R202" i="5"/>
  <c r="T57" i="4"/>
  <c r="T92" i="4"/>
  <c r="T65" i="4"/>
  <c r="T74" i="4"/>
  <c r="T83" i="4"/>
  <c r="T28" i="4"/>
  <c r="T29" i="4" s="1"/>
  <c r="P57" i="6"/>
  <c r="P58" i="6" s="1"/>
  <c r="Q229" i="5"/>
  <c r="Q236" i="5"/>
  <c r="Q19" i="5"/>
  <c r="Q21" i="5" s="1"/>
  <c r="Q319" i="5"/>
  <c r="Q76" i="6"/>
  <c r="Q363" i="5"/>
  <c r="Q20" i="4"/>
  <c r="Q21" i="4" s="1"/>
  <c r="Q126" i="5"/>
  <c r="Q183" i="5"/>
  <c r="Q133" i="5"/>
  <c r="Q55" i="5"/>
  <c r="Q243" i="5"/>
  <c r="T47" i="7"/>
  <c r="O166" i="5"/>
  <c r="P152" i="5"/>
  <c r="P41" i="6"/>
  <c r="T94" i="7"/>
  <c r="Q221" i="5"/>
  <c r="S175" i="5"/>
  <c r="O167" i="5"/>
  <c r="P153" i="5"/>
  <c r="D99" i="14"/>
  <c r="N12" i="10"/>
  <c r="P27" i="5"/>
  <c r="P151" i="5"/>
  <c r="P154" i="5" s="1"/>
  <c r="T121" i="6"/>
  <c r="R364" i="5"/>
  <c r="R365" i="5" s="1"/>
  <c r="R37" i="10" s="1"/>
  <c r="T58" i="7"/>
  <c r="D133" i="14"/>
  <c r="N10" i="9"/>
  <c r="S172" i="5"/>
  <c r="Q261" i="5"/>
  <c r="Q318" i="5"/>
  <c r="Q36" i="7"/>
  <c r="T162" i="5"/>
  <c r="T161" i="5"/>
  <c r="T160" i="5"/>
  <c r="T159" i="5"/>
  <c r="T83" i="7"/>
  <c r="S173" i="5"/>
  <c r="U4" i="10"/>
  <c r="U88" i="7"/>
  <c r="U90" i="7" s="1"/>
  <c r="U4" i="7"/>
  <c r="U4" i="9"/>
  <c r="U77" i="7"/>
  <c r="U79" i="7" s="1"/>
  <c r="U52" i="7"/>
  <c r="U54" i="7" s="1"/>
  <c r="U4" i="6"/>
  <c r="U115" i="6"/>
  <c r="U117" i="6" s="1"/>
  <c r="U41" i="7"/>
  <c r="U43" i="7" s="1"/>
  <c r="U65" i="7"/>
  <c r="U68" i="7" s="1"/>
  <c r="U326" i="5"/>
  <c r="U39" i="4"/>
  <c r="U40" i="4" s="1"/>
  <c r="U152" i="6"/>
  <c r="U276" i="5"/>
  <c r="U278" i="5" s="1"/>
  <c r="U19" i="4"/>
  <c r="V33" i="4"/>
  <c r="U4" i="4"/>
  <c r="U150" i="5"/>
  <c r="U4" i="5"/>
  <c r="U4" i="3"/>
  <c r="S174" i="5"/>
  <c r="T72" i="7"/>
  <c r="R13" i="4"/>
  <c r="R14" i="4" s="1"/>
  <c r="D91" i="14"/>
  <c r="N182" i="5"/>
  <c r="N184" i="5" s="1"/>
  <c r="N28" i="5"/>
  <c r="N29" i="5" s="1"/>
  <c r="S3" i="10"/>
  <c r="S3" i="9"/>
  <c r="S93" i="4"/>
  <c r="S94" i="4" s="1"/>
  <c r="S2" i="6"/>
  <c r="S2" i="7"/>
  <c r="S84" i="4"/>
  <c r="S85" i="4" s="1"/>
  <c r="S2" i="3"/>
  <c r="S56" i="4"/>
  <c r="S58" i="4" s="1"/>
  <c r="S75" i="4"/>
  <c r="S76" i="4" s="1"/>
  <c r="S47" i="4"/>
  <c r="S48" i="4" s="1"/>
  <c r="S66" i="4"/>
  <c r="S67" i="4" s="1"/>
  <c r="S2" i="5"/>
  <c r="S2" i="4"/>
  <c r="R31" i="7"/>
  <c r="R32" i="7" s="1"/>
  <c r="R51" i="6"/>
  <c r="R30" i="6"/>
  <c r="R31" i="6" s="1"/>
  <c r="R204" i="5"/>
  <c r="R107" i="5"/>
  <c r="P33" i="5"/>
  <c r="Q36" i="6"/>
  <c r="Q37" i="6" s="1"/>
  <c r="Q56" i="6"/>
  <c r="S176" i="5"/>
  <c r="T282" i="5"/>
  <c r="D132" i="14" l="1"/>
  <c r="N15" i="10"/>
  <c r="N13" i="10"/>
  <c r="D100" i="14"/>
  <c r="N16" i="10"/>
  <c r="D135" i="14"/>
  <c r="Q58" i="6"/>
  <c r="Q153" i="6" s="1"/>
  <c r="Q154" i="6" s="1"/>
  <c r="N14" i="10"/>
  <c r="D62" i="14"/>
  <c r="N311" i="5"/>
  <c r="N362" i="5"/>
  <c r="N39" i="5"/>
  <c r="N40" i="5" s="1"/>
  <c r="O25" i="5"/>
  <c r="S202" i="5"/>
  <c r="S49" i="6"/>
  <c r="U58" i="7"/>
  <c r="D92" i="14"/>
  <c r="N101" i="5"/>
  <c r="S195" i="5"/>
  <c r="S196" i="5" s="1"/>
  <c r="S42" i="6"/>
  <c r="S43" i="6" s="1"/>
  <c r="S50" i="6"/>
  <c r="S203" i="5"/>
  <c r="S364" i="5"/>
  <c r="S365" i="5" s="1"/>
  <c r="S37" i="10" s="1"/>
  <c r="S312" i="5"/>
  <c r="S313" i="5" s="1"/>
  <c r="T174" i="5"/>
  <c r="T175" i="5"/>
  <c r="P166" i="5"/>
  <c r="Q152" i="5"/>
  <c r="U72" i="7"/>
  <c r="O177" i="5"/>
  <c r="R36" i="7"/>
  <c r="P11" i="9"/>
  <c r="P153" i="6"/>
  <c r="P154" i="6" s="1"/>
  <c r="P116" i="6"/>
  <c r="P117" i="6" s="1"/>
  <c r="P68" i="6"/>
  <c r="P70" i="6" s="1"/>
  <c r="P62" i="6"/>
  <c r="P64" i="6" s="1"/>
  <c r="P106" i="6"/>
  <c r="P75" i="6"/>
  <c r="P77" i="6" s="1"/>
  <c r="T173" i="5"/>
  <c r="S13" i="4"/>
  <c r="S14" i="4" s="1"/>
  <c r="U162" i="5"/>
  <c r="U160" i="5"/>
  <c r="U161" i="5"/>
  <c r="U94" i="7"/>
  <c r="Q33" i="5"/>
  <c r="S31" i="7"/>
  <c r="S32" i="7" s="1"/>
  <c r="S30" i="6"/>
  <c r="S31" i="6" s="1"/>
  <c r="S204" i="5"/>
  <c r="S51" i="6"/>
  <c r="S107" i="5"/>
  <c r="P167" i="5"/>
  <c r="Q153" i="5"/>
  <c r="R229" i="5"/>
  <c r="R319" i="5"/>
  <c r="R236" i="5"/>
  <c r="R19" i="5"/>
  <c r="R21" i="5" s="1"/>
  <c r="R76" i="6"/>
  <c r="R363" i="5"/>
  <c r="R133" i="5"/>
  <c r="R20" i="4"/>
  <c r="R21" i="4" s="1"/>
  <c r="R55" i="5"/>
  <c r="R126" i="5"/>
  <c r="R183" i="5"/>
  <c r="R243" i="5"/>
  <c r="T176" i="5"/>
  <c r="Q27" i="5"/>
  <c r="Q151" i="5"/>
  <c r="Q155" i="5" s="1"/>
  <c r="R56" i="6"/>
  <c r="R36" i="6"/>
  <c r="R37" i="6" s="1"/>
  <c r="U47" i="7"/>
  <c r="R318" i="5"/>
  <c r="T3" i="10"/>
  <c r="T3" i="9"/>
  <c r="T56" i="4"/>
  <c r="T58" i="4" s="1"/>
  <c r="T2" i="6"/>
  <c r="T2" i="7"/>
  <c r="T84" i="4"/>
  <c r="T85" i="4" s="1"/>
  <c r="T47" i="4"/>
  <c r="T48" i="4" s="1"/>
  <c r="T75" i="4"/>
  <c r="T76" i="4" s="1"/>
  <c r="T2" i="5"/>
  <c r="T66" i="4"/>
  <c r="T67" i="4" s="1"/>
  <c r="T2" i="4"/>
  <c r="T2" i="3"/>
  <c r="T93" i="4"/>
  <c r="T94" i="4" s="1"/>
  <c r="U83" i="7"/>
  <c r="R261" i="5"/>
  <c r="R52" i="6"/>
  <c r="V4" i="10"/>
  <c r="V88" i="7"/>
  <c r="V90" i="7" s="1"/>
  <c r="V52" i="7"/>
  <c r="V54" i="7" s="1"/>
  <c r="V4" i="9"/>
  <c r="V77" i="7"/>
  <c r="V79" i="7" s="1"/>
  <c r="V326" i="5"/>
  <c r="V152" i="6"/>
  <c r="V115" i="6"/>
  <c r="V117" i="6" s="1"/>
  <c r="V41" i="7"/>
  <c r="V43" i="7" s="1"/>
  <c r="V39" i="4"/>
  <c r="V40" i="4" s="1"/>
  <c r="V4" i="6"/>
  <c r="V150" i="5"/>
  <c r="V276" i="5"/>
  <c r="V278" i="5" s="1"/>
  <c r="W33" i="4"/>
  <c r="V4" i="4"/>
  <c r="V65" i="7"/>
  <c r="V68" i="7" s="1"/>
  <c r="V4" i="5"/>
  <c r="V4" i="7"/>
  <c r="V19" i="4"/>
  <c r="V4" i="3"/>
  <c r="Q41" i="6"/>
  <c r="R221" i="5"/>
  <c r="U282" i="5"/>
  <c r="Q320" i="5"/>
  <c r="U57" i="4"/>
  <c r="U65" i="4"/>
  <c r="U74" i="4"/>
  <c r="U28" i="4"/>
  <c r="U29" i="4" s="1"/>
  <c r="U92" i="4"/>
  <c r="U83" i="4"/>
  <c r="P168" i="5"/>
  <c r="Q154" i="5"/>
  <c r="U121" i="6"/>
  <c r="S52" i="6" l="1"/>
  <c r="Q62" i="6"/>
  <c r="Q64" i="6" s="1"/>
  <c r="Q116" i="6"/>
  <c r="Q75" i="6"/>
  <c r="Q77" i="6" s="1"/>
  <c r="Q81" i="6" s="1"/>
  <c r="Q83" i="6" s="1"/>
  <c r="Q68" i="6"/>
  <c r="Q70" i="6" s="1"/>
  <c r="Q106" i="6"/>
  <c r="Q11" i="9"/>
  <c r="P177" i="5"/>
  <c r="P182" i="5" s="1"/>
  <c r="P184" i="5" s="1"/>
  <c r="T312" i="5"/>
  <c r="T313" i="5" s="1"/>
  <c r="T202" i="5"/>
  <c r="T49" i="6"/>
  <c r="T364" i="5"/>
  <c r="T365" i="5" s="1"/>
  <c r="T37" i="10" s="1"/>
  <c r="V58" i="7"/>
  <c r="S318" i="5"/>
  <c r="P8" i="9"/>
  <c r="P81" i="6"/>
  <c r="P83" i="6" s="1"/>
  <c r="P87" i="6"/>
  <c r="P89" i="6" s="1"/>
  <c r="S57" i="6"/>
  <c r="W88" i="7"/>
  <c r="W90" i="7" s="1"/>
  <c r="W4" i="9"/>
  <c r="W115" i="6"/>
  <c r="W117" i="6" s="1"/>
  <c r="W326" i="5"/>
  <c r="W152" i="6"/>
  <c r="W65" i="7"/>
  <c r="W68" i="7" s="1"/>
  <c r="W4" i="10"/>
  <c r="W52" i="7"/>
  <c r="W54" i="7" s="1"/>
  <c r="W41" i="7"/>
  <c r="W43" i="7" s="1"/>
  <c r="W4" i="7"/>
  <c r="W39" i="4"/>
  <c r="W40" i="4" s="1"/>
  <c r="W150" i="5"/>
  <c r="W77" i="7"/>
  <c r="W79" i="7" s="1"/>
  <c r="W276" i="5"/>
  <c r="W278" i="5" s="1"/>
  <c r="W4" i="4"/>
  <c r="W4" i="5"/>
  <c r="X33" i="4"/>
  <c r="W4" i="6"/>
  <c r="W19" i="4"/>
  <c r="W4" i="3"/>
  <c r="P13" i="9"/>
  <c r="P100" i="6"/>
  <c r="P101" i="6" s="1"/>
  <c r="Q28" i="10"/>
  <c r="T13" i="4"/>
  <c r="T14" i="4" s="1"/>
  <c r="V57" i="4"/>
  <c r="V65" i="4"/>
  <c r="V74" i="4"/>
  <c r="V28" i="4"/>
  <c r="V29" i="4" s="1"/>
  <c r="V92" i="4"/>
  <c r="V83" i="4"/>
  <c r="Q167" i="5"/>
  <c r="R153" i="5"/>
  <c r="V47" i="7"/>
  <c r="U176" i="5"/>
  <c r="D65" i="14"/>
  <c r="N47" i="5"/>
  <c r="N48" i="5" s="1"/>
  <c r="N54" i="5"/>
  <c r="N56" i="5" s="1"/>
  <c r="V121" i="6"/>
  <c r="U3" i="10"/>
  <c r="U2" i="7"/>
  <c r="U3" i="9"/>
  <c r="U56" i="4"/>
  <c r="U58" i="4" s="1"/>
  <c r="U66" i="4"/>
  <c r="U67" i="4" s="1"/>
  <c r="U2" i="6"/>
  <c r="U84" i="4"/>
  <c r="U85" i="4" s="1"/>
  <c r="U2" i="3"/>
  <c r="U2" i="4"/>
  <c r="U75" i="4"/>
  <c r="U76" i="4" s="1"/>
  <c r="U2" i="5"/>
  <c r="U47" i="4"/>
  <c r="U48" i="4" s="1"/>
  <c r="U93" i="4"/>
  <c r="U94" i="4" s="1"/>
  <c r="S36" i="6"/>
  <c r="S37" i="6" s="1"/>
  <c r="S36" i="7"/>
  <c r="V94" i="7"/>
  <c r="R27" i="5"/>
  <c r="R151" i="5"/>
  <c r="R156" i="5" s="1"/>
  <c r="R57" i="6"/>
  <c r="R58" i="6" s="1"/>
  <c r="Q169" i="5"/>
  <c r="R155" i="5"/>
  <c r="V282" i="5"/>
  <c r="R320" i="5"/>
  <c r="P121" i="6"/>
  <c r="S261" i="5"/>
  <c r="U174" i="5"/>
  <c r="O38" i="5"/>
  <c r="O32" i="5"/>
  <c r="O34" i="5" s="1"/>
  <c r="Q168" i="5"/>
  <c r="R154" i="5"/>
  <c r="S56" i="6"/>
  <c r="S221" i="5"/>
  <c r="S319" i="5"/>
  <c r="S320" i="5" s="1"/>
  <c r="S236" i="5"/>
  <c r="S76" i="6"/>
  <c r="S243" i="5"/>
  <c r="S363" i="5"/>
  <c r="S19" i="5"/>
  <c r="S21" i="5" s="1"/>
  <c r="S229" i="5"/>
  <c r="S126" i="5"/>
  <c r="S20" i="4"/>
  <c r="S21" i="4" s="1"/>
  <c r="S133" i="5"/>
  <c r="S55" i="5"/>
  <c r="S183" i="5"/>
  <c r="O182" i="5"/>
  <c r="O184" i="5" s="1"/>
  <c r="O28" i="5"/>
  <c r="R33" i="5"/>
  <c r="T195" i="5"/>
  <c r="T196" i="5" s="1"/>
  <c r="T203" i="5"/>
  <c r="T50" i="6"/>
  <c r="T42" i="6"/>
  <c r="T43" i="6" s="1"/>
  <c r="U175" i="5"/>
  <c r="Q166" i="5"/>
  <c r="R152" i="5"/>
  <c r="V72" i="7"/>
  <c r="P12" i="9"/>
  <c r="Q158" i="6"/>
  <c r="V162" i="5"/>
  <c r="V161" i="5"/>
  <c r="Q12" i="9"/>
  <c r="P158" i="6"/>
  <c r="T30" i="6"/>
  <c r="T31" i="6" s="1"/>
  <c r="T204" i="5"/>
  <c r="T31" i="7"/>
  <c r="T32" i="7" s="1"/>
  <c r="T51" i="6"/>
  <c r="T107" i="5"/>
  <c r="Q8" i="9"/>
  <c r="V83" i="7"/>
  <c r="R41" i="6"/>
  <c r="Q13" i="9" l="1"/>
  <c r="Q87" i="6"/>
  <c r="Q89" i="6" s="1"/>
  <c r="Q100" i="6"/>
  <c r="Q101" i="6" s="1"/>
  <c r="P28" i="5"/>
  <c r="S58" i="6"/>
  <c r="S11" i="9" s="1"/>
  <c r="U312" i="5"/>
  <c r="U313" i="5" s="1"/>
  <c r="R11" i="9"/>
  <c r="R75" i="6"/>
  <c r="R77" i="6" s="1"/>
  <c r="R153" i="6"/>
  <c r="R154" i="6" s="1"/>
  <c r="R106" i="6"/>
  <c r="R62" i="6"/>
  <c r="R64" i="6" s="1"/>
  <c r="R116" i="6"/>
  <c r="R68" i="6"/>
  <c r="R70" i="6" s="1"/>
  <c r="U203" i="5"/>
  <c r="U42" i="6"/>
  <c r="U43" i="6" s="1"/>
  <c r="U50" i="6"/>
  <c r="U195" i="5"/>
  <c r="U196" i="5" s="1"/>
  <c r="R167" i="5"/>
  <c r="S153" i="5"/>
  <c r="T36" i="7"/>
  <c r="O101" i="5"/>
  <c r="Q177" i="5"/>
  <c r="U13" i="4"/>
  <c r="U14" i="4" s="1"/>
  <c r="R170" i="5"/>
  <c r="S156" i="5"/>
  <c r="D67" i="14"/>
  <c r="N61" i="5"/>
  <c r="N62" i="5" s="1"/>
  <c r="N100" i="5"/>
  <c r="T261" i="5"/>
  <c r="D66" i="14"/>
  <c r="W94" i="7"/>
  <c r="U364" i="5"/>
  <c r="U365" i="5" s="1"/>
  <c r="U37" i="10" s="1"/>
  <c r="T56" i="6"/>
  <c r="W282" i="5"/>
  <c r="S27" i="5"/>
  <c r="S151" i="5"/>
  <c r="S157" i="5" s="1"/>
  <c r="R168" i="5"/>
  <c r="S154" i="5"/>
  <c r="P101" i="5"/>
  <c r="T52" i="6"/>
  <c r="Q9" i="9"/>
  <c r="T76" i="6"/>
  <c r="T243" i="5"/>
  <c r="T236" i="5"/>
  <c r="T183" i="5"/>
  <c r="T126" i="5"/>
  <c r="T55" i="5"/>
  <c r="T363" i="5"/>
  <c r="T20" i="4"/>
  <c r="T21" i="4" s="1"/>
  <c r="T133" i="5"/>
  <c r="T229" i="5"/>
  <c r="T319" i="5"/>
  <c r="T19" i="5"/>
  <c r="T21" i="5" s="1"/>
  <c r="W162" i="5"/>
  <c r="Q10" i="9"/>
  <c r="W57" i="4"/>
  <c r="W65" i="4"/>
  <c r="W74" i="4"/>
  <c r="W83" i="4"/>
  <c r="W28" i="4"/>
  <c r="W29" i="4" s="1"/>
  <c r="W92" i="4"/>
  <c r="P9" i="9"/>
  <c r="V175" i="5"/>
  <c r="P15" i="9"/>
  <c r="V176" i="5"/>
  <c r="W72" i="7"/>
  <c r="R166" i="5"/>
  <c r="S152" i="5"/>
  <c r="T36" i="6"/>
  <c r="T37" i="6" s="1"/>
  <c r="W121" i="6"/>
  <c r="V3" i="9"/>
  <c r="V3" i="10"/>
  <c r="V2" i="7"/>
  <c r="V56" i="4"/>
  <c r="V58" i="4" s="1"/>
  <c r="V66" i="4"/>
  <c r="V67" i="4" s="1"/>
  <c r="V75" i="4"/>
  <c r="V76" i="4" s="1"/>
  <c r="V47" i="4"/>
  <c r="V48" i="4" s="1"/>
  <c r="V2" i="6"/>
  <c r="V2" i="3"/>
  <c r="V93" i="4"/>
  <c r="V94" i="4" s="1"/>
  <c r="V2" i="5"/>
  <c r="V84" i="4"/>
  <c r="V85" i="4" s="1"/>
  <c r="V2" i="4"/>
  <c r="X4" i="9"/>
  <c r="X152" i="6"/>
  <c r="X88" i="7"/>
  <c r="X90" i="7" s="1"/>
  <c r="X4" i="7"/>
  <c r="X326" i="5"/>
  <c r="X4" i="5"/>
  <c r="X77" i="7"/>
  <c r="X79" i="7" s="1"/>
  <c r="X276" i="5"/>
  <c r="X278" i="5" s="1"/>
  <c r="X115" i="6"/>
  <c r="X117" i="6" s="1"/>
  <c r="X65" i="7"/>
  <c r="X68" i="7" s="1"/>
  <c r="X150" i="5"/>
  <c r="X4" i="6"/>
  <c r="X19" i="4"/>
  <c r="X4" i="4"/>
  <c r="X41" i="7"/>
  <c r="X43" i="7" s="1"/>
  <c r="X39" i="4"/>
  <c r="X40" i="4" s="1"/>
  <c r="X52" i="7"/>
  <c r="X54" i="7" s="1"/>
  <c r="X4" i="10"/>
  <c r="X4" i="3"/>
  <c r="S33" i="5"/>
  <c r="T221" i="5"/>
  <c r="O26" i="5"/>
  <c r="O29" i="5" s="1"/>
  <c r="U204" i="5"/>
  <c r="U51" i="6"/>
  <c r="U107" i="5"/>
  <c r="U31" i="7"/>
  <c r="U32" i="7" s="1"/>
  <c r="U30" i="6"/>
  <c r="U31" i="6" s="1"/>
  <c r="T318" i="5"/>
  <c r="S28" i="10"/>
  <c r="W58" i="7"/>
  <c r="Q15" i="9"/>
  <c r="S41" i="6"/>
  <c r="W83" i="7"/>
  <c r="R28" i="10"/>
  <c r="P10" i="9"/>
  <c r="R169" i="5"/>
  <c r="S155" i="5"/>
  <c r="U202" i="5"/>
  <c r="U49" i="6"/>
  <c r="W47" i="7"/>
  <c r="S68" i="6" l="1"/>
  <c r="S70" i="6" s="1"/>
  <c r="S100" i="6" s="1"/>
  <c r="S101" i="6" s="1"/>
  <c r="S153" i="6"/>
  <c r="S154" i="6" s="1"/>
  <c r="S116" i="6"/>
  <c r="S75" i="6"/>
  <c r="S77" i="6" s="1"/>
  <c r="S62" i="6"/>
  <c r="S64" i="6" s="1"/>
  <c r="S12" i="9" s="1"/>
  <c r="S106" i="6"/>
  <c r="T320" i="5"/>
  <c r="T28" i="10" s="1"/>
  <c r="V364" i="5"/>
  <c r="V365" i="5" s="1"/>
  <c r="V37" i="10" s="1"/>
  <c r="T57" i="6"/>
  <c r="T58" i="6" s="1"/>
  <c r="T41" i="6"/>
  <c r="T33" i="5"/>
  <c r="R13" i="9"/>
  <c r="R100" i="6"/>
  <c r="R101" i="6" s="1"/>
  <c r="X72" i="7"/>
  <c r="F73" i="7" s="1"/>
  <c r="L68" i="7"/>
  <c r="L72" i="7" s="1"/>
  <c r="X121" i="6"/>
  <c r="S171" i="5"/>
  <c r="T157" i="5"/>
  <c r="Q182" i="5"/>
  <c r="Q184" i="5" s="1"/>
  <c r="Q28" i="5"/>
  <c r="R12" i="9"/>
  <c r="X47" i="7"/>
  <c r="F48" i="7" s="1"/>
  <c r="L43" i="7"/>
  <c r="L47" i="7" s="1"/>
  <c r="U56" i="6"/>
  <c r="O14" i="10"/>
  <c r="O311" i="5"/>
  <c r="O362" i="5"/>
  <c r="P25" i="5"/>
  <c r="O39" i="5"/>
  <c r="O40" i="5" s="1"/>
  <c r="U52" i="6"/>
  <c r="W3" i="10"/>
  <c r="W2" i="7"/>
  <c r="W3" i="9"/>
  <c r="W2" i="6"/>
  <c r="W56" i="4"/>
  <c r="W58" i="4" s="1"/>
  <c r="W66" i="4"/>
  <c r="W67" i="4" s="1"/>
  <c r="W75" i="4"/>
  <c r="W76" i="4" s="1"/>
  <c r="W47" i="4"/>
  <c r="W48" i="4" s="1"/>
  <c r="W84" i="4"/>
  <c r="W85" i="4" s="1"/>
  <c r="W2" i="3"/>
  <c r="W93" i="4"/>
  <c r="W94" i="4" s="1"/>
  <c r="W2" i="5"/>
  <c r="W2" i="4"/>
  <c r="X83" i="7"/>
  <c r="F84" i="7" s="1"/>
  <c r="L79" i="7"/>
  <c r="L83" i="7" s="1"/>
  <c r="V13" i="4"/>
  <c r="V14" i="4" s="1"/>
  <c r="R177" i="5"/>
  <c r="R158" i="6"/>
  <c r="V42" i="6"/>
  <c r="V43" i="6" s="1"/>
  <c r="V50" i="6"/>
  <c r="V203" i="5"/>
  <c r="V195" i="5"/>
  <c r="V196" i="5" s="1"/>
  <c r="D68" i="14"/>
  <c r="N67" i="5"/>
  <c r="N68" i="5" s="1"/>
  <c r="R8" i="9"/>
  <c r="R81" i="6"/>
  <c r="R83" i="6" s="1"/>
  <c r="R87" i="6"/>
  <c r="R89" i="6" s="1"/>
  <c r="X65" i="4"/>
  <c r="X74" i="4"/>
  <c r="X83" i="4"/>
  <c r="X92" i="4"/>
  <c r="X28" i="4"/>
  <c r="X29" i="4" s="1"/>
  <c r="X57" i="4"/>
  <c r="V312" i="5"/>
  <c r="V313" i="5" s="1"/>
  <c r="V49" i="6"/>
  <c r="V202" i="5"/>
  <c r="S87" i="6"/>
  <c r="S89" i="6" s="1"/>
  <c r="S169" i="5"/>
  <c r="T155" i="5"/>
  <c r="X282" i="5"/>
  <c r="S166" i="5"/>
  <c r="T152" i="5"/>
  <c r="V31" i="7"/>
  <c r="V32" i="7" s="1"/>
  <c r="V30" i="6"/>
  <c r="V31" i="6" s="1"/>
  <c r="V51" i="6"/>
  <c r="V204" i="5"/>
  <c r="V107" i="5"/>
  <c r="U36" i="7"/>
  <c r="U261" i="5"/>
  <c r="S170" i="5"/>
  <c r="T156" i="5"/>
  <c r="U318" i="5"/>
  <c r="U221" i="5"/>
  <c r="T27" i="5"/>
  <c r="T151" i="5"/>
  <c r="T158" i="5" s="1"/>
  <c r="U319" i="5"/>
  <c r="U236" i="5"/>
  <c r="U183" i="5"/>
  <c r="U363" i="5"/>
  <c r="U76" i="6"/>
  <c r="U133" i="5"/>
  <c r="U20" i="4"/>
  <c r="U21" i="4" s="1"/>
  <c r="U55" i="5"/>
  <c r="U229" i="5"/>
  <c r="U126" i="5"/>
  <c r="U243" i="5"/>
  <c r="U19" i="5"/>
  <c r="U21" i="5" s="1"/>
  <c r="S168" i="5"/>
  <c r="T154" i="5"/>
  <c r="U36" i="6"/>
  <c r="U37" i="6" s="1"/>
  <c r="X94" i="7"/>
  <c r="F95" i="7" s="1"/>
  <c r="L90" i="7"/>
  <c r="L94" i="7" s="1"/>
  <c r="W176" i="5"/>
  <c r="S167" i="5"/>
  <c r="T153" i="5"/>
  <c r="X58" i="7"/>
  <c r="F59" i="7" s="1"/>
  <c r="L54" i="7"/>
  <c r="L58" i="7" s="1"/>
  <c r="S13" i="9" l="1"/>
  <c r="S8" i="9"/>
  <c r="S81" i="6"/>
  <c r="S83" i="6" s="1"/>
  <c r="S158" i="6"/>
  <c r="S177" i="5"/>
  <c r="S28" i="5" s="1"/>
  <c r="W364" i="5"/>
  <c r="W365" i="5" s="1"/>
  <c r="W37" i="10" s="1"/>
  <c r="T11" i="9"/>
  <c r="T116" i="6"/>
  <c r="T106" i="6"/>
  <c r="T62" i="6"/>
  <c r="T64" i="6" s="1"/>
  <c r="T153" i="6"/>
  <c r="T154" i="6" s="1"/>
  <c r="T75" i="6"/>
  <c r="T77" i="6" s="1"/>
  <c r="T68" i="6"/>
  <c r="T70" i="6" s="1"/>
  <c r="W312" i="5"/>
  <c r="W313" i="5" s="1"/>
  <c r="U57" i="6"/>
  <c r="U58" i="6" s="1"/>
  <c r="U41" i="6"/>
  <c r="R9" i="9"/>
  <c r="T171" i="5"/>
  <c r="U157" i="5"/>
  <c r="T170" i="5"/>
  <c r="U156" i="5"/>
  <c r="T166" i="5"/>
  <c r="U152" i="5"/>
  <c r="W13" i="4"/>
  <c r="W14" i="4" s="1"/>
  <c r="S15" i="9"/>
  <c r="T172" i="5"/>
  <c r="U158" i="5"/>
  <c r="Q101" i="5"/>
  <c r="U33" i="5"/>
  <c r="P38" i="5"/>
  <c r="P32" i="5"/>
  <c r="P34" i="5" s="1"/>
  <c r="S182" i="5"/>
  <c r="S184" i="5" s="1"/>
  <c r="V52" i="6"/>
  <c r="R182" i="5"/>
  <c r="R184" i="5" s="1"/>
  <c r="R28" i="5"/>
  <c r="F31" i="10"/>
  <c r="D162" i="14"/>
  <c r="F29" i="9"/>
  <c r="F170" i="6"/>
  <c r="F344" i="5"/>
  <c r="O54" i="5"/>
  <c r="O56" i="5" s="1"/>
  <c r="O47" i="5"/>
  <c r="O48" i="5" s="1"/>
  <c r="V56" i="6"/>
  <c r="T168" i="5"/>
  <c r="U154" i="5"/>
  <c r="U320" i="5"/>
  <c r="V318" i="5"/>
  <c r="D69" i="14"/>
  <c r="N99" i="5"/>
  <c r="N102" i="5" s="1"/>
  <c r="V319" i="5"/>
  <c r="V183" i="5"/>
  <c r="V76" i="6"/>
  <c r="V133" i="5"/>
  <c r="V243" i="5"/>
  <c r="V20" i="4"/>
  <c r="V21" i="4" s="1"/>
  <c r="V55" i="5"/>
  <c r="V236" i="5"/>
  <c r="V126" i="5"/>
  <c r="V229" i="5"/>
  <c r="V363" i="5"/>
  <c r="V19" i="5"/>
  <c r="V21" i="5" s="1"/>
  <c r="W107" i="5"/>
  <c r="W30" i="6"/>
  <c r="W31" i="6" s="1"/>
  <c r="W51" i="6"/>
  <c r="W204" i="5"/>
  <c r="W31" i="7"/>
  <c r="W32" i="7" s="1"/>
  <c r="F19" i="9"/>
  <c r="F20" i="10"/>
  <c r="F133" i="6"/>
  <c r="F294" i="5"/>
  <c r="D156" i="14"/>
  <c r="S10" i="9"/>
  <c r="W42" i="6"/>
  <c r="W43" i="6" s="1"/>
  <c r="W195" i="5"/>
  <c r="W196" i="5" s="1"/>
  <c r="W203" i="5"/>
  <c r="W50" i="6"/>
  <c r="V36" i="7"/>
  <c r="R10" i="9"/>
  <c r="R15" i="9"/>
  <c r="T169" i="5"/>
  <c r="U155" i="5"/>
  <c r="F19" i="10"/>
  <c r="F18" i="9"/>
  <c r="F288" i="5"/>
  <c r="F127" i="6"/>
  <c r="D154" i="14"/>
  <c r="X3" i="9"/>
  <c r="X3" i="10"/>
  <c r="X2" i="7"/>
  <c r="X2" i="6"/>
  <c r="X66" i="4"/>
  <c r="X67" i="4" s="1"/>
  <c r="X75" i="4"/>
  <c r="X76" i="4" s="1"/>
  <c r="X47" i="4"/>
  <c r="X48" i="4" s="1"/>
  <c r="X84" i="4"/>
  <c r="X85" i="4" s="1"/>
  <c r="X93" i="4"/>
  <c r="X94" i="4" s="1"/>
  <c r="X56" i="4"/>
  <c r="X58" i="4" s="1"/>
  <c r="X2" i="5"/>
  <c r="X2" i="4"/>
  <c r="X2" i="3"/>
  <c r="V261" i="5"/>
  <c r="F27" i="9"/>
  <c r="F29" i="10"/>
  <c r="D158" i="14"/>
  <c r="V221" i="5"/>
  <c r="V36" i="6"/>
  <c r="V37" i="6" s="1"/>
  <c r="W49" i="6"/>
  <c r="W202" i="5"/>
  <c r="T167" i="5"/>
  <c r="U153" i="5"/>
  <c r="F30" i="10"/>
  <c r="F28" i="9"/>
  <c r="D160" i="14"/>
  <c r="F164" i="6"/>
  <c r="F338" i="5"/>
  <c r="U27" i="5"/>
  <c r="U151" i="5"/>
  <c r="U159" i="5" s="1"/>
  <c r="S9" i="9"/>
  <c r="T177" i="5" l="1"/>
  <c r="T28" i="5" s="1"/>
  <c r="W52" i="6"/>
  <c r="X364" i="5"/>
  <c r="L85" i="4"/>
  <c r="L364" i="5" s="1"/>
  <c r="U11" i="9"/>
  <c r="U68" i="6"/>
  <c r="U70" i="6" s="1"/>
  <c r="U106" i="6"/>
  <c r="U62" i="6"/>
  <c r="U64" i="6" s="1"/>
  <c r="U153" i="6"/>
  <c r="U154" i="6" s="1"/>
  <c r="U75" i="6"/>
  <c r="U77" i="6" s="1"/>
  <c r="U116" i="6"/>
  <c r="X312" i="5"/>
  <c r="X313" i="5" s="1"/>
  <c r="L94" i="4"/>
  <c r="L312" i="5" s="1"/>
  <c r="W56" i="6"/>
  <c r="W36" i="6"/>
  <c r="W37" i="6" s="1"/>
  <c r="X31" i="7"/>
  <c r="X32" i="7" s="1"/>
  <c r="X30" i="6"/>
  <c r="X31" i="6" s="1"/>
  <c r="X51" i="6"/>
  <c r="X107" i="5"/>
  <c r="X204" i="5"/>
  <c r="L58" i="4"/>
  <c r="V41" i="6"/>
  <c r="V27" i="5"/>
  <c r="V151" i="5"/>
  <c r="V160" i="5" s="1"/>
  <c r="W318" i="5"/>
  <c r="U28" i="10"/>
  <c r="X49" i="6"/>
  <c r="X202" i="5"/>
  <c r="L67" i="4"/>
  <c r="U167" i="5"/>
  <c r="V153" i="5"/>
  <c r="U168" i="5"/>
  <c r="V154" i="5"/>
  <c r="U170" i="5"/>
  <c r="V156" i="5"/>
  <c r="T13" i="9"/>
  <c r="T100" i="6"/>
  <c r="T101" i="6" s="1"/>
  <c r="T8" i="9"/>
  <c r="T87" i="6"/>
  <c r="T89" i="6" s="1"/>
  <c r="T81" i="6"/>
  <c r="T83" i="6" s="1"/>
  <c r="V33" i="5"/>
  <c r="T158" i="6"/>
  <c r="R101" i="5"/>
  <c r="U172" i="5"/>
  <c r="V158" i="5"/>
  <c r="U171" i="5"/>
  <c r="V157" i="5"/>
  <c r="T12" i="9"/>
  <c r="P26" i="5"/>
  <c r="P29" i="5" s="1"/>
  <c r="D74" i="14"/>
  <c r="N201" i="5"/>
  <c r="N118" i="5"/>
  <c r="N120" i="5" s="1"/>
  <c r="N112" i="5"/>
  <c r="N114" i="5" s="1"/>
  <c r="N106" i="5"/>
  <c r="N108" i="5" s="1"/>
  <c r="X42" i="6"/>
  <c r="X43" i="6" s="1"/>
  <c r="X195" i="5"/>
  <c r="X196" i="5" s="1"/>
  <c r="X203" i="5"/>
  <c r="X50" i="6"/>
  <c r="L76" i="4"/>
  <c r="U166" i="5"/>
  <c r="V152" i="5"/>
  <c r="U169" i="5"/>
  <c r="V155" i="5"/>
  <c r="X13" i="4"/>
  <c r="X14" i="4" s="1"/>
  <c r="L48" i="4"/>
  <c r="L13" i="4" s="1"/>
  <c r="V57" i="6"/>
  <c r="V58" i="6" s="1"/>
  <c r="W57" i="6"/>
  <c r="W36" i="7"/>
  <c r="U173" i="5"/>
  <c r="V159" i="5"/>
  <c r="V320" i="5"/>
  <c r="O100" i="5"/>
  <c r="O61" i="5"/>
  <c r="O62" i="5" s="1"/>
  <c r="S101" i="5"/>
  <c r="W221" i="5"/>
  <c r="W183" i="5"/>
  <c r="W236" i="5"/>
  <c r="W229" i="5"/>
  <c r="W243" i="5"/>
  <c r="W76" i="6"/>
  <c r="W363" i="5"/>
  <c r="W20" i="4"/>
  <c r="W21" i="4" s="1"/>
  <c r="W126" i="5"/>
  <c r="W133" i="5"/>
  <c r="W55" i="5"/>
  <c r="W319" i="5"/>
  <c r="W19" i="5"/>
  <c r="W21" i="5" s="1"/>
  <c r="W261" i="5"/>
  <c r="T182" i="5" l="1"/>
  <c r="T184" i="5" s="1"/>
  <c r="X52" i="6"/>
  <c r="V173" i="5"/>
  <c r="W159" i="5"/>
  <c r="V171" i="5"/>
  <c r="W157" i="5"/>
  <c r="X56" i="6"/>
  <c r="V172" i="5"/>
  <c r="W158" i="5"/>
  <c r="L202" i="5"/>
  <c r="L49" i="6"/>
  <c r="T101" i="5"/>
  <c r="U158" i="6"/>
  <c r="W151" i="5"/>
  <c r="W161" i="5" s="1"/>
  <c r="W27" i="5"/>
  <c r="W320" i="5"/>
  <c r="O67" i="5"/>
  <c r="O68" i="5" s="1"/>
  <c r="U177" i="5"/>
  <c r="P14" i="10"/>
  <c r="P362" i="5"/>
  <c r="P39" i="5"/>
  <c r="P40" i="5" s="1"/>
  <c r="Q25" i="5"/>
  <c r="P311" i="5"/>
  <c r="P313" i="5" s="1"/>
  <c r="V168" i="5"/>
  <c r="W154" i="5"/>
  <c r="X221" i="5"/>
  <c r="X318" i="5"/>
  <c r="N132" i="5"/>
  <c r="N134" i="5" s="1"/>
  <c r="D76" i="14"/>
  <c r="X57" i="6"/>
  <c r="L52" i="6"/>
  <c r="L57" i="6" s="1"/>
  <c r="V170" i="5"/>
  <c r="W156" i="5"/>
  <c r="U13" i="9"/>
  <c r="U100" i="6"/>
  <c r="U101" i="6" s="1"/>
  <c r="V166" i="5"/>
  <c r="W152" i="5"/>
  <c r="D75" i="14"/>
  <c r="N189" i="5"/>
  <c r="N190" i="5" s="1"/>
  <c r="U8" i="9"/>
  <c r="U81" i="6"/>
  <c r="U83" i="6" s="1"/>
  <c r="U87" i="6"/>
  <c r="U89" i="6" s="1"/>
  <c r="U12" i="9"/>
  <c r="V62" i="6"/>
  <c r="V64" i="6" s="1"/>
  <c r="V11" i="9"/>
  <c r="V116" i="6"/>
  <c r="V153" i="6"/>
  <c r="V154" i="6" s="1"/>
  <c r="V75" i="6"/>
  <c r="V77" i="6" s="1"/>
  <c r="V106" i="6"/>
  <c r="V68" i="6"/>
  <c r="V70" i="6" s="1"/>
  <c r="X36" i="7"/>
  <c r="F37" i="7" s="1"/>
  <c r="L32" i="7"/>
  <c r="L36" i="7" s="1"/>
  <c r="L195" i="5"/>
  <c r="L42" i="6"/>
  <c r="L203" i="5"/>
  <c r="L50" i="6"/>
  <c r="V174" i="5"/>
  <c r="W160" i="5"/>
  <c r="W41" i="6"/>
  <c r="T10" i="9"/>
  <c r="X319" i="5"/>
  <c r="X183" i="5"/>
  <c r="X229" i="5"/>
  <c r="X243" i="5"/>
  <c r="X76" i="6"/>
  <c r="X236" i="5"/>
  <c r="X126" i="5"/>
  <c r="X133" i="5"/>
  <c r="X55" i="5"/>
  <c r="X20" i="4"/>
  <c r="X21" i="4" s="1"/>
  <c r="X363" i="5"/>
  <c r="X19" i="5"/>
  <c r="X21" i="5" s="1"/>
  <c r="L14" i="4"/>
  <c r="T15" i="9"/>
  <c r="D77" i="14"/>
  <c r="N125" i="5"/>
  <c r="N127" i="5" s="1"/>
  <c r="L30" i="6"/>
  <c r="L51" i="6"/>
  <c r="L107" i="5"/>
  <c r="L204" i="5"/>
  <c r="L31" i="7"/>
  <c r="V169" i="5"/>
  <c r="W155" i="5"/>
  <c r="X36" i="6"/>
  <c r="X37" i="6" s="1"/>
  <c r="L31" i="6"/>
  <c r="L36" i="6" s="1"/>
  <c r="W33" i="5"/>
  <c r="V28" i="10"/>
  <c r="T9" i="9"/>
  <c r="V167" i="5"/>
  <c r="W153" i="5"/>
  <c r="W58" i="6"/>
  <c r="X58" i="6" l="1"/>
  <c r="X75" i="6" s="1"/>
  <c r="X77" i="6" s="1"/>
  <c r="V177" i="5"/>
  <c r="D78" i="14"/>
  <c r="V12" i="9"/>
  <c r="O99" i="5"/>
  <c r="O102" i="5" s="1"/>
  <c r="W28" i="10"/>
  <c r="X106" i="6"/>
  <c r="X153" i="6"/>
  <c r="X154" i="6" s="1"/>
  <c r="X116" i="6"/>
  <c r="U10" i="9"/>
  <c r="W168" i="5"/>
  <c r="X154" i="5"/>
  <c r="X41" i="6"/>
  <c r="O43" i="6" s="1"/>
  <c r="L37" i="6"/>
  <c r="L41" i="6" s="1"/>
  <c r="L76" i="6"/>
  <c r="L243" i="5"/>
  <c r="L363" i="5"/>
  <c r="L126" i="5"/>
  <c r="L55" i="5"/>
  <c r="L133" i="5"/>
  <c r="L183" i="5"/>
  <c r="L319" i="5"/>
  <c r="L229" i="5"/>
  <c r="L19" i="5"/>
  <c r="L236" i="5"/>
  <c r="L20" i="4"/>
  <c r="D152" i="14"/>
  <c r="F17" i="9"/>
  <c r="F18" i="10"/>
  <c r="U9" i="9"/>
  <c r="W171" i="5"/>
  <c r="X157" i="5"/>
  <c r="X27" i="5"/>
  <c r="X151" i="5"/>
  <c r="X162" i="5" s="1"/>
  <c r="L21" i="5"/>
  <c r="V158" i="6"/>
  <c r="W166" i="5"/>
  <c r="X152" i="5"/>
  <c r="U182" i="5"/>
  <c r="U184" i="5" s="1"/>
  <c r="U28" i="5"/>
  <c r="D79" i="14"/>
  <c r="W175" i="5"/>
  <c r="X161" i="5"/>
  <c r="W169" i="5"/>
  <c r="X155" i="5"/>
  <c r="X33" i="5"/>
  <c r="V100" i="6"/>
  <c r="V101" i="6" s="1"/>
  <c r="V13" i="9"/>
  <c r="W174" i="5"/>
  <c r="X160" i="5"/>
  <c r="D93" i="14"/>
  <c r="N194" i="5"/>
  <c r="P54" i="5"/>
  <c r="P56" i="5" s="1"/>
  <c r="P47" i="5"/>
  <c r="P48" i="5" s="1"/>
  <c r="U15" i="9"/>
  <c r="W172" i="5"/>
  <c r="X158" i="5"/>
  <c r="X320" i="5"/>
  <c r="W170" i="5"/>
  <c r="X156" i="5"/>
  <c r="P318" i="5"/>
  <c r="P320" i="5" s="1"/>
  <c r="L313" i="5"/>
  <c r="L318" i="5" s="1"/>
  <c r="Q32" i="5"/>
  <c r="Q34" i="5" s="1"/>
  <c r="Q38" i="5"/>
  <c r="W173" i="5"/>
  <c r="X159" i="5"/>
  <c r="W116" i="6"/>
  <c r="W62" i="6"/>
  <c r="W64" i="6" s="1"/>
  <c r="W75" i="6"/>
  <c r="W77" i="6" s="1"/>
  <c r="W153" i="6"/>
  <c r="W154" i="6" s="1"/>
  <c r="W68" i="6"/>
  <c r="W70" i="6" s="1"/>
  <c r="W11" i="9"/>
  <c r="W106" i="6"/>
  <c r="W167" i="5"/>
  <c r="X153" i="5"/>
  <c r="V87" i="6"/>
  <c r="V89" i="6" s="1"/>
  <c r="V81" i="6"/>
  <c r="V83" i="6" s="1"/>
  <c r="V8" i="9"/>
  <c r="X11" i="9" l="1"/>
  <c r="W177" i="5"/>
  <c r="W182" i="5" s="1"/>
  <c r="W184" i="5" s="1"/>
  <c r="X62" i="6"/>
  <c r="X64" i="6" s="1"/>
  <c r="X12" i="9" s="1"/>
  <c r="X68" i="6"/>
  <c r="X70" i="6" s="1"/>
  <c r="X100" i="6" s="1"/>
  <c r="X101" i="6" s="1"/>
  <c r="X158" i="6"/>
  <c r="W81" i="6"/>
  <c r="W83" i="6" s="1"/>
  <c r="W8" i="9"/>
  <c r="W87" i="6"/>
  <c r="W89" i="6" s="1"/>
  <c r="X168" i="5"/>
  <c r="L154" i="5"/>
  <c r="L168" i="5" s="1"/>
  <c r="V9" i="9"/>
  <c r="X173" i="5"/>
  <c r="L159" i="5"/>
  <c r="L173" i="5" s="1"/>
  <c r="X172" i="5"/>
  <c r="L158" i="5"/>
  <c r="L172" i="5" s="1"/>
  <c r="O201" i="5"/>
  <c r="O118" i="5"/>
  <c r="O120" i="5" s="1"/>
  <c r="O112" i="5"/>
  <c r="O114" i="5" s="1"/>
  <c r="O106" i="5"/>
  <c r="O108" i="5" s="1"/>
  <c r="X175" i="5"/>
  <c r="L161" i="5"/>
  <c r="L175" i="5" s="1"/>
  <c r="W158" i="6"/>
  <c r="O56" i="6"/>
  <c r="O58" i="6" s="1"/>
  <c r="L43" i="6"/>
  <c r="L56" i="6" s="1"/>
  <c r="V10" i="9"/>
  <c r="L27" i="5"/>
  <c r="L151" i="5"/>
  <c r="V15" i="9"/>
  <c r="X176" i="5"/>
  <c r="L162" i="5"/>
  <c r="L176" i="5" s="1"/>
  <c r="W100" i="6"/>
  <c r="W101" i="6" s="1"/>
  <c r="W13" i="9"/>
  <c r="W12" i="9"/>
  <c r="X174" i="5"/>
  <c r="L160" i="5"/>
  <c r="L174" i="5" s="1"/>
  <c r="X167" i="5"/>
  <c r="L153" i="5"/>
  <c r="L167" i="5" s="1"/>
  <c r="X169" i="5"/>
  <c r="L155" i="5"/>
  <c r="L169" i="5" s="1"/>
  <c r="U101" i="5"/>
  <c r="X28" i="10"/>
  <c r="Q26" i="5"/>
  <c r="Q29" i="5" s="1"/>
  <c r="X171" i="5"/>
  <c r="L157" i="5"/>
  <c r="L171" i="5" s="1"/>
  <c r="P100" i="5"/>
  <c r="P61" i="5"/>
  <c r="P62" i="5" s="1"/>
  <c r="X170" i="5"/>
  <c r="L156" i="5"/>
  <c r="L170" i="5" s="1"/>
  <c r="X81" i="6"/>
  <c r="X83" i="6" s="1"/>
  <c r="X8" i="9"/>
  <c r="X87" i="6"/>
  <c r="X89" i="6" s="1"/>
  <c r="P28" i="10"/>
  <c r="L320" i="5"/>
  <c r="L28" i="10" s="1"/>
  <c r="X166" i="5"/>
  <c r="L152" i="5"/>
  <c r="L166" i="5" s="1"/>
  <c r="V182" i="5"/>
  <c r="V184" i="5" s="1"/>
  <c r="V28" i="5"/>
  <c r="W28" i="5" l="1"/>
  <c r="X13" i="9"/>
  <c r="W101" i="5"/>
  <c r="O132" i="5"/>
  <c r="O134" i="5" s="1"/>
  <c r="X9" i="9"/>
  <c r="P67" i="5"/>
  <c r="P68" i="5" s="1"/>
  <c r="O125" i="5"/>
  <c r="O127" i="5" s="1"/>
  <c r="W10" i="9"/>
  <c r="V101" i="5"/>
  <c r="X15" i="9"/>
  <c r="O189" i="5"/>
  <c r="O190" i="5" s="1"/>
  <c r="Q14" i="10"/>
  <c r="Q311" i="5"/>
  <c r="Q362" i="5"/>
  <c r="R25" i="5"/>
  <c r="Q39" i="5"/>
  <c r="Q40" i="5" s="1"/>
  <c r="X10" i="9"/>
  <c r="W15" i="9"/>
  <c r="O62" i="6"/>
  <c r="O64" i="6" s="1"/>
  <c r="O153" i="6"/>
  <c r="O154" i="6" s="1"/>
  <c r="O68" i="6"/>
  <c r="O70" i="6" s="1"/>
  <c r="O11" i="9"/>
  <c r="O116" i="6"/>
  <c r="O117" i="6" s="1"/>
  <c r="O106" i="6"/>
  <c r="F107" i="6" s="1"/>
  <c r="O75" i="6"/>
  <c r="O77" i="6" s="1"/>
  <c r="L58" i="6"/>
  <c r="W9" i="9"/>
  <c r="X177" i="5"/>
  <c r="D136" i="14" l="1"/>
  <c r="F16" i="9"/>
  <c r="P99" i="5"/>
  <c r="P102" i="5" s="1"/>
  <c r="O121" i="6"/>
  <c r="F122" i="6" s="1"/>
  <c r="L117" i="6"/>
  <c r="L121" i="6" s="1"/>
  <c r="Q47" i="5"/>
  <c r="Q48" i="5" s="1"/>
  <c r="Q54" i="5"/>
  <c r="Q56" i="5" s="1"/>
  <c r="L75" i="6"/>
  <c r="L116" i="6"/>
  <c r="L68" i="6"/>
  <c r="L153" i="6"/>
  <c r="L106" i="6"/>
  <c r="L11" i="9"/>
  <c r="L62" i="6"/>
  <c r="R32" i="5"/>
  <c r="R34" i="5" s="1"/>
  <c r="R38" i="5"/>
  <c r="O87" i="6"/>
  <c r="O89" i="6" s="1"/>
  <c r="O81" i="6"/>
  <c r="O83" i="6" s="1"/>
  <c r="O8" i="9"/>
  <c r="L77" i="6"/>
  <c r="O100" i="6"/>
  <c r="O101" i="6" s="1"/>
  <c r="O13" i="9"/>
  <c r="L70" i="6"/>
  <c r="O158" i="6"/>
  <c r="F159" i="6" s="1"/>
  <c r="L154" i="6"/>
  <c r="L158" i="6" s="1"/>
  <c r="O12" i="9"/>
  <c r="L64" i="6"/>
  <c r="X182" i="5"/>
  <c r="X184" i="5" s="1"/>
  <c r="X28" i="5"/>
  <c r="L177" i="5"/>
  <c r="O194" i="5"/>
  <c r="F30" i="9" l="1"/>
  <c r="F169" i="6"/>
  <c r="F171" i="6" s="1"/>
  <c r="D144" i="14"/>
  <c r="F163" i="6"/>
  <c r="F165" i="6" s="1"/>
  <c r="O15" i="9"/>
  <c r="R26" i="5"/>
  <c r="R29" i="5" s="1"/>
  <c r="F22" i="9"/>
  <c r="D138" i="14"/>
  <c r="F126" i="6"/>
  <c r="F128" i="6" s="1"/>
  <c r="F132" i="6"/>
  <c r="F134" i="6" s="1"/>
  <c r="Q100" i="5"/>
  <c r="Q61" i="5"/>
  <c r="Q62" i="5" s="1"/>
  <c r="L12" i="9"/>
  <c r="O10" i="9"/>
  <c r="L89" i="6"/>
  <c r="X101" i="5"/>
  <c r="L184" i="5"/>
  <c r="L101" i="5" s="1"/>
  <c r="L8" i="9"/>
  <c r="L87" i="6"/>
  <c r="L81" i="6"/>
  <c r="L100" i="6"/>
  <c r="L13" i="9"/>
  <c r="P106" i="5"/>
  <c r="P108" i="5" s="1"/>
  <c r="P201" i="5"/>
  <c r="P205" i="5" s="1"/>
  <c r="P118" i="5"/>
  <c r="P120" i="5" s="1"/>
  <c r="P112" i="5"/>
  <c r="P114" i="5" s="1"/>
  <c r="L28" i="5"/>
  <c r="L182" i="5"/>
  <c r="O9" i="9"/>
  <c r="L83" i="6"/>
  <c r="L10" i="9" l="1"/>
  <c r="L9" i="9"/>
  <c r="R14" i="10"/>
  <c r="R311" i="5"/>
  <c r="R39" i="5"/>
  <c r="R40" i="5" s="1"/>
  <c r="R362" i="5"/>
  <c r="S25" i="5"/>
  <c r="D145" i="14"/>
  <c r="F181" i="6"/>
  <c r="F183" i="6" s="1"/>
  <c r="F31" i="9"/>
  <c r="Q67" i="5"/>
  <c r="Q68" i="5" s="1"/>
  <c r="P132" i="5"/>
  <c r="P134" i="5" s="1"/>
  <c r="F24" i="9"/>
  <c r="F138" i="6"/>
  <c r="F140" i="6" s="1"/>
  <c r="D140" i="14"/>
  <c r="P125" i="5"/>
  <c r="P127" i="5" s="1"/>
  <c r="P222" i="5"/>
  <c r="P223" i="5" s="1"/>
  <c r="D139" i="14"/>
  <c r="F23" i="9"/>
  <c r="F144" i="6"/>
  <c r="F146" i="6" s="1"/>
  <c r="D146" i="14"/>
  <c r="F32" i="9"/>
  <c r="F175" i="6"/>
  <c r="F177" i="6" s="1"/>
  <c r="P189" i="5"/>
  <c r="P190" i="5" s="1"/>
  <c r="P194" i="5" l="1"/>
  <c r="Q99" i="5"/>
  <c r="Q102" i="5" s="1"/>
  <c r="D141" i="14"/>
  <c r="F25" i="9"/>
  <c r="S32" i="5"/>
  <c r="S34" i="5" s="1"/>
  <c r="S38" i="5"/>
  <c r="D147" i="14"/>
  <c r="F33" i="9"/>
  <c r="P8" i="10"/>
  <c r="P327" i="5"/>
  <c r="P328" i="5" s="1"/>
  <c r="P277" i="5"/>
  <c r="P278" i="5" s="1"/>
  <c r="P242" i="5"/>
  <c r="P244" i="5" s="1"/>
  <c r="P209" i="5"/>
  <c r="P211" i="5" s="1"/>
  <c r="P260" i="5"/>
  <c r="P262" i="5" s="1"/>
  <c r="P215" i="5"/>
  <c r="P217" i="5" s="1"/>
  <c r="D148" i="14"/>
  <c r="F34" i="9"/>
  <c r="R54" i="5"/>
  <c r="R56" i="5" s="1"/>
  <c r="R47" i="5"/>
  <c r="R48" i="5" s="1"/>
  <c r="F26" i="9"/>
  <c r="D142" i="14"/>
  <c r="P9" i="10" l="1"/>
  <c r="P255" i="5"/>
  <c r="P256" i="5" s="1"/>
  <c r="P228" i="5"/>
  <c r="P230" i="5" s="1"/>
  <c r="P11" i="10"/>
  <c r="Q112" i="5"/>
  <c r="Q114" i="5" s="1"/>
  <c r="Q118" i="5"/>
  <c r="Q120" i="5" s="1"/>
  <c r="Q201" i="5"/>
  <c r="Q205" i="5" s="1"/>
  <c r="Q106" i="5"/>
  <c r="Q108" i="5" s="1"/>
  <c r="P282" i="5"/>
  <c r="P332" i="5"/>
  <c r="P10" i="10"/>
  <c r="P235" i="5"/>
  <c r="P237" i="5" s="1"/>
  <c r="P249" i="5"/>
  <c r="P250" i="5" s="1"/>
  <c r="P267" i="5"/>
  <c r="R100" i="5"/>
  <c r="R61" i="5"/>
  <c r="R62" i="5" s="1"/>
  <c r="S26" i="5"/>
  <c r="S29" i="5" s="1"/>
  <c r="R67" i="5" l="1"/>
  <c r="R68" i="5" s="1"/>
  <c r="Q189" i="5"/>
  <c r="Q190" i="5" s="1"/>
  <c r="Q125" i="5"/>
  <c r="Q127" i="5" s="1"/>
  <c r="Q132" i="5"/>
  <c r="Q134" i="5" s="1"/>
  <c r="P16" i="10"/>
  <c r="P15" i="10"/>
  <c r="S14" i="10"/>
  <c r="S362" i="5"/>
  <c r="T25" i="5"/>
  <c r="S311" i="5"/>
  <c r="S39" i="5"/>
  <c r="S40" i="5" s="1"/>
  <c r="Q222" i="5"/>
  <c r="Q223" i="5" s="1"/>
  <c r="P13" i="10"/>
  <c r="P12" i="10"/>
  <c r="Q209" i="5" l="1"/>
  <c r="Q211" i="5" s="1"/>
  <c r="Q327" i="5"/>
  <c r="Q328" i="5" s="1"/>
  <c r="Q215" i="5"/>
  <c r="Q217" i="5" s="1"/>
  <c r="Q242" i="5"/>
  <c r="Q244" i="5" s="1"/>
  <c r="Q8" i="10"/>
  <c r="Q277" i="5"/>
  <c r="Q260" i="5"/>
  <c r="Q262" i="5" s="1"/>
  <c r="S47" i="5"/>
  <c r="S48" i="5" s="1"/>
  <c r="S54" i="5"/>
  <c r="S56" i="5" s="1"/>
  <c r="Q194" i="5"/>
  <c r="R99" i="5"/>
  <c r="R102" i="5" s="1"/>
  <c r="T32" i="5"/>
  <c r="T34" i="5" s="1"/>
  <c r="T38" i="5"/>
  <c r="Q267" i="5" l="1"/>
  <c r="T26" i="5"/>
  <c r="T29" i="5" s="1"/>
  <c r="Q11" i="10"/>
  <c r="Q10" i="10"/>
  <c r="Q249" i="5"/>
  <c r="Q250" i="5" s="1"/>
  <c r="Q235" i="5"/>
  <c r="Q237" i="5" s="1"/>
  <c r="R112" i="5"/>
  <c r="R114" i="5" s="1"/>
  <c r="R118" i="5"/>
  <c r="R120" i="5" s="1"/>
  <c r="R106" i="5"/>
  <c r="R108" i="5" s="1"/>
  <c r="R201" i="5"/>
  <c r="R205" i="5" s="1"/>
  <c r="S61" i="5"/>
  <c r="S62" i="5" s="1"/>
  <c r="S100" i="5"/>
  <c r="Q228" i="5"/>
  <c r="Q230" i="5" s="1"/>
  <c r="Q9" i="10"/>
  <c r="Q255" i="5"/>
  <c r="Q256" i="5" s="1"/>
  <c r="Q332" i="5"/>
  <c r="T14" i="10" l="1"/>
  <c r="T362" i="5"/>
  <c r="U25" i="5"/>
  <c r="T311" i="5"/>
  <c r="T39" i="5"/>
  <c r="T40" i="5" s="1"/>
  <c r="Q16" i="10"/>
  <c r="R222" i="5"/>
  <c r="R223" i="5" s="1"/>
  <c r="Q13" i="10"/>
  <c r="R189" i="5"/>
  <c r="R190" i="5" s="1"/>
  <c r="Q15" i="10"/>
  <c r="Q12" i="10"/>
  <c r="S67" i="5"/>
  <c r="S68" i="5" s="1"/>
  <c r="R125" i="5"/>
  <c r="R127" i="5" s="1"/>
  <c r="R132" i="5"/>
  <c r="R134" i="5" s="1"/>
  <c r="S99" i="5" l="1"/>
  <c r="S102" i="5" s="1"/>
  <c r="R194" i="5"/>
  <c r="R215" i="5"/>
  <c r="R217" i="5" s="1"/>
  <c r="R260" i="5"/>
  <c r="R262" i="5" s="1"/>
  <c r="R242" i="5"/>
  <c r="R244" i="5" s="1"/>
  <c r="R327" i="5"/>
  <c r="R328" i="5" s="1"/>
  <c r="R209" i="5"/>
  <c r="R211" i="5" s="1"/>
  <c r="R8" i="10"/>
  <c r="R277" i="5"/>
  <c r="T54" i="5"/>
  <c r="T56" i="5" s="1"/>
  <c r="T47" i="5"/>
  <c r="T48" i="5" s="1"/>
  <c r="U32" i="5"/>
  <c r="U34" i="5" s="1"/>
  <c r="U38" i="5"/>
  <c r="R267" i="5" l="1"/>
  <c r="U26" i="5"/>
  <c r="U29" i="5" s="1"/>
  <c r="T100" i="5"/>
  <c r="T61" i="5"/>
  <c r="T62" i="5" s="1"/>
  <c r="R235" i="5"/>
  <c r="R237" i="5" s="1"/>
  <c r="R10" i="10"/>
  <c r="R249" i="5"/>
  <c r="R250" i="5" s="1"/>
  <c r="R11" i="10"/>
  <c r="R9" i="10"/>
  <c r="R228" i="5"/>
  <c r="R230" i="5" s="1"/>
  <c r="R255" i="5"/>
  <c r="R256" i="5" s="1"/>
  <c r="R332" i="5"/>
  <c r="S112" i="5"/>
  <c r="S114" i="5" s="1"/>
  <c r="S201" i="5"/>
  <c r="S205" i="5" s="1"/>
  <c r="S118" i="5"/>
  <c r="S120" i="5" s="1"/>
  <c r="S106" i="5"/>
  <c r="S108" i="5" s="1"/>
  <c r="S189" i="5" l="1"/>
  <c r="S190" i="5" s="1"/>
  <c r="R16" i="10"/>
  <c r="T67" i="5"/>
  <c r="T68" i="5" s="1"/>
  <c r="R15" i="10"/>
  <c r="S222" i="5"/>
  <c r="S223" i="5" s="1"/>
  <c r="R13" i="10"/>
  <c r="U14" i="10"/>
  <c r="U311" i="5"/>
  <c r="V25" i="5"/>
  <c r="U362" i="5"/>
  <c r="U39" i="5"/>
  <c r="U40" i="5" s="1"/>
  <c r="R12" i="10"/>
  <c r="S125" i="5"/>
  <c r="S127" i="5" s="1"/>
  <c r="S132" i="5"/>
  <c r="S134" i="5" s="1"/>
  <c r="S8" i="10" l="1"/>
  <c r="S242" i="5"/>
  <c r="S244" i="5" s="1"/>
  <c r="S277" i="5"/>
  <c r="S260" i="5"/>
  <c r="S262" i="5" s="1"/>
  <c r="S327" i="5"/>
  <c r="S328" i="5" s="1"/>
  <c r="S215" i="5"/>
  <c r="S217" i="5" s="1"/>
  <c r="S209" i="5"/>
  <c r="S211" i="5" s="1"/>
  <c r="U47" i="5"/>
  <c r="U48" i="5" s="1"/>
  <c r="U54" i="5"/>
  <c r="U56" i="5" s="1"/>
  <c r="V38" i="5"/>
  <c r="V32" i="5"/>
  <c r="V34" i="5" s="1"/>
  <c r="S194" i="5"/>
  <c r="T99" i="5"/>
  <c r="T102" i="5" s="1"/>
  <c r="S10" i="10" l="1"/>
  <c r="S235" i="5"/>
  <c r="S237" i="5" s="1"/>
  <c r="S249" i="5"/>
  <c r="S250" i="5" s="1"/>
  <c r="S267" i="5"/>
  <c r="S11" i="10"/>
  <c r="U100" i="5"/>
  <c r="U61" i="5"/>
  <c r="U62" i="5" s="1"/>
  <c r="S332" i="5"/>
  <c r="T201" i="5"/>
  <c r="T205" i="5" s="1"/>
  <c r="T112" i="5"/>
  <c r="T114" i="5" s="1"/>
  <c r="T106" i="5"/>
  <c r="T108" i="5" s="1"/>
  <c r="T118" i="5"/>
  <c r="T120" i="5" s="1"/>
  <c r="S9" i="10"/>
  <c r="S255" i="5"/>
  <c r="S256" i="5" s="1"/>
  <c r="S228" i="5"/>
  <c r="S230" i="5" s="1"/>
  <c r="V26" i="5"/>
  <c r="V29" i="5" s="1"/>
  <c r="U67" i="5" l="1"/>
  <c r="U68" i="5" s="1"/>
  <c r="V14" i="10"/>
  <c r="V311" i="5"/>
  <c r="W25" i="5"/>
  <c r="V362" i="5"/>
  <c r="V39" i="5"/>
  <c r="V40" i="5" s="1"/>
  <c r="S12" i="10"/>
  <c r="S15" i="10"/>
  <c r="T222" i="5"/>
  <c r="T223" i="5" s="1"/>
  <c r="T125" i="5"/>
  <c r="T127" i="5" s="1"/>
  <c r="S16" i="10"/>
  <c r="T189" i="5"/>
  <c r="T190" i="5" s="1"/>
  <c r="S13" i="10"/>
  <c r="T132" i="5"/>
  <c r="T134" i="5" s="1"/>
  <c r="T194" i="5" l="1"/>
  <c r="V47" i="5"/>
  <c r="V48" i="5" s="1"/>
  <c r="V54" i="5"/>
  <c r="V56" i="5" s="1"/>
  <c r="W32" i="5"/>
  <c r="W34" i="5" s="1"/>
  <c r="W38" i="5"/>
  <c r="U99" i="5"/>
  <c r="U102" i="5" s="1"/>
  <c r="T8" i="10"/>
  <c r="T242" i="5"/>
  <c r="T244" i="5" s="1"/>
  <c r="T260" i="5"/>
  <c r="T262" i="5" s="1"/>
  <c r="T215" i="5"/>
  <c r="T217" i="5" s="1"/>
  <c r="T327" i="5"/>
  <c r="T328" i="5" s="1"/>
  <c r="T209" i="5"/>
  <c r="T211" i="5" s="1"/>
  <c r="T277" i="5"/>
  <c r="T11" i="10" l="1"/>
  <c r="T9" i="10"/>
  <c r="T255" i="5"/>
  <c r="T256" i="5" s="1"/>
  <c r="T228" i="5"/>
  <c r="T230" i="5" s="1"/>
  <c r="T332" i="5"/>
  <c r="U201" i="5"/>
  <c r="U205" i="5" s="1"/>
  <c r="U112" i="5"/>
  <c r="U114" i="5" s="1"/>
  <c r="U118" i="5"/>
  <c r="U120" i="5" s="1"/>
  <c r="U106" i="5"/>
  <c r="U108" i="5" s="1"/>
  <c r="W26" i="5"/>
  <c r="W29" i="5" s="1"/>
  <c r="T249" i="5"/>
  <c r="T250" i="5" s="1"/>
  <c r="T10" i="10"/>
  <c r="T235" i="5"/>
  <c r="T237" i="5" s="1"/>
  <c r="V100" i="5"/>
  <c r="V61" i="5"/>
  <c r="V62" i="5" s="1"/>
  <c r="T267" i="5"/>
  <c r="T12" i="10" l="1"/>
  <c r="W14" i="10"/>
  <c r="W311" i="5"/>
  <c r="W39" i="5"/>
  <c r="W40" i="5" s="1"/>
  <c r="X25" i="5"/>
  <c r="W362" i="5"/>
  <c r="U189" i="5"/>
  <c r="U190" i="5" s="1"/>
  <c r="U125" i="5"/>
  <c r="U127" i="5" s="1"/>
  <c r="U132" i="5"/>
  <c r="U134" i="5" s="1"/>
  <c r="U222" i="5"/>
  <c r="U223" i="5" s="1"/>
  <c r="V67" i="5"/>
  <c r="V68" i="5" s="1"/>
  <c r="T15" i="10"/>
  <c r="T13" i="10"/>
  <c r="T16" i="10"/>
  <c r="W54" i="5" l="1"/>
  <c r="W56" i="5" s="1"/>
  <c r="W47" i="5"/>
  <c r="W48" i="5" s="1"/>
  <c r="U194" i="5"/>
  <c r="U8" i="10"/>
  <c r="U215" i="5"/>
  <c r="U217" i="5" s="1"/>
  <c r="U260" i="5"/>
  <c r="U262" i="5" s="1"/>
  <c r="U327" i="5"/>
  <c r="U328" i="5" s="1"/>
  <c r="U242" i="5"/>
  <c r="U244" i="5" s="1"/>
  <c r="U209" i="5"/>
  <c r="U211" i="5" s="1"/>
  <c r="U277" i="5"/>
  <c r="X38" i="5"/>
  <c r="X32" i="5"/>
  <c r="X34" i="5" s="1"/>
  <c r="V99" i="5"/>
  <c r="V102" i="5" s="1"/>
  <c r="U11" i="10" l="1"/>
  <c r="U10" i="10"/>
  <c r="U249" i="5"/>
  <c r="U250" i="5" s="1"/>
  <c r="U235" i="5"/>
  <c r="U237" i="5" s="1"/>
  <c r="U267" i="5"/>
  <c r="X26" i="5"/>
  <c r="X29" i="5" s="1"/>
  <c r="L34" i="5"/>
  <c r="L26" i="5" s="1"/>
  <c r="U332" i="5"/>
  <c r="V106" i="5"/>
  <c r="V108" i="5" s="1"/>
  <c r="V201" i="5"/>
  <c r="V205" i="5" s="1"/>
  <c r="V112" i="5"/>
  <c r="V114" i="5" s="1"/>
  <c r="V118" i="5"/>
  <c r="V120" i="5" s="1"/>
  <c r="W100" i="5"/>
  <c r="W61" i="5"/>
  <c r="W62" i="5" s="1"/>
  <c r="U9" i="10"/>
  <c r="U255" i="5"/>
  <c r="U256" i="5" s="1"/>
  <c r="U228" i="5"/>
  <c r="U230" i="5" s="1"/>
  <c r="W67" i="5" l="1"/>
  <c r="W68" i="5" s="1"/>
  <c r="U12" i="10"/>
  <c r="U13" i="10"/>
  <c r="U16" i="10"/>
  <c r="V125" i="5"/>
  <c r="V127" i="5" s="1"/>
  <c r="V132" i="5"/>
  <c r="V134" i="5" s="1"/>
  <c r="V222" i="5"/>
  <c r="V223" i="5" s="1"/>
  <c r="X14" i="10"/>
  <c r="X311" i="5"/>
  <c r="X39" i="5"/>
  <c r="X40" i="5" s="1"/>
  <c r="X362" i="5"/>
  <c r="X365" i="5" s="1"/>
  <c r="X37" i="10" s="1"/>
  <c r="V189" i="5"/>
  <c r="V190" i="5" s="1"/>
  <c r="U15" i="10"/>
  <c r="V194" i="5" l="1"/>
  <c r="X261" i="5"/>
  <c r="L365" i="5"/>
  <c r="V8" i="10"/>
  <c r="V327" i="5"/>
  <c r="V328" i="5" s="1"/>
  <c r="V215" i="5"/>
  <c r="V217" i="5" s="1"/>
  <c r="V260" i="5"/>
  <c r="V262" i="5" s="1"/>
  <c r="V277" i="5"/>
  <c r="V242" i="5"/>
  <c r="V244" i="5" s="1"/>
  <c r="V209" i="5"/>
  <c r="V211" i="5" s="1"/>
  <c r="W99" i="5"/>
  <c r="W102" i="5" s="1"/>
  <c r="X54" i="5"/>
  <c r="X56" i="5" s="1"/>
  <c r="X47" i="5"/>
  <c r="X48" i="5" s="1"/>
  <c r="L40" i="5"/>
  <c r="L261" i="5" l="1"/>
  <c r="L37" i="10"/>
  <c r="L48" i="5"/>
  <c r="V332" i="5"/>
  <c r="V267" i="5"/>
  <c r="L47" i="5"/>
  <c r="L54" i="5"/>
  <c r="V10" i="10"/>
  <c r="V249" i="5"/>
  <c r="V250" i="5" s="1"/>
  <c r="V235" i="5"/>
  <c r="V237" i="5" s="1"/>
  <c r="W118" i="5"/>
  <c r="W120" i="5" s="1"/>
  <c r="W201" i="5"/>
  <c r="W205" i="5" s="1"/>
  <c r="W112" i="5"/>
  <c r="W114" i="5" s="1"/>
  <c r="W106" i="5"/>
  <c r="W108" i="5" s="1"/>
  <c r="X100" i="5"/>
  <c r="X61" i="5"/>
  <c r="X62" i="5" s="1"/>
  <c r="L56" i="5"/>
  <c r="V9" i="10"/>
  <c r="V255" i="5"/>
  <c r="V256" i="5" s="1"/>
  <c r="V228" i="5"/>
  <c r="V230" i="5" s="1"/>
  <c r="V11" i="10"/>
  <c r="V12" i="10" l="1"/>
  <c r="V16" i="10"/>
  <c r="W125" i="5"/>
  <c r="W127" i="5" s="1"/>
  <c r="V13" i="10"/>
  <c r="L100" i="5"/>
  <c r="L61" i="5"/>
  <c r="W222" i="5"/>
  <c r="W223" i="5" s="1"/>
  <c r="V15" i="10"/>
  <c r="X67" i="5"/>
  <c r="X68" i="5" s="1"/>
  <c r="L62" i="5"/>
  <c r="L67" i="5" s="1"/>
  <c r="W189" i="5"/>
  <c r="W190" i="5" s="1"/>
  <c r="W132" i="5"/>
  <c r="W134" i="5" s="1"/>
  <c r="W194" i="5" l="1"/>
  <c r="X99" i="5"/>
  <c r="X102" i="5" s="1"/>
  <c r="L68" i="5"/>
  <c r="L99" i="5" s="1"/>
  <c r="W8" i="10"/>
  <c r="W327" i="5"/>
  <c r="W328" i="5" s="1"/>
  <c r="W260" i="5"/>
  <c r="W262" i="5" s="1"/>
  <c r="W277" i="5"/>
  <c r="W209" i="5"/>
  <c r="W211" i="5" s="1"/>
  <c r="W242" i="5"/>
  <c r="W244" i="5" s="1"/>
  <c r="W215" i="5"/>
  <c r="W217" i="5" s="1"/>
  <c r="W332" i="5" l="1"/>
  <c r="W9" i="10"/>
  <c r="W228" i="5"/>
  <c r="W230" i="5" s="1"/>
  <c r="W255" i="5"/>
  <c r="W256" i="5" s="1"/>
  <c r="X118" i="5"/>
  <c r="X120" i="5" s="1"/>
  <c r="X201" i="5"/>
  <c r="X205" i="5" s="1"/>
  <c r="X112" i="5"/>
  <c r="X114" i="5" s="1"/>
  <c r="X106" i="5"/>
  <c r="X108" i="5" s="1"/>
  <c r="L102" i="5"/>
  <c r="W10" i="10"/>
  <c r="W249" i="5"/>
  <c r="W250" i="5" s="1"/>
  <c r="W235" i="5"/>
  <c r="W237" i="5" s="1"/>
  <c r="W267" i="5"/>
  <c r="W11" i="10"/>
  <c r="X222" i="5" l="1"/>
  <c r="X223" i="5" s="1"/>
  <c r="L205" i="5"/>
  <c r="L222" i="5" s="1"/>
  <c r="X125" i="5"/>
  <c r="X127" i="5" s="1"/>
  <c r="L120" i="5"/>
  <c r="L125" i="5" s="1"/>
  <c r="W15" i="10"/>
  <c r="X189" i="5"/>
  <c r="X190" i="5" s="1"/>
  <c r="L108" i="5"/>
  <c r="L189" i="5" s="1"/>
  <c r="W12" i="10"/>
  <c r="W13" i="10"/>
  <c r="W16" i="10"/>
  <c r="X132" i="5"/>
  <c r="X134" i="5" s="1"/>
  <c r="L114" i="5"/>
  <c r="L132" i="5" s="1"/>
  <c r="L106" i="5"/>
  <c r="L201" i="5"/>
  <c r="L112" i="5"/>
  <c r="L118" i="5"/>
  <c r="X194" i="5" l="1"/>
  <c r="O196" i="5" s="1"/>
  <c r="L190" i="5"/>
  <c r="L194" i="5" s="1"/>
  <c r="L134" i="5"/>
  <c r="L127" i="5"/>
  <c r="X8" i="10"/>
  <c r="X209" i="5"/>
  <c r="X211" i="5" s="1"/>
  <c r="X260" i="5"/>
  <c r="X262" i="5" s="1"/>
  <c r="X277" i="5"/>
  <c r="X242" i="5"/>
  <c r="X244" i="5" s="1"/>
  <c r="X327" i="5"/>
  <c r="X328" i="5" s="1"/>
  <c r="X215" i="5"/>
  <c r="X217" i="5" s="1"/>
  <c r="X267" i="5" l="1"/>
  <c r="X9" i="10"/>
  <c r="X228" i="5"/>
  <c r="X230" i="5" s="1"/>
  <c r="X255" i="5"/>
  <c r="X256" i="5" s="1"/>
  <c r="X10" i="10"/>
  <c r="X249" i="5"/>
  <c r="X250" i="5" s="1"/>
  <c r="X235" i="5"/>
  <c r="X237" i="5" s="1"/>
  <c r="O221" i="5"/>
  <c r="O223" i="5" s="1"/>
  <c r="L196" i="5"/>
  <c r="L221" i="5" s="1"/>
  <c r="X11" i="10"/>
  <c r="X332" i="5"/>
  <c r="X16" i="10" l="1"/>
  <c r="O327" i="5"/>
  <c r="O328" i="5" s="1"/>
  <c r="O277" i="5"/>
  <c r="O278" i="5" s="1"/>
  <c r="O8" i="10"/>
  <c r="O242" i="5"/>
  <c r="O244" i="5" s="1"/>
  <c r="O209" i="5"/>
  <c r="O211" i="5" s="1"/>
  <c r="O260" i="5"/>
  <c r="O262" i="5" s="1"/>
  <c r="O215" i="5"/>
  <c r="O217" i="5" s="1"/>
  <c r="L223" i="5"/>
  <c r="X15" i="10"/>
  <c r="X13" i="10"/>
  <c r="X12" i="10"/>
  <c r="O9" i="10" l="1"/>
  <c r="O228" i="5"/>
  <c r="O230" i="5" s="1"/>
  <c r="O255" i="5"/>
  <c r="O256" i="5" s="1"/>
  <c r="L211" i="5"/>
  <c r="O11" i="10"/>
  <c r="L244" i="5"/>
  <c r="L8" i="10"/>
  <c r="L215" i="5"/>
  <c r="L242" i="5"/>
  <c r="L209" i="5"/>
  <c r="L277" i="5"/>
  <c r="L260" i="5"/>
  <c r="L327" i="5"/>
  <c r="O282" i="5"/>
  <c r="F283" i="5" s="1"/>
  <c r="L278" i="5"/>
  <c r="L282" i="5" s="1"/>
  <c r="O235" i="5"/>
  <c r="O237" i="5" s="1"/>
  <c r="O249" i="5"/>
  <c r="O250" i="5" s="1"/>
  <c r="O10" i="10"/>
  <c r="L217" i="5"/>
  <c r="O267" i="5"/>
  <c r="F268" i="5" s="1"/>
  <c r="L262" i="5"/>
  <c r="L267" i="5" s="1"/>
  <c r="O332" i="5"/>
  <c r="F333" i="5" s="1"/>
  <c r="L328" i="5"/>
  <c r="L332" i="5" s="1"/>
  <c r="O13" i="10" l="1"/>
  <c r="L237" i="5"/>
  <c r="F23" i="10"/>
  <c r="D107" i="14"/>
  <c r="F287" i="5"/>
  <c r="F289" i="5" s="1"/>
  <c r="F293" i="5"/>
  <c r="F295" i="5" s="1"/>
  <c r="L9" i="10"/>
  <c r="L255" i="5"/>
  <c r="L228" i="5"/>
  <c r="L10" i="10"/>
  <c r="L235" i="5"/>
  <c r="L249" i="5"/>
  <c r="F17" i="10"/>
  <c r="D105" i="14"/>
  <c r="O15" i="10"/>
  <c r="F32" i="10"/>
  <c r="F337" i="5"/>
  <c r="F339" i="5" s="1"/>
  <c r="D115" i="14"/>
  <c r="F343" i="5"/>
  <c r="F345" i="5" s="1"/>
  <c r="O12" i="10"/>
  <c r="L230" i="5"/>
  <c r="L11" i="10"/>
  <c r="O16" i="10"/>
  <c r="L250" i="5"/>
  <c r="L16" i="10" s="1"/>
  <c r="D109" i="14" l="1"/>
  <c r="F299" i="5"/>
  <c r="F301" i="5" s="1"/>
  <c r="F25" i="10"/>
  <c r="F24" i="10"/>
  <c r="F305" i="5"/>
  <c r="F307" i="5" s="1"/>
  <c r="D108" i="14"/>
  <c r="D117" i="14"/>
  <c r="F34" i="10"/>
  <c r="F349" i="5"/>
  <c r="F351" i="5" s="1"/>
  <c r="L13" i="10"/>
  <c r="L12" i="10"/>
  <c r="D116" i="14"/>
  <c r="F33" i="10"/>
  <c r="F355" i="5"/>
  <c r="F357" i="5" s="1"/>
  <c r="D119" i="14" l="1"/>
  <c r="F36" i="10"/>
  <c r="F26" i="10"/>
  <c r="D110" i="14"/>
  <c r="D118" i="14"/>
  <c r="F35" i="10"/>
  <c r="D111" i="14"/>
  <c r="F27" i="10"/>
</calcChain>
</file>

<file path=xl/sharedStrings.xml><?xml version="1.0" encoding="utf-8"?>
<sst xmlns="http://schemas.openxmlformats.org/spreadsheetml/2006/main" count="1060" uniqueCount="403">
  <si>
    <t>UKADS FINANCIAL MODEL</t>
  </si>
  <si>
    <t>For enquiries please contact:</t>
  </si>
  <si>
    <t>Dan Rock, Omo Ugowe or Hassan Moazzam</t>
  </si>
  <si>
    <t>dan.rock@caa.co.uk</t>
  </si>
  <si>
    <t>omo.ugowe@caa.co.uk</t>
  </si>
  <si>
    <t>hassan.moazzam@caa.co.uk</t>
  </si>
  <si>
    <t>REPORTS</t>
  </si>
  <si>
    <t>Sheet</t>
  </si>
  <si>
    <t>Section</t>
  </si>
  <si>
    <t>Sub-section</t>
  </si>
  <si>
    <t>Model period end</t>
  </si>
  <si>
    <t>Timeline label</t>
  </si>
  <si>
    <t>Financial year ending</t>
  </si>
  <si>
    <t>Period number</t>
  </si>
  <si>
    <t>Constant</t>
  </si>
  <si>
    <t>Unit</t>
  </si>
  <si>
    <t>Notes</t>
  </si>
  <si>
    <t>Data Source</t>
  </si>
  <si>
    <t>Confidential Status</t>
  </si>
  <si>
    <t>Total</t>
  </si>
  <si>
    <t>Inputs</t>
  </si>
  <si>
    <t>Dates</t>
  </si>
  <si>
    <t>2025 date</t>
  </si>
  <si>
    <t>date</t>
  </si>
  <si>
    <t>2026 date</t>
  </si>
  <si>
    <t>CPI Index forecast beginning date</t>
  </si>
  <si>
    <t>NR23 beginning date</t>
  </si>
  <si>
    <t>NR23 specific date date</t>
  </si>
  <si>
    <t>NR33 (Closing RAB end date) date</t>
  </si>
  <si>
    <t>Headers</t>
  </si>
  <si>
    <t>Start date</t>
  </si>
  <si>
    <t>Months per period (Primary)</t>
  </si>
  <si>
    <t>Months</t>
  </si>
  <si>
    <t>Financial year end month</t>
  </si>
  <si>
    <t>Model Constants</t>
  </si>
  <si>
    <t>% difference between TSUs and CSUs in 2024</t>
  </si>
  <si>
    <t>%</t>
  </si>
  <si>
    <t>B Being published with this model</t>
  </si>
  <si>
    <t>Real Return</t>
  </si>
  <si>
    <t>NR23 end date</t>
  </si>
  <si>
    <t>A Already published</t>
  </si>
  <si>
    <t>factor dividing the determined costs for 2026 and 2027</t>
  </si>
  <si>
    <t>factor</t>
  </si>
  <si>
    <t>UK corporation tax rate</t>
  </si>
  <si>
    <t>NR23 PCM</t>
  </si>
  <si>
    <t>Assumed asset life for depreciation</t>
  </si>
  <si>
    <t>years</t>
  </si>
  <si>
    <t>CAA Assumptions</t>
  </si>
  <si>
    <t>Proportion of first year RAB additions in depreciation</t>
  </si>
  <si>
    <t>Forecast CPI  growth from 2030</t>
  </si>
  <si>
    <t>CPI Index 2024</t>
  </si>
  <si>
    <t>index (2015=100)</t>
  </si>
  <si>
    <t>OBR Mar-2025</t>
  </si>
  <si>
    <t>Operating Margin for Opex</t>
  </si>
  <si>
    <t>Operating Margin for RAB</t>
  </si>
  <si>
    <t>Passengers (PAX) per flight</t>
  </si>
  <si>
    <t xml:space="preserve">EUROCONTROL Standard Inputs for Economic Analyses - 13  Average number of passengers </t>
  </si>
  <si>
    <t>UK en-route rate</t>
  </si>
  <si>
    <t>£ real</t>
  </si>
  <si>
    <t>Rate in 2024</t>
  </si>
  <si>
    <t>Model Scenarios</t>
  </si>
  <si>
    <t xml:space="preserve">Cost of UKADSF (High) </t>
  </si>
  <si>
    <t>£'000 (2024 prices)</t>
  </si>
  <si>
    <t>egis cost model</t>
  </si>
  <si>
    <t xml:space="preserve">Cost of UKADSF (Low) </t>
  </si>
  <si>
    <t xml:space="preserve">Cost of UKADSF (Mid) </t>
  </si>
  <si>
    <t xml:space="preserve">Cost of UKADS1 (High) </t>
  </si>
  <si>
    <t xml:space="preserve">Cost of UKADS1 (Low) </t>
  </si>
  <si>
    <t xml:space="preserve">Cost of UKADS1 (Mid) </t>
  </si>
  <si>
    <t>UKADSF scenarios</t>
  </si>
  <si>
    <t>Mid</t>
  </si>
  <si>
    <t>UKADS1 scenarios</t>
  </si>
  <si>
    <t>Time based</t>
  </si>
  <si>
    <t>CPI Index Forecast</t>
  </si>
  <si>
    <t>Flights</t>
  </si>
  <si>
    <t>000</t>
  </si>
  <si>
    <t>CAA analysis of Eurocontrol-Statfor Spring 2025 Forecasts</t>
  </si>
  <si>
    <t>Service Units</t>
  </si>
  <si>
    <t>RAB Input</t>
  </si>
  <si>
    <t xml:space="preserve">RAB depreciation by Year (1) </t>
  </si>
  <si>
    <t xml:space="preserve">RAB depreciation by Year (2) </t>
  </si>
  <si>
    <t xml:space="preserve">RAB depreciation by Year (3) </t>
  </si>
  <si>
    <t xml:space="preserve">RAB depreciation by Year (4) </t>
  </si>
  <si>
    <t xml:space="preserve">RAB depreciation by Year (5) </t>
  </si>
  <si>
    <t xml:space="preserve">RAB depreciation by Year (6) </t>
  </si>
  <si>
    <t xml:space="preserve">RAB depreciation by Year (7) </t>
  </si>
  <si>
    <t xml:space="preserve">RAB depreciation by Year (8) </t>
  </si>
  <si>
    <t xml:space="preserve">RAB depreciation by Year (9) </t>
  </si>
  <si>
    <t xml:space="preserve">RAB depreciation by Year (10) </t>
  </si>
  <si>
    <t xml:space="preserve">RAB depreciation by Year (11) </t>
  </si>
  <si>
    <t>UKADSF costs are capex (slow money) ratio</t>
  </si>
  <si>
    <t>B.	Being published with this model</t>
  </si>
  <si>
    <t>UKADS1 costs are capex (slow money) ratio</t>
  </si>
  <si>
    <t>Real Social Time Preference Rate</t>
  </si>
  <si>
    <t>The Green Book (2022)</t>
  </si>
  <si>
    <t>Time</t>
  </si>
  <si>
    <t>[Timeline label]</t>
  </si>
  <si>
    <t>NR23</t>
  </si>
  <si>
    <t>NR28</t>
  </si>
  <si>
    <t>NR33</t>
  </si>
  <si>
    <t>END</t>
  </si>
  <si>
    <t>CPI Calculations</t>
  </si>
  <si>
    <t>CPI Index Forecast (Calculations)</t>
  </si>
  <si>
    <t>CPI Inflation</t>
  </si>
  <si>
    <t>Counter</t>
  </si>
  <si>
    <t>Model period start</t>
  </si>
  <si>
    <t>CPI Index forecast flag_1</t>
  </si>
  <si>
    <t>CPI Index forecast flag</t>
  </si>
  <si>
    <t>flag</t>
  </si>
  <si>
    <t>NR23 flag_1</t>
  </si>
  <si>
    <t>NR23 flag</t>
  </si>
  <si>
    <t>2025 flag_1</t>
  </si>
  <si>
    <t>2025 flag</t>
  </si>
  <si>
    <t>2026 flag_1</t>
  </si>
  <si>
    <t>2026 flag</t>
  </si>
  <si>
    <t>NR33 (Closing RAB end date) flag_1</t>
  </si>
  <si>
    <t>NR33 (Closing RAB end date) flag</t>
  </si>
  <si>
    <t>NR23 specific date flag_1</t>
  </si>
  <si>
    <t>NR23 specific date flag</t>
  </si>
  <si>
    <t>Slow Money</t>
  </si>
  <si>
    <t>Net Capex for the year</t>
  </si>
  <si>
    <t>£'000 nominal</t>
  </si>
  <si>
    <t>RAB</t>
  </si>
  <si>
    <t>RAB BEG</t>
  </si>
  <si>
    <t>plus</t>
  </si>
  <si>
    <t>less</t>
  </si>
  <si>
    <t>RAB Indexation</t>
  </si>
  <si>
    <t>Average RAB</t>
  </si>
  <si>
    <t>RAB calculations</t>
  </si>
  <si>
    <t>Regulatory return nominal</t>
  </si>
  <si>
    <t>Regulatory return real</t>
  </si>
  <si>
    <t>Corporation tax calculated real</t>
  </si>
  <si>
    <t>Corporation tax grossed up</t>
  </si>
  <si>
    <t>Straight-line depreciation %</t>
  </si>
  <si>
    <t>UKADS1 costs are opex (fast money) ratio</t>
  </si>
  <si>
    <t>UKADSF costs are opex (fast money) ratio</t>
  </si>
  <si>
    <t>Opex Real</t>
  </si>
  <si>
    <t>Determined Costs Real (RAB only)</t>
  </si>
  <si>
    <t>Bridge to determine costs used for calculation for Determined costs real for  RAB NR23 only</t>
  </si>
  <si>
    <t>DC per SU real (RAB only)</t>
  </si>
  <si>
    <t>£( 2024 prices)</t>
  </si>
  <si>
    <t>DC per Flight Real (RAB only)</t>
  </si>
  <si>
    <t>DC per flight nominal (RAB only)</t>
  </si>
  <si>
    <t>£ nominal</t>
  </si>
  <si>
    <t>DC per SU nominal (RAB only)</t>
  </si>
  <si>
    <t>RAB depreciation nominal</t>
  </si>
  <si>
    <t xml:space="preserve">RAB depreciation nominal (1) </t>
  </si>
  <si>
    <t xml:space="preserve">RAB depreciation nominal (2) </t>
  </si>
  <si>
    <t xml:space="preserve">RAB depreciation nominal (3) </t>
  </si>
  <si>
    <t xml:space="preserve">RAB depreciation nominal (4) </t>
  </si>
  <si>
    <t xml:space="preserve">RAB depreciation nominal (5) </t>
  </si>
  <si>
    <t xml:space="preserve">RAB depreciation nominal (6) </t>
  </si>
  <si>
    <t xml:space="preserve">RAB depreciation nominal (7) </t>
  </si>
  <si>
    <t xml:space="preserve">RAB depreciation nominal (8) </t>
  </si>
  <si>
    <t xml:space="preserve">RAB depreciation nominal (9) </t>
  </si>
  <si>
    <t xml:space="preserve">RAB depreciation nominal (10) </t>
  </si>
  <si>
    <t xml:space="preserve">RAB depreciation nominal (11) </t>
  </si>
  <si>
    <t>Total RAB depreciation</t>
  </si>
  <si>
    <t>Total RAB depreciation real</t>
  </si>
  <si>
    <t>Determined costs real for NR23  (RAB only)</t>
  </si>
  <si>
    <t>Determined costs for RAB Real for 2026 only</t>
  </si>
  <si>
    <t>Initial Calculations Determined Cost Real from 2026 (RAB only)</t>
  </si>
  <si>
    <t>DC per SU from 2026 real (RAB only)</t>
  </si>
  <si>
    <t>DC per flight from 2026 real (RAB only)</t>
  </si>
  <si>
    <t>Determined Cost from 2026 Real (RAB only)</t>
  </si>
  <si>
    <t>DC per SU from 2026 nominal (RAB only)</t>
  </si>
  <si>
    <t>DC per flight from 2026 nominal (RAB only)</t>
  </si>
  <si>
    <t>Determined Cost from 2026 nominal (RAB Only)</t>
  </si>
  <si>
    <t>Charge per pax (RAB only)</t>
  </si>
  <si>
    <t>Charge as a % of UK en route rate real (RAB only)</t>
  </si>
  <si>
    <t>Determined Cost from 2026 Real (RAB only +Terminal Value)</t>
  </si>
  <si>
    <t>NPV Determined Cost from 2026 Real (RAB only)</t>
  </si>
  <si>
    <t>Calculations for Final reporting</t>
  </si>
  <si>
    <t>NR23 period</t>
  </si>
  <si>
    <t>Determined Cost from 2026 real (NR23 period)</t>
  </si>
  <si>
    <t>Total Determined Cost from 2026 real (NR23 period)</t>
  </si>
  <si>
    <t>Charge per service unit (RAB only) real for NR23 period</t>
  </si>
  <si>
    <t>Charge per flight (RAB only) real for NR23 period</t>
  </si>
  <si>
    <t>Charge per passenger (RAB only) real for NR23 period</t>
  </si>
  <si>
    <t>Charge per SU (RAB only) as % of 2024 UK en route rate for NR23 period</t>
  </si>
  <si>
    <t>Forecast RAB for NR23 period</t>
  </si>
  <si>
    <t>Forecast closing RAB for NR23 period</t>
  </si>
  <si>
    <t>10-year period</t>
  </si>
  <si>
    <t>Determined Cost from 2026 real (10-year period)</t>
  </si>
  <si>
    <t>Total Determined Cost from 2026 real (10-year period)</t>
  </si>
  <si>
    <t>Charge per service unit (RAB only) real for 10-year period</t>
  </si>
  <si>
    <t>Charge per flight (RAB only) real for 10-year period</t>
  </si>
  <si>
    <t>Charge per passenger (RAB only) real for 10-year period</t>
  </si>
  <si>
    <t>Charge per SU (RAB only) as % of 2024 UK en route rate for 10-year period</t>
  </si>
  <si>
    <t>Forecast Closing RAB for 10-year period only</t>
  </si>
  <si>
    <t>xxx</t>
  </si>
  <si>
    <t>Determined Cost Real</t>
  </si>
  <si>
    <t>DC per flight real</t>
  </si>
  <si>
    <t>DC per SU real</t>
  </si>
  <si>
    <t>Bridge to determine costs used for calculation for Determined costs real for NR23 only</t>
  </si>
  <si>
    <t>Determined costs real for NR23 only</t>
  </si>
  <si>
    <t>Determined costs real for 2026 only</t>
  </si>
  <si>
    <t>Initial Calculations Determined Cost Real from 2026</t>
  </si>
  <si>
    <t>Determined costs real from 2026</t>
  </si>
  <si>
    <t>DC per flight real from 2026</t>
  </si>
  <si>
    <t>DC per SU real from 2026</t>
  </si>
  <si>
    <t>Determined Cost nominal from 2026</t>
  </si>
  <si>
    <t>DC per SU nominal from 2026</t>
  </si>
  <si>
    <t>DC per flight nominal from 2026</t>
  </si>
  <si>
    <t>Charge per pax (Cost+Operating Margin only)</t>
  </si>
  <si>
    <t>Charge as a % of UK en route rate real (Operating Cost+Margin only)</t>
  </si>
  <si>
    <t>NPV Operating cost + Margin</t>
  </si>
  <si>
    <t>Determined costs real from 2026 (NR23 period)</t>
  </si>
  <si>
    <t>Total Determined costs real from 2026 (NR23 period)</t>
  </si>
  <si>
    <t>Charge per service unit real for NR23 period</t>
  </si>
  <si>
    <t>Charge per flight real for NR23 period</t>
  </si>
  <si>
    <t>Charge per passenger real for NR23 period</t>
  </si>
  <si>
    <t>Charge per SU as % of 2024 UK en route rate for NR23 period</t>
  </si>
  <si>
    <t>Determined costs real from 2026 (10-year period)</t>
  </si>
  <si>
    <t>Total Determined costs real from 2026 (10-year period)</t>
  </si>
  <si>
    <t>Charge per service unit real for 10-year period</t>
  </si>
  <si>
    <t>Charge per flight real for 10-year period</t>
  </si>
  <si>
    <t>Charge per passenger real for 10-year period</t>
  </si>
  <si>
    <t>Charge per SU as % of 2024 UK en route rate for 10-year period</t>
  </si>
  <si>
    <t>UKADSF scenarios chosen</t>
  </si>
  <si>
    <t>UKADS1 scenario chosen</t>
  </si>
  <si>
    <t>Estimated annual costs of providing the UKADS and the Support Fund NR23</t>
  </si>
  <si>
    <t>Estimated total cost of providing the UKADS and the Support Fund NR23</t>
  </si>
  <si>
    <t>Annual Service Units forecast for NR23 period (2026 start)</t>
  </si>
  <si>
    <t>Total Service Units forecast for NR23 period (2026 start)</t>
  </si>
  <si>
    <t>Annual Flights forecast for NR23 period (2026 start)</t>
  </si>
  <si>
    <t>Total Flights forecast for NR23 period (2026 start)</t>
  </si>
  <si>
    <t>Estimated annual costs of providing the UKADS and the Support Fund 10-year</t>
  </si>
  <si>
    <t>Estimated total cost of providing the UKADS and the Support Fund 10-year</t>
  </si>
  <si>
    <t>Annual Service Units forecast for 10-year period (2026 start)</t>
  </si>
  <si>
    <t>Total Service Units forecast for 10-year period (2026 start)</t>
  </si>
  <si>
    <t>Annual Flights forecast for 10-year period (2026 start)</t>
  </si>
  <si>
    <t>Total Flights forecast for 10-year period (2026 start)</t>
  </si>
  <si>
    <t>Line item</t>
  </si>
  <si>
    <t>Array elements</t>
  </si>
  <si>
    <t>Named range name</t>
  </si>
  <si>
    <t>Link</t>
  </si>
  <si>
    <t>Units</t>
  </si>
  <si>
    <t>_2025_date</t>
  </si>
  <si>
    <t>_2026_date</t>
  </si>
  <si>
    <t>CPI_Index_forecast_beginning_date</t>
  </si>
  <si>
    <t>NR23_beginning_date</t>
  </si>
  <si>
    <t>NR23_specific_date_date</t>
  </si>
  <si>
    <t>NR33__Closing_RAB_end_date__date</t>
  </si>
  <si>
    <t>Start_date</t>
  </si>
  <si>
    <t>Months per period</t>
  </si>
  <si>
    <t>Months_per_period</t>
  </si>
  <si>
    <t>Financial_year_end_month</t>
  </si>
  <si>
    <t>Real_Return</t>
  </si>
  <si>
    <t>NR23_end_date</t>
  </si>
  <si>
    <t>factor_dividing_the_determined_costs_for_2026_and_2027</t>
  </si>
  <si>
    <t>UK_corporation_tax_rate</t>
  </si>
  <si>
    <t>Assumed_asset_life_for_depreciation</t>
  </si>
  <si>
    <t>Proportion_of_first_year_RAB_additions_in_depreciation</t>
  </si>
  <si>
    <t>Forecast_CPI__growth_from_2030</t>
  </si>
  <si>
    <t>CPI_Index_2024</t>
  </si>
  <si>
    <t>Operating_Margin_for_Opex</t>
  </si>
  <si>
    <t>Operating_Margin_for_RAB</t>
  </si>
  <si>
    <t>Passengers__PAX__per_flight</t>
  </si>
  <si>
    <t>UK_en_route_rate</t>
  </si>
  <si>
    <t>Cost of UKADSF</t>
  </si>
  <si>
    <t>High</t>
  </si>
  <si>
    <t>Cost_of_UKADSF.High</t>
  </si>
  <si>
    <t>Low</t>
  </si>
  <si>
    <t>Cost_of_UKADSF.Low</t>
  </si>
  <si>
    <t>Cost_of_UKADSF.Mid</t>
  </si>
  <si>
    <t>Cost of UKADS1</t>
  </si>
  <si>
    <t>Cost_of_UKADS1.High</t>
  </si>
  <si>
    <t>Cost_of_UKADS1.Low</t>
  </si>
  <si>
    <t>Cost_of_UKADS1.Mid</t>
  </si>
  <si>
    <t>UKADSF_scenarios</t>
  </si>
  <si>
    <t>UKADS1_scenarios</t>
  </si>
  <si>
    <t>CPI_Index_Forecast</t>
  </si>
  <si>
    <t>Service_Units</t>
  </si>
  <si>
    <t>RAB depreciation by Year</t>
  </si>
  <si>
    <t>RAB_depreciation_by_Year.1</t>
  </si>
  <si>
    <t>RAB_depreciation_by_Year.2</t>
  </si>
  <si>
    <t>RAB_depreciation_by_Year.3</t>
  </si>
  <si>
    <t>RAB_depreciation_by_Year.4</t>
  </si>
  <si>
    <t>RAB_depreciation_by_Year.5</t>
  </si>
  <si>
    <t>RAB_depreciation_by_Year.6</t>
  </si>
  <si>
    <t>RAB_depreciation_by_Year.7</t>
  </si>
  <si>
    <t>RAB_depreciation_by_Year.8</t>
  </si>
  <si>
    <t>RAB_depreciation_by_Year.9</t>
  </si>
  <si>
    <t>RAB_depreciation_by_Year.10</t>
  </si>
  <si>
    <t>RAB_depreciation_by_Year.11</t>
  </si>
  <si>
    <t>UKADSF_costs_are_capex__slow_money__ratio</t>
  </si>
  <si>
    <t>UKADS1_costs_are_capex__slow_money__ratio</t>
  </si>
  <si>
    <t>Real_Social_Time_Preference_Rate</t>
  </si>
  <si>
    <t>CPI_Index_Forecast__Calculations_</t>
  </si>
  <si>
    <t>CPI_Inflation</t>
  </si>
  <si>
    <t>Timeline_label</t>
  </si>
  <si>
    <t>Model_period_end</t>
  </si>
  <si>
    <t>Period_number</t>
  </si>
  <si>
    <t>Model_period_start</t>
  </si>
  <si>
    <t>CPI_Index_forecast_flag</t>
  </si>
  <si>
    <t>NR23_flag</t>
  </si>
  <si>
    <t>_2025_flag</t>
  </si>
  <si>
    <t>_2026_flag</t>
  </si>
  <si>
    <t>NR33__Closing_RAB_end_date__flag</t>
  </si>
  <si>
    <t>NR23_specific_date_flag</t>
  </si>
  <si>
    <t>Slow_Money</t>
  </si>
  <si>
    <t>Net_Capex_for_the_year</t>
  </si>
  <si>
    <t>RAB.BEG</t>
  </si>
  <si>
    <t>RAB_Indexation</t>
  </si>
  <si>
    <t>Average_RAB</t>
  </si>
  <si>
    <t>Regulatory_return_nominal</t>
  </si>
  <si>
    <t>Regulatory_return_real</t>
  </si>
  <si>
    <t>Corporation_tax_calculated_real</t>
  </si>
  <si>
    <t>Corporation_tax_grossed_up</t>
  </si>
  <si>
    <t>Straight_line_depreciation__</t>
  </si>
  <si>
    <t>UKADS1_costs_are_opex__fast_money__ratio</t>
  </si>
  <si>
    <t>UKADSF_costs_are_opex__fast_money__ratio</t>
  </si>
  <si>
    <t>Opex_Real</t>
  </si>
  <si>
    <t>Determined_Costs_Real__RAB_only_</t>
  </si>
  <si>
    <t>Bridge_to_determine_costs_used_for_calculation_for_Determined_costs_real_for__RAB_NR23_only</t>
  </si>
  <si>
    <t>DC_per_SU_real__RAB_only_</t>
  </si>
  <si>
    <t>DC_per_Flight_Real__RAB_only_</t>
  </si>
  <si>
    <t>DC_per_flight_nominal__RAB_only_</t>
  </si>
  <si>
    <t>DC_per_SU_nominal__RAB_only_</t>
  </si>
  <si>
    <t>RAB_depreciation_nominal.1</t>
  </si>
  <si>
    <t>RAB_depreciation_nominal.2</t>
  </si>
  <si>
    <t>RAB_depreciation_nominal.3</t>
  </si>
  <si>
    <t>RAB_depreciation_nominal.4</t>
  </si>
  <si>
    <t>RAB_depreciation_nominal.5</t>
  </si>
  <si>
    <t>RAB_depreciation_nominal.6</t>
  </si>
  <si>
    <t>RAB_depreciation_nominal.7</t>
  </si>
  <si>
    <t>RAB_depreciation_nominal.8</t>
  </si>
  <si>
    <t>RAB_depreciation_nominal.9</t>
  </si>
  <si>
    <t>RAB_depreciation_nominal.10</t>
  </si>
  <si>
    <t>RAB_depreciation_nominal.11</t>
  </si>
  <si>
    <t>Total_RAB_depreciation</t>
  </si>
  <si>
    <t>Total_RAB_depreciation_real</t>
  </si>
  <si>
    <t>Determined_costs_real_for_NR23___RAB_only_</t>
  </si>
  <si>
    <t>Determined_costs_for_RAB_Real_for_2026_only</t>
  </si>
  <si>
    <t>Initial_Calculations_Determined_Cost_Real_from_2026__RAB_only_</t>
  </si>
  <si>
    <t>DC_per_SU_from_2026_real__RAB_only_</t>
  </si>
  <si>
    <t>DC_per_flight_from_2026_real__RAB_only_</t>
  </si>
  <si>
    <t>Determined_Cost_from_2026_Real__RAB_only_</t>
  </si>
  <si>
    <t>DC_per_SU_from_2026_nominal__RAB_only_</t>
  </si>
  <si>
    <t>DC_per_flight_from_2026_nominal__RAB_only_</t>
  </si>
  <si>
    <t>Determined_Cost_from_2026_nominal__RAB_Only_</t>
  </si>
  <si>
    <t>Charge_per_pax__RAB_only_</t>
  </si>
  <si>
    <t>Charge_as_a___of_UK_en_route_rate_real__RAB_only_</t>
  </si>
  <si>
    <t>Determined_Cost_from_2026_Real__RAB_only__Terminal_Value_</t>
  </si>
  <si>
    <t>NPV_Determined_Cost_from_2026_Real__RAB_only_</t>
  </si>
  <si>
    <t>Determined_Cost_from_2026_real__NR23_period_</t>
  </si>
  <si>
    <t>Total_Determined_Cost_from_2026_real__NR23_period_</t>
  </si>
  <si>
    <t>Charge_per_service_unit__RAB_only__real_for_NR23_period</t>
  </si>
  <si>
    <t>Charge_per_flight__RAB_only__real_for_NR23_period</t>
  </si>
  <si>
    <t>Charge_per_passenger__RAB_only__real_for_NR23_period</t>
  </si>
  <si>
    <t>Charge_per_SU__RAB_only__as___of_2024_UK_en_route_rate_for_NR23_period</t>
  </si>
  <si>
    <t>Forecast_RAB_for_NR23_period</t>
  </si>
  <si>
    <t>Forecast_closing_RAB_for_NR23_period</t>
  </si>
  <si>
    <t>Determined_Cost_from_2026_real__10_year_period_</t>
  </si>
  <si>
    <t>Total_Determined_Cost_from_2026_real__10_year_period_</t>
  </si>
  <si>
    <t>Charge_per_service_unit__RAB_only__real_for_10_year_period</t>
  </si>
  <si>
    <t>Charge_per_flight__RAB_only__real_for_10_year_period</t>
  </si>
  <si>
    <t>Charge_per_passenger__RAB_only__real_for_10_year_period</t>
  </si>
  <si>
    <t>Charge_per_SU__RAB_only__as___of_2024_UK_en_route_rate_for_10_year_period</t>
  </si>
  <si>
    <t>Forecast_Closing_RAB_for_10_year_period_only</t>
  </si>
  <si>
    <t>Determined_Cost_Real</t>
  </si>
  <si>
    <t>DC_per_flight_real</t>
  </si>
  <si>
    <t>DC_per_SU_real</t>
  </si>
  <si>
    <t>Bridge_to_determine_costs_used_for_calculation_for_Determined_costs_real_for_NR23_only</t>
  </si>
  <si>
    <t>Determined_costs_real_for_NR23_only</t>
  </si>
  <si>
    <t>Determined_costs_real_for_2026_only</t>
  </si>
  <si>
    <t>Initial_Calculations_Determined_Cost_Real_from_2026</t>
  </si>
  <si>
    <t>Determined_costs_real_from_2026</t>
  </si>
  <si>
    <t>DC_per_flight_real_from_2026</t>
  </si>
  <si>
    <t>DC_per_SU_real_from_2026</t>
  </si>
  <si>
    <t>Determined_Cost_nominal_from_2026</t>
  </si>
  <si>
    <t>DC_per_SU_nominal_from_2026</t>
  </si>
  <si>
    <t>DC_per_flight_nominal_from_2026</t>
  </si>
  <si>
    <t>Charge_per_pax__Cost_Operating_Margin_only_</t>
  </si>
  <si>
    <t>Charge_as_a___of_UK_en_route_rate_real__Operating_Cost_Margin_only_</t>
  </si>
  <si>
    <t>NPV_Operating_cost___Margin</t>
  </si>
  <si>
    <t>Determined_costs_real_from_2026__NR23_period_</t>
  </si>
  <si>
    <t>Total_Determined_costs_real_from_2026__NR23_period_</t>
  </si>
  <si>
    <t>Charge_per_service_unit_real_for_NR23_period</t>
  </si>
  <si>
    <t>Charge_per_flight_real_for_NR23_period</t>
  </si>
  <si>
    <t>Charge_per_passenger_real_for_NR23_period</t>
  </si>
  <si>
    <t>Charge_per_SU_as___of_2024_UK_en_route_rate_for_NR23_period</t>
  </si>
  <si>
    <t>Determined_costs_real_from_2026__10_year_period_</t>
  </si>
  <si>
    <t>Total_Determined_costs_real_from_2026__10_year_period_</t>
  </si>
  <si>
    <t>Charge_per_service_unit_real_for_10_year_period</t>
  </si>
  <si>
    <t>Charge_per_flight_real_for_10_year_period</t>
  </si>
  <si>
    <t>Charge_per_passenger_real_for_10_year_period</t>
  </si>
  <si>
    <t>Charge_per_SU_as___of_2024_UK_en_route_rate_for_10_year_period</t>
  </si>
  <si>
    <t>UKADSF_scenarios_chosen</t>
  </si>
  <si>
    <t>UKADS1_scenario_chosen</t>
  </si>
  <si>
    <t>Estimated_annual_costs_of_providing_the_UKADS_and_the_Support_Fund_NR23</t>
  </si>
  <si>
    <t>Estimated_total_cost_of_providing_the_UKADS_and_the_Support_Fund_NR23</t>
  </si>
  <si>
    <t>Annual_Service_Units_forecast_for_NR23_period__2026_start_</t>
  </si>
  <si>
    <t>Total_Service_Units_forecast_for_NR23_period__2026_start_</t>
  </si>
  <si>
    <t>Annual_Flights_forecast_for_NR23_period__2026_start_</t>
  </si>
  <si>
    <t>Total_Flights_forecast_for_NR23_period__2026_start_</t>
  </si>
  <si>
    <t>Estimated_annual_costs_of_providing_the_UKADS_and_the_Support_Fund_10_year</t>
  </si>
  <si>
    <t>Estimated_total_cost_of_providing_the_UKADS_and_the_Support_Fund_10_year</t>
  </si>
  <si>
    <t>Annual_Service_Units_forecast_for_10_year_period__2026_start_</t>
  </si>
  <si>
    <t>Total_Service_Units_forecast_for_10_year_period__2026_start_</t>
  </si>
  <si>
    <t>Annual_Flights_forecast_for_10_year_period__2026_start_</t>
  </si>
  <si>
    <t>Total_Flights_forecast_for_10_year_period__2026_start_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</si>
</sst>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dd/mm/yyyy;@"/>
    <numFmt numFmtId="165" formatCode="#,##0_);\(#,##0\);&quot;-  &quot;;&quot; &quot;@&quot; &quot;"/>
    <numFmt numFmtId="166" formatCode="#,##0_);\(#,##0\);&quot;-  &quot;;&quot; &quot;@"/>
    <numFmt numFmtId="167" formatCode="dd\ mmm\ yy_);\(###0\);&quot;-  &quot;;&quot; &quot;@&quot; &quot;"/>
    <numFmt numFmtId="168" formatCode="#,##0.0000_);\(#,##0.0000\);&quot;-  &quot;;&quot; &quot;@&quot; &quot;"/>
    <numFmt numFmtId="169" formatCode="0.00%_);\-0.00%_);&quot;-  &quot;;&quot; &quot;@&quot; &quot;"/>
    <numFmt numFmtId="170" formatCode="dd\ mmm\ yyyy_);\(###0\);&quot;-  &quot;;&quot; &quot;@&quot; &quot;"/>
    <numFmt numFmtId="171" formatCode="###0_);\(###0\);&quot;-  &quot;;&quot; &quot;@&quot; &quot;"/>
    <numFmt numFmtId="172" formatCode="0.00%;\-0.00%_);&quot;-  &quot;;&quot; &quot;@&quot; &quot;"/>
    <numFmt numFmtId="173" formatCode="#,##0.0000;\(#,##0.0000\);&quot;-  &quot;;&quot; &quot;@&quot; &quot;"/>
    <numFmt numFmtId="174" formatCode="#.##"/>
    <numFmt numFmtId="175" formatCode="#,##0.000_);\(#,##0.000\);&quot;-  &quot;;&quot; &quot;@&quot; &quot;"/>
    <numFmt numFmtId="176" formatCode="#,##0.00_);\(#,##0.00\);&quot;-  &quot;;&quot; &quot;@"/>
  </numFmts>
  <fonts count="36">
    <font>
      <sz val="8"/>
      <color theme="1"/>
      <name val="Tahoma"/>
      <family val="2"/>
    </font>
    <font>
      <sz val="10"/>
      <name val="Arial"/>
      <family val="2"/>
    </font>
    <font>
      <sz val="11"/>
      <color theme="1"/>
      <name val="Calibri"/>
      <family val="2"/>
      <scheme val="minor"/>
    </font>
    <font>
      <u/>
      <sz val="8"/>
      <color theme="10"/>
      <name val="Tahoma"/>
      <family val="2"/>
    </font>
    <font>
      <sz val="10"/>
      <color rgb="FF000000"/>
      <name val="Arial"/>
      <family val="2"/>
    </font>
    <font>
      <i/>
      <sz val="8"/>
      <color theme="1"/>
      <name val="Tahoma"/>
      <family val="2"/>
    </font>
    <font>
      <sz val="10"/>
      <color rgb="FF0000FF"/>
      <name val="Arial"/>
      <family val="2"/>
    </font>
    <font>
      <b/>
      <sz val="10"/>
      <color rgb="FF0000FF"/>
      <name val="Arial"/>
      <family val="2"/>
    </font>
    <font>
      <sz val="10"/>
      <color rgb="FFFF0000"/>
      <name val="Arial"/>
      <family val="2"/>
    </font>
    <font>
      <u/>
      <sz val="10"/>
      <color rgb="FF0000FF"/>
      <name val="Arial"/>
      <family val="2"/>
    </font>
    <font>
      <b/>
      <sz val="14"/>
      <name val="Arial"/>
      <family val="2"/>
    </font>
    <font>
      <b/>
      <sz val="10"/>
      <color rgb="FFFF0000"/>
      <name val="Arial"/>
      <family val="2"/>
    </font>
    <font>
      <b/>
      <sz val="10"/>
      <name val="Arial"/>
      <family val="2"/>
    </font>
    <font>
      <u/>
      <sz val="10"/>
      <color rgb="FFFF0000"/>
      <name val="Arial"/>
      <family val="2"/>
    </font>
    <font>
      <sz val="10"/>
      <color theme="1"/>
      <name val="Arial"/>
      <family val="2"/>
    </font>
    <font>
      <i/>
      <sz val="10"/>
      <name val="Arial"/>
      <family val="2"/>
    </font>
    <font>
      <sz val="16"/>
      <color indexed="12"/>
      <name val="Arial"/>
      <family val="2"/>
    </font>
    <font>
      <b/>
      <sz val="10"/>
      <color rgb="FF000000"/>
      <name val="Arial"/>
      <family val="2"/>
    </font>
    <font>
      <b/>
      <sz val="20"/>
      <name val="Arial"/>
      <family val="2"/>
    </font>
    <font>
      <u/>
      <sz val="10"/>
      <name val="Arial"/>
      <family val="2"/>
    </font>
    <font>
      <sz val="20"/>
      <name val="Arial"/>
      <family val="2"/>
    </font>
    <font>
      <u/>
      <sz val="12"/>
      <color theme="10"/>
      <name val="Tahoma"/>
      <family val="2"/>
    </font>
    <font>
      <u/>
      <sz val="10"/>
      <color rgb="FF00B050"/>
      <name val="Arial"/>
      <family val="2"/>
    </font>
    <font>
      <u/>
      <sz val="20"/>
      <name val="Arial"/>
      <family val="2"/>
    </font>
    <font>
      <u/>
      <sz val="10"/>
      <color rgb="FF000000"/>
      <name val="Arial"/>
      <family val="2"/>
    </font>
    <font>
      <sz val="8"/>
      <color theme="1"/>
      <name val="Arial"/>
      <family val="2"/>
    </font>
    <font>
      <b/>
      <u/>
      <sz val="12"/>
      <color rgb="FF00B050"/>
      <name val="Arial"/>
      <family val="2"/>
    </font>
    <font>
      <sz val="10"/>
      <color rgb="FF00B050"/>
      <name val="Arial"/>
      <family val="2"/>
    </font>
    <font>
      <b/>
      <sz val="18"/>
      <name val="Circular Pro Black"/>
      <family val="2"/>
    </font>
    <font>
      <b/>
      <sz val="12"/>
      <name val="Arial"/>
      <family val="2"/>
    </font>
    <font>
      <u/>
      <sz val="12"/>
      <color rgb="FF00B050"/>
      <name val="Arial"/>
      <family val="2"/>
    </font>
    <font>
      <sz val="18"/>
      <name val="Arial"/>
      <family val="2"/>
    </font>
    <font>
      <b/>
      <u/>
      <sz val="10"/>
      <name val="Arial"/>
      <family val="2"/>
    </font>
    <font>
      <sz val="10"/>
      <name val="Circular Pro Bold"/>
      <family val="2"/>
    </font>
    <font>
      <sz val="8"/>
      <color theme="1"/>
      <name val="Tahoma"/>
      <family val="2"/>
    </font>
    <font>
      <sz val="10"/>
      <name val="Arial"/>
      <family val="2"/>
    </font>
  </fonts>
  <fills count="8">
    <fill>
      <patternFill patternType="none"/>
    </fill>
    <fill>
      <patternFill patternType="gray125"/>
    </fill>
    <fill>
      <patternFill patternType="solid">
        <fgColor rgb="FFFFFFE5"/>
        <bgColor indexed="64"/>
      </patternFill>
    </fill>
    <fill>
      <patternFill patternType="solid">
        <fgColor theme="8" tint="0.59996337778862885"/>
        <bgColor indexed="64"/>
      </patternFill>
    </fill>
    <fill>
      <patternFill patternType="solid">
        <fgColor rgb="FFC0C0C0"/>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6">
    <border>
      <left/>
      <right/>
      <top/>
      <bottom/>
      <diagonal/>
    </border>
    <border>
      <left style="thin">
        <color theme="0" tint="-0.24991607409894101"/>
      </left>
      <right style="thin">
        <color theme="0" tint="-0.24991607409894101"/>
      </right>
      <top style="thin">
        <color theme="0" tint="-0.24991607409894101"/>
      </top>
      <bottom style="thin">
        <color theme="0" tint="-0.24991607409894101"/>
      </bottom>
      <diagonal/>
    </border>
    <border>
      <left/>
      <right/>
      <top style="medium">
        <color auto="1"/>
      </top>
      <bottom style="medium">
        <color auto="1"/>
      </bottom>
      <diagonal/>
    </border>
    <border>
      <left/>
      <right/>
      <top style="medium">
        <color auto="1"/>
      </top>
      <bottom style="double">
        <color auto="1"/>
      </bottom>
      <diagonal/>
    </border>
    <border>
      <left/>
      <right/>
      <top/>
      <bottom style="thin">
        <color rgb="FF808080"/>
      </bottom>
      <diagonal/>
    </border>
    <border>
      <left/>
      <right/>
      <top style="thin">
        <color rgb="FF808080"/>
      </top>
      <bottom/>
      <diagonal/>
    </border>
  </borders>
  <cellStyleXfs count="37">
    <xf numFmtId="165" fontId="0" fillId="0" borderId="0" applyFont="0" applyFill="0" applyBorder="0" applyProtection="0">
      <alignment vertical="top"/>
    </xf>
    <xf numFmtId="165" fontId="1" fillId="0" borderId="0" applyBorder="0">
      <alignment vertical="top"/>
    </xf>
    <xf numFmtId="169" fontId="1" fillId="0" borderId="0" applyBorder="0">
      <alignment vertical="top"/>
    </xf>
    <xf numFmtId="165" fontId="1" fillId="0" borderId="0" applyBorder="0">
      <alignment vertical="top"/>
    </xf>
    <xf numFmtId="167" fontId="1" fillId="0" borderId="0" applyBorder="0">
      <alignment vertical="top"/>
    </xf>
    <xf numFmtId="166" fontId="1" fillId="0" borderId="0" applyFont="0" applyFill="0" applyBorder="0" applyProtection="0">
      <alignment vertical="top"/>
    </xf>
    <xf numFmtId="170" fontId="1" fillId="0" borderId="0" applyFont="0" applyFill="0" applyBorder="0" applyProtection="0">
      <alignment vertical="top"/>
    </xf>
    <xf numFmtId="170" fontId="1" fillId="0" borderId="0" applyFont="0" applyFill="0" applyBorder="0" applyProtection="0">
      <alignment vertical="top"/>
    </xf>
    <xf numFmtId="167" fontId="1" fillId="0" borderId="0" applyFont="0" applyFill="0" applyBorder="0" applyProtection="0">
      <alignment vertical="top"/>
    </xf>
    <xf numFmtId="167" fontId="1" fillId="0" borderId="0" applyFont="0" applyFill="0" applyBorder="0" applyProtection="0">
      <alignment vertical="top"/>
    </xf>
    <xf numFmtId="173" fontId="1" fillId="0" borderId="0" applyFont="0" applyFill="0" applyBorder="0" applyProtection="0">
      <alignment vertical="top"/>
    </xf>
    <xf numFmtId="168" fontId="2" fillId="0" borderId="0" applyFont="0" applyFill="0" applyBorder="0" applyProtection="0">
      <alignment vertical="top"/>
    </xf>
    <xf numFmtId="168" fontId="1" fillId="0" borderId="0" applyFont="0" applyFill="0" applyBorder="0" applyProtection="0">
      <alignment vertical="top"/>
    </xf>
    <xf numFmtId="0" fontId="3" fillId="0" borderId="0" applyNumberFormat="0" applyFill="0" applyBorder="0" applyAlignment="0" applyProtection="0"/>
    <xf numFmtId="169" fontId="4" fillId="2" borderId="1" applyProtection="0">
      <alignment vertical="top"/>
    </xf>
    <xf numFmtId="165" fontId="4" fillId="2" borderId="1" applyProtection="0">
      <alignment vertical="top"/>
    </xf>
    <xf numFmtId="164" fontId="4" fillId="2" borderId="1" applyProtection="0">
      <alignment vertical="top"/>
    </xf>
    <xf numFmtId="165" fontId="4" fillId="2" borderId="1" applyProtection="0">
      <alignment vertical="top"/>
    </xf>
    <xf numFmtId="165" fontId="1" fillId="0" borderId="0" applyFont="0" applyFill="0" applyBorder="0" applyProtection="0">
      <alignment vertical="top"/>
    </xf>
    <xf numFmtId="165" fontId="1" fillId="0" borderId="0" applyFont="0" applyFill="0" applyBorder="0" applyProtection="0">
      <alignment vertical="top"/>
    </xf>
    <xf numFmtId="165" fontId="2" fillId="0" borderId="0" applyFont="0" applyFill="0" applyBorder="0" applyProtection="0">
      <alignment vertical="top"/>
    </xf>
    <xf numFmtId="165" fontId="2" fillId="0" borderId="0" applyFont="0" applyFill="0" applyBorder="0" applyProtection="0">
      <alignment vertical="top"/>
    </xf>
    <xf numFmtId="165" fontId="1" fillId="0" borderId="0" applyFont="0" applyFill="0" applyBorder="0" applyProtection="0">
      <alignment vertical="top"/>
    </xf>
    <xf numFmtId="172" fontId="34" fillId="0" borderId="0" applyFont="0" applyFill="0" applyBorder="0" applyProtection="0">
      <alignment vertical="top"/>
    </xf>
    <xf numFmtId="169" fontId="1" fillId="0" borderId="0" applyFont="0" applyFill="0" applyBorder="0" applyProtection="0">
      <alignment vertical="top"/>
    </xf>
    <xf numFmtId="169" fontId="2" fillId="0" borderId="0" applyFont="0" applyFill="0" applyBorder="0" applyProtection="0">
      <alignment vertical="top"/>
    </xf>
    <xf numFmtId="169" fontId="1" fillId="0" borderId="0" applyFont="0" applyFill="0" applyBorder="0" applyProtection="0">
      <alignment vertical="top"/>
    </xf>
    <xf numFmtId="165" fontId="5" fillId="0" borderId="0" applyNumberFormat="0">
      <alignment horizontal="left" vertical="top" indent="4"/>
    </xf>
    <xf numFmtId="165" fontId="34" fillId="0" borderId="2" applyNumberFormat="0" applyFont="0" applyFill="0" applyAlignment="0">
      <alignment vertical="top"/>
    </xf>
    <xf numFmtId="165" fontId="34" fillId="0" borderId="3" applyNumberFormat="0" applyFont="0" applyFill="0" applyAlignment="0">
      <alignment vertical="top"/>
    </xf>
    <xf numFmtId="166" fontId="1" fillId="0" borderId="0" applyBorder="0">
      <alignment vertical="top"/>
    </xf>
    <xf numFmtId="9" fontId="1" fillId="0" borderId="0" applyBorder="0">
      <alignment vertical="top"/>
    </xf>
    <xf numFmtId="166" fontId="1" fillId="0" borderId="0" applyBorder="0">
      <alignment vertical="top"/>
    </xf>
    <xf numFmtId="167" fontId="4" fillId="0" borderId="0" applyBorder="0">
      <alignment vertical="top"/>
    </xf>
    <xf numFmtId="171" fontId="1" fillId="0" borderId="0" applyFont="0" applyFill="0" applyBorder="0" applyProtection="0">
      <alignment vertical="top"/>
    </xf>
    <xf numFmtId="171" fontId="1" fillId="0" borderId="0" applyFont="0" applyFill="0" applyBorder="0" applyProtection="0">
      <alignment vertical="top"/>
    </xf>
    <xf numFmtId="43" fontId="34" fillId="0" borderId="0" applyFont="0" applyFill="0" applyBorder="0" applyAlignment="0" applyProtection="0"/>
  </cellStyleXfs>
  <cellXfs count="138">
    <xf numFmtId="165" fontId="0" fillId="0" borderId="0" xfId="0">
      <alignment vertical="top"/>
    </xf>
    <xf numFmtId="165" fontId="1" fillId="0" borderId="0" xfId="3">
      <alignment vertical="top"/>
    </xf>
    <xf numFmtId="165" fontId="6" fillId="0" borderId="0" xfId="1" applyFont="1">
      <alignment vertical="top"/>
    </xf>
    <xf numFmtId="165" fontId="1" fillId="0" borderId="0" xfId="1">
      <alignment vertical="top"/>
    </xf>
    <xf numFmtId="165" fontId="6" fillId="0" borderId="0" xfId="3" applyFont="1">
      <alignment vertical="top"/>
    </xf>
    <xf numFmtId="165" fontId="7" fillId="0" borderId="0" xfId="18" applyFont="1">
      <alignment vertical="top"/>
    </xf>
    <xf numFmtId="165" fontId="8" fillId="0" borderId="0" xfId="3" applyFont="1">
      <alignment vertical="top"/>
    </xf>
    <xf numFmtId="165" fontId="6" fillId="0" borderId="0" xfId="18" applyFont="1">
      <alignment vertical="top"/>
    </xf>
    <xf numFmtId="171" fontId="6" fillId="0" borderId="0" xfId="1" applyNumberFormat="1" applyFont="1">
      <alignment vertical="top"/>
    </xf>
    <xf numFmtId="167" fontId="1" fillId="0" borderId="0" xfId="4">
      <alignment vertical="top"/>
    </xf>
    <xf numFmtId="165" fontId="9" fillId="0" borderId="0" xfId="18" applyFont="1">
      <alignment vertical="top"/>
    </xf>
    <xf numFmtId="165" fontId="6" fillId="0" borderId="0" xfId="18" applyFont="1" applyAlignment="1">
      <alignment horizontal="right" vertical="top"/>
    </xf>
    <xf numFmtId="165" fontId="10" fillId="3" borderId="0" xfId="18" applyFont="1" applyFill="1" applyAlignment="1">
      <alignment vertical="center"/>
    </xf>
    <xf numFmtId="166" fontId="1" fillId="0" borderId="0" xfId="32">
      <alignment vertical="top"/>
    </xf>
    <xf numFmtId="165" fontId="1" fillId="3" borderId="0" xfId="18" applyFont="1" applyFill="1">
      <alignment vertical="top"/>
    </xf>
    <xf numFmtId="165" fontId="4" fillId="0" borderId="0" xfId="18" applyFont="1">
      <alignment vertical="top"/>
    </xf>
    <xf numFmtId="165" fontId="8" fillId="0" borderId="0" xfId="18" applyFont="1">
      <alignment vertical="top"/>
    </xf>
    <xf numFmtId="165" fontId="11" fillId="0" borderId="0" xfId="18" applyFont="1">
      <alignment vertical="top"/>
    </xf>
    <xf numFmtId="165" fontId="8" fillId="0" borderId="0" xfId="1" applyFont="1">
      <alignment vertical="top"/>
    </xf>
    <xf numFmtId="169" fontId="1" fillId="0" borderId="0" xfId="31" applyNumberFormat="1">
      <alignment vertical="top"/>
    </xf>
    <xf numFmtId="166" fontId="1" fillId="0" borderId="0" xfId="5" applyFont="1">
      <alignment vertical="top"/>
    </xf>
    <xf numFmtId="166" fontId="1" fillId="0" borderId="0" xfId="30">
      <alignment vertical="top"/>
    </xf>
    <xf numFmtId="174" fontId="1" fillId="0" borderId="0" xfId="32" applyNumberFormat="1">
      <alignment vertical="top"/>
    </xf>
    <xf numFmtId="165" fontId="12" fillId="0" borderId="0" xfId="18" applyFont="1">
      <alignment vertical="top"/>
    </xf>
    <xf numFmtId="166" fontId="1" fillId="4" borderId="0" xfId="5" applyFont="1" applyFill="1" applyAlignment="1">
      <alignment horizontal="right" vertical="top"/>
    </xf>
    <xf numFmtId="165" fontId="4" fillId="5" borderId="1" xfId="17" applyFill="1" applyProtection="1">
      <alignment vertical="top"/>
      <protection locked="0"/>
    </xf>
    <xf numFmtId="167" fontId="12" fillId="0" borderId="0" xfId="9" applyFont="1">
      <alignment vertical="top"/>
    </xf>
    <xf numFmtId="165" fontId="8" fillId="0" borderId="0" xfId="18" applyFont="1" applyAlignment="1">
      <alignment horizontal="right" vertical="top"/>
    </xf>
    <xf numFmtId="165" fontId="13" fillId="0" borderId="0" xfId="18" applyFont="1">
      <alignment vertical="top"/>
    </xf>
    <xf numFmtId="169" fontId="8" fillId="0" borderId="0" xfId="2" applyFont="1">
      <alignment vertical="top"/>
    </xf>
    <xf numFmtId="171" fontId="1" fillId="0" borderId="0" xfId="1" applyNumberFormat="1">
      <alignment vertical="top"/>
    </xf>
    <xf numFmtId="165" fontId="1" fillId="0" borderId="0" xfId="18" applyFont="1">
      <alignment vertical="top"/>
    </xf>
    <xf numFmtId="174" fontId="1" fillId="0" borderId="0" xfId="1" applyNumberFormat="1">
      <alignment vertical="top"/>
    </xf>
    <xf numFmtId="166" fontId="14" fillId="0" borderId="0" xfId="0" applyNumberFormat="1" applyFont="1">
      <alignment vertical="top"/>
    </xf>
    <xf numFmtId="169" fontId="14" fillId="0" borderId="0" xfId="0" applyNumberFormat="1" applyFont="1">
      <alignment vertical="top"/>
    </xf>
    <xf numFmtId="169" fontId="6" fillId="0" borderId="0" xfId="2" applyFont="1">
      <alignment vertical="top"/>
    </xf>
    <xf numFmtId="171" fontId="1" fillId="0" borderId="0" xfId="5" applyNumberFormat="1" applyFont="1">
      <alignment vertical="top"/>
    </xf>
    <xf numFmtId="167" fontId="15" fillId="0" borderId="0" xfId="9" applyFont="1">
      <alignment vertical="top"/>
    </xf>
    <xf numFmtId="165" fontId="12" fillId="0" borderId="0" xfId="0" applyFont="1">
      <alignment vertical="top"/>
    </xf>
    <xf numFmtId="169" fontId="1" fillId="0" borderId="0" xfId="1" applyNumberFormat="1">
      <alignment vertical="top"/>
    </xf>
    <xf numFmtId="171" fontId="4" fillId="0" borderId="0" xfId="34" applyFont="1">
      <alignment vertical="top"/>
    </xf>
    <xf numFmtId="174" fontId="14" fillId="0" borderId="0" xfId="0" applyNumberFormat="1" applyFont="1">
      <alignment vertical="top"/>
    </xf>
    <xf numFmtId="165" fontId="1" fillId="0" borderId="0" xfId="0" applyFont="1">
      <alignment vertical="top"/>
    </xf>
    <xf numFmtId="165" fontId="16" fillId="0" borderId="0" xfId="18" applyFont="1" applyAlignment="1">
      <alignment horizontal="left" vertical="top"/>
    </xf>
    <xf numFmtId="171" fontId="8" fillId="0" borderId="0" xfId="1" applyNumberFormat="1" applyFont="1">
      <alignment vertical="top"/>
    </xf>
    <xf numFmtId="165" fontId="8" fillId="0" borderId="4" xfId="3" applyFont="1" applyBorder="1">
      <alignment vertical="top"/>
    </xf>
    <xf numFmtId="165" fontId="1" fillId="0" borderId="0" xfId="18">
      <alignment vertical="top"/>
    </xf>
    <xf numFmtId="167" fontId="8" fillId="0" borderId="0" xfId="4" applyFont="1">
      <alignment vertical="top"/>
    </xf>
    <xf numFmtId="165" fontId="17" fillId="0" borderId="0" xfId="18" applyFont="1">
      <alignment vertical="top"/>
    </xf>
    <xf numFmtId="174" fontId="8" fillId="0" borderId="0" xfId="1" applyNumberFormat="1" applyFont="1">
      <alignment vertical="top"/>
    </xf>
    <xf numFmtId="165" fontId="18" fillId="0" borderId="0" xfId="20" applyFont="1">
      <alignment vertical="top"/>
    </xf>
    <xf numFmtId="165" fontId="19" fillId="0" borderId="0" xfId="18" applyFont="1">
      <alignment vertical="top"/>
    </xf>
    <xf numFmtId="165" fontId="1" fillId="0" borderId="5" xfId="3" applyBorder="1">
      <alignment vertical="top"/>
    </xf>
    <xf numFmtId="169" fontId="1" fillId="0" borderId="0" xfId="2">
      <alignment vertical="top"/>
    </xf>
    <xf numFmtId="165" fontId="8" fillId="6" borderId="1" xfId="17" applyFont="1" applyFill="1" applyProtection="1">
      <alignment vertical="top"/>
      <protection locked="0"/>
    </xf>
    <xf numFmtId="165" fontId="20" fillId="0" borderId="0" xfId="18" applyFont="1">
      <alignment vertical="top"/>
    </xf>
    <xf numFmtId="167" fontId="4" fillId="0" borderId="0" xfId="8" applyFont="1">
      <alignment vertical="top"/>
    </xf>
    <xf numFmtId="165" fontId="21" fillId="0" borderId="0" xfId="13" applyNumberFormat="1" applyFont="1" applyAlignment="1">
      <alignment vertical="top"/>
    </xf>
    <xf numFmtId="165" fontId="1" fillId="0" borderId="0" xfId="18" applyFont="1" applyFill="1">
      <alignment vertical="top"/>
    </xf>
    <xf numFmtId="167" fontId="6" fillId="0" borderId="0" xfId="4" applyFont="1">
      <alignment vertical="top"/>
    </xf>
    <xf numFmtId="169" fontId="6" fillId="0" borderId="0" xfId="1" applyNumberFormat="1" applyFont="1">
      <alignment vertical="top"/>
    </xf>
    <xf numFmtId="165" fontId="16" fillId="0" borderId="0" xfId="0" applyFont="1" applyAlignment="1">
      <alignment horizontal="left" vertical="top"/>
    </xf>
    <xf numFmtId="165" fontId="4" fillId="0" borderId="0" xfId="0" applyFont="1">
      <alignment vertical="top"/>
    </xf>
    <xf numFmtId="165" fontId="19" fillId="0" borderId="0" xfId="0" applyFont="1">
      <alignment vertical="top"/>
    </xf>
    <xf numFmtId="165" fontId="17" fillId="0" borderId="0" xfId="0" applyFont="1">
      <alignment vertical="top"/>
    </xf>
    <xf numFmtId="165" fontId="22" fillId="0" borderId="0" xfId="0" applyFont="1">
      <alignment vertical="top"/>
    </xf>
    <xf numFmtId="165" fontId="18" fillId="0" borderId="0" xfId="18" applyFont="1">
      <alignment vertical="top"/>
    </xf>
    <xf numFmtId="166" fontId="1" fillId="0" borderId="0" xfId="0" applyNumberFormat="1" applyFont="1">
      <alignment vertical="top"/>
    </xf>
    <xf numFmtId="165" fontId="4" fillId="0" borderId="0" xfId="18" applyFont="1" applyAlignment="1">
      <alignment horizontal="right" vertical="top"/>
    </xf>
    <xf numFmtId="169" fontId="1" fillId="0" borderId="0" xfId="0" applyNumberFormat="1" applyFont="1">
      <alignment vertical="top"/>
    </xf>
    <xf numFmtId="165" fontId="23" fillId="0" borderId="0" xfId="18" applyFont="1">
      <alignment vertical="top"/>
    </xf>
    <xf numFmtId="165" fontId="24" fillId="0" borderId="0" xfId="18" applyFont="1">
      <alignment vertical="top"/>
    </xf>
    <xf numFmtId="165" fontId="1" fillId="0" borderId="0" xfId="18" applyFont="1" applyAlignment="1">
      <alignment horizontal="right" vertical="top"/>
    </xf>
    <xf numFmtId="168" fontId="1" fillId="0" borderId="0" xfId="1" applyNumberFormat="1">
      <alignment vertical="top"/>
    </xf>
    <xf numFmtId="168" fontId="6" fillId="0" borderId="0" xfId="1" applyNumberFormat="1" applyFont="1">
      <alignment vertical="top"/>
    </xf>
    <xf numFmtId="165" fontId="1" fillId="0" borderId="0" xfId="18" applyAlignment="1">
      <alignment horizontal="right" vertical="top"/>
    </xf>
    <xf numFmtId="165" fontId="20" fillId="0" borderId="0" xfId="18" applyFont="1" applyAlignment="1">
      <alignment horizontal="right" vertical="top"/>
    </xf>
    <xf numFmtId="165" fontId="8" fillId="6" borderId="0" xfId="18" applyFont="1" applyFill="1">
      <alignment vertical="top"/>
    </xf>
    <xf numFmtId="169" fontId="8" fillId="0" borderId="0" xfId="1" applyNumberFormat="1" applyFont="1">
      <alignment vertical="top"/>
    </xf>
    <xf numFmtId="165" fontId="1" fillId="0" borderId="0" xfId="18" quotePrefix="1">
      <alignment vertical="top"/>
    </xf>
    <xf numFmtId="174" fontId="1" fillId="0" borderId="0" xfId="0" applyNumberFormat="1" applyFont="1">
      <alignment vertical="top"/>
    </xf>
    <xf numFmtId="165" fontId="8" fillId="0" borderId="0" xfId="18" quotePrefix="1" applyFont="1">
      <alignment vertical="top"/>
    </xf>
    <xf numFmtId="165" fontId="8" fillId="0" borderId="4" xfId="18" applyFont="1" applyBorder="1">
      <alignment vertical="top"/>
    </xf>
    <xf numFmtId="165" fontId="25" fillId="0" borderId="0" xfId="0" applyFont="1">
      <alignment vertical="top"/>
    </xf>
    <xf numFmtId="165" fontId="23" fillId="0" borderId="0" xfId="0" applyFont="1">
      <alignment vertical="top"/>
    </xf>
    <xf numFmtId="165" fontId="20" fillId="0" borderId="0" xfId="0" applyFont="1" applyAlignment="1">
      <alignment horizontal="left" vertical="top"/>
    </xf>
    <xf numFmtId="169" fontId="4" fillId="5" borderId="1" xfId="14" applyFill="1" applyProtection="1">
      <alignment vertical="top"/>
      <protection locked="0"/>
    </xf>
    <xf numFmtId="165" fontId="1" fillId="0" borderId="0" xfId="0" applyFont="1" applyAlignment="1">
      <alignment horizontal="left" vertical="top"/>
    </xf>
    <xf numFmtId="165" fontId="24" fillId="0" borderId="0" xfId="0" applyFont="1">
      <alignment vertical="top"/>
    </xf>
    <xf numFmtId="165" fontId="20" fillId="0" borderId="0" xfId="0" applyFont="1">
      <alignment vertical="top"/>
    </xf>
    <xf numFmtId="165" fontId="0" fillId="0" borderId="0" xfId="0" applyAlignment="1">
      <alignment horizontal="left" vertical="top"/>
    </xf>
    <xf numFmtId="167" fontId="4" fillId="5" borderId="1" xfId="16" applyNumberFormat="1" applyFill="1" applyProtection="1">
      <alignment vertical="top"/>
      <protection locked="0"/>
    </xf>
    <xf numFmtId="165" fontId="4" fillId="0" borderId="0" xfId="0" applyFont="1" applyAlignment="1">
      <alignment horizontal="left" vertical="top"/>
    </xf>
    <xf numFmtId="165" fontId="18" fillId="0" borderId="0" xfId="0" applyFont="1">
      <alignment vertical="top"/>
    </xf>
    <xf numFmtId="169" fontId="4" fillId="5" borderId="1" xfId="17" applyNumberFormat="1" applyFill="1" applyProtection="1">
      <alignment vertical="top"/>
      <protection locked="0"/>
    </xf>
    <xf numFmtId="165" fontId="0" fillId="0" borderId="0" xfId="0" quotePrefix="1">
      <alignment vertical="top"/>
    </xf>
    <xf numFmtId="165" fontId="26" fillId="0" borderId="0" xfId="0" applyFont="1">
      <alignment vertical="top"/>
    </xf>
    <xf numFmtId="165" fontId="27" fillId="0" borderId="0" xfId="0" applyFont="1">
      <alignment vertical="top"/>
    </xf>
    <xf numFmtId="165" fontId="28" fillId="3" borderId="0" xfId="18" applyFont="1" applyFill="1">
      <alignment vertical="top"/>
    </xf>
    <xf numFmtId="165" fontId="11" fillId="0" borderId="4" xfId="18" applyFont="1" applyBorder="1">
      <alignment vertical="top"/>
    </xf>
    <xf numFmtId="165" fontId="1" fillId="3" borderId="0" xfId="18" applyFill="1">
      <alignment vertical="top"/>
    </xf>
    <xf numFmtId="165" fontId="12" fillId="0" borderId="5" xfId="18" applyFont="1" applyBorder="1">
      <alignment vertical="top"/>
    </xf>
    <xf numFmtId="168" fontId="4" fillId="5" borderId="1" xfId="17" applyNumberFormat="1" applyFill="1" applyProtection="1">
      <alignment vertical="top"/>
      <protection locked="0"/>
    </xf>
    <xf numFmtId="165" fontId="29" fillId="3" borderId="0" xfId="18" applyFont="1" applyFill="1" applyAlignment="1">
      <alignment vertical="center"/>
    </xf>
    <xf numFmtId="165" fontId="11" fillId="6" borderId="0" xfId="18" applyFont="1" applyFill="1">
      <alignment vertical="top"/>
    </xf>
    <xf numFmtId="165" fontId="1" fillId="0" borderId="0" xfId="18" applyFont="1" applyAlignment="1">
      <alignment horizontal="left" vertical="top"/>
    </xf>
    <xf numFmtId="165" fontId="30" fillId="0" borderId="0" xfId="0" applyFont="1">
      <alignment vertical="top"/>
    </xf>
    <xf numFmtId="165" fontId="1" fillId="6" borderId="0" xfId="18" applyFill="1">
      <alignment vertical="top"/>
    </xf>
    <xf numFmtId="165" fontId="13" fillId="6" borderId="0" xfId="18" applyFont="1" applyFill="1">
      <alignment vertical="top"/>
    </xf>
    <xf numFmtId="165" fontId="1" fillId="0" borderId="5" xfId="18" applyBorder="1" applyAlignment="1">
      <alignment horizontal="right" vertical="top"/>
    </xf>
    <xf numFmtId="165" fontId="8" fillId="0" borderId="4" xfId="18" applyFont="1" applyBorder="1" applyAlignment="1">
      <alignment horizontal="right" vertical="top"/>
    </xf>
    <xf numFmtId="165" fontId="19" fillId="0" borderId="5" xfId="18" applyFont="1" applyBorder="1">
      <alignment vertical="top"/>
    </xf>
    <xf numFmtId="165" fontId="31" fillId="3" borderId="0" xfId="18" applyFont="1" applyFill="1">
      <alignment vertical="top"/>
    </xf>
    <xf numFmtId="165" fontId="1" fillId="0" borderId="0" xfId="18" quotePrefix="1" applyFont="1">
      <alignment vertical="top"/>
    </xf>
    <xf numFmtId="165" fontId="20" fillId="0" borderId="0" xfId="18" applyFont="1" applyAlignment="1">
      <alignment horizontal="left" vertical="top"/>
    </xf>
    <xf numFmtId="165" fontId="1" fillId="0" borderId="4" xfId="18" applyBorder="1">
      <alignment vertical="top"/>
    </xf>
    <xf numFmtId="165" fontId="13" fillId="0" borderId="4" xfId="18" applyFont="1" applyBorder="1">
      <alignment vertical="top"/>
    </xf>
    <xf numFmtId="165" fontId="8" fillId="6" borderId="0" xfId="18" applyFont="1" applyFill="1" applyAlignment="1">
      <alignment horizontal="left" vertical="top"/>
    </xf>
    <xf numFmtId="165" fontId="1" fillId="0" borderId="5" xfId="18" applyBorder="1">
      <alignment vertical="top"/>
    </xf>
    <xf numFmtId="165" fontId="32" fillId="0" borderId="0" xfId="18" applyFont="1">
      <alignment vertical="top"/>
    </xf>
    <xf numFmtId="167" fontId="1" fillId="0" borderId="0" xfId="9" applyFont="1">
      <alignment vertical="top"/>
    </xf>
    <xf numFmtId="165" fontId="4" fillId="0" borderId="0" xfId="18" applyFont="1" applyAlignment="1">
      <alignment horizontal="left" vertical="top"/>
    </xf>
    <xf numFmtId="165" fontId="33" fillId="3" borderId="0" xfId="18" applyFont="1" applyFill="1">
      <alignment vertical="top"/>
    </xf>
    <xf numFmtId="165" fontId="12" fillId="0" borderId="0" xfId="18" applyFont="1" applyAlignment="1">
      <alignment horizontal="left" vertical="top"/>
    </xf>
    <xf numFmtId="165" fontId="3" fillId="3" borderId="0" xfId="13" applyNumberFormat="1" applyFill="1" applyAlignment="1">
      <alignment vertical="top"/>
    </xf>
    <xf numFmtId="175" fontId="8" fillId="0" borderId="0" xfId="3" applyNumberFormat="1" applyFont="1">
      <alignment vertical="top"/>
    </xf>
    <xf numFmtId="175" fontId="8" fillId="0" borderId="0" xfId="18" applyNumberFormat="1" applyFont="1">
      <alignment vertical="top"/>
    </xf>
    <xf numFmtId="175" fontId="1" fillId="0" borderId="0" xfId="18" applyNumberFormat="1">
      <alignment vertical="top"/>
    </xf>
    <xf numFmtId="176" fontId="1" fillId="0" borderId="0" xfId="0" applyNumberFormat="1" applyFont="1">
      <alignment vertical="top"/>
    </xf>
    <xf numFmtId="176" fontId="14" fillId="0" borderId="0" xfId="0" applyNumberFormat="1" applyFont="1">
      <alignment vertical="top"/>
    </xf>
    <xf numFmtId="176" fontId="1" fillId="0" borderId="0" xfId="32" applyNumberFormat="1">
      <alignment vertical="top"/>
    </xf>
    <xf numFmtId="176" fontId="0" fillId="0" borderId="0" xfId="0" applyNumberFormat="1">
      <alignment vertical="top"/>
    </xf>
    <xf numFmtId="167" fontId="35" fillId="7" borderId="0" xfId="4" applyFont="1" applyFill="1">
      <alignment vertical="top"/>
    </xf>
    <xf numFmtId="43" fontId="1" fillId="0" borderId="0" xfId="36" applyFont="1" applyAlignment="1">
      <alignment vertical="top"/>
    </xf>
    <xf numFmtId="165" fontId="1" fillId="0" borderId="0" xfId="18" applyFont="1" applyAlignment="1">
      <alignment vertical="top" wrapText="1"/>
    </xf>
    <xf numFmtId="165" fontId="1" fillId="0" borderId="0" xfId="18" quotePrefix="1" applyFont="1" applyAlignment="1">
      <alignment vertical="top" wrapText="1"/>
    </xf>
    <xf numFmtId="167" fontId="1" fillId="7" borderId="0" xfId="4" applyFill="1">
      <alignment vertical="top"/>
    </xf>
    <xf numFmtId="165" fontId="3" fillId="0" borderId="0" xfId="13" applyNumberFormat="1" applyAlignment="1">
      <alignment vertical="top"/>
    </xf>
  </cellXfs>
  <cellStyles count="37">
    <cellStyle name="Calcs" xfId="1" xr:uid="{00000000-0005-0000-0000-000000000000}"/>
    <cellStyle name="Calcs%" xfId="2" xr:uid="{00000000-0005-0000-0000-000001000000}"/>
    <cellStyle name="CalcsCurrency" xfId="3" xr:uid="{00000000-0005-0000-0000-000002000000}"/>
    <cellStyle name="CalcsDate" xfId="4" xr:uid="{00000000-0005-0000-0000-000003000000}"/>
    <cellStyle name="Comma" xfId="36" builtinId="3"/>
    <cellStyle name="Comma 2" xfId="5" xr:uid="{00000000-0005-0000-0000-000004000000}"/>
    <cellStyle name="DateLong" xfId="6" xr:uid="{00000000-0005-0000-0000-000005000000}"/>
    <cellStyle name="DateLong 2" xfId="7" xr:uid="{00000000-0005-0000-0000-000006000000}"/>
    <cellStyle name="DateShort" xfId="8" xr:uid="{00000000-0005-0000-0000-000007000000}"/>
    <cellStyle name="DateShort 2" xfId="9" xr:uid="{00000000-0005-0000-0000-000008000000}"/>
    <cellStyle name="Factor" xfId="10" xr:uid="{00000000-0005-0000-0000-000009000000}"/>
    <cellStyle name="Factor 2" xfId="11" xr:uid="{00000000-0005-0000-0000-00000A000000}"/>
    <cellStyle name="Factor 3" xfId="12" xr:uid="{00000000-0005-0000-0000-00000B000000}"/>
    <cellStyle name="Hyperlink" xfId="13" builtinId="8"/>
    <cellStyle name="Input%" xfId="14" xr:uid="{00000000-0005-0000-0000-00000D000000}"/>
    <cellStyle name="InputCurrency" xfId="15" xr:uid="{00000000-0005-0000-0000-00000E000000}"/>
    <cellStyle name="InputDate" xfId="16" xr:uid="{00000000-0005-0000-0000-00000F000000}"/>
    <cellStyle name="InputStyle" xfId="17" xr:uid="{00000000-0005-0000-0000-000010000000}"/>
    <cellStyle name="Normal" xfId="0" builtinId="0" customBuiltin="1"/>
    <cellStyle name="Normal 2" xfId="18" xr:uid="{00000000-0005-0000-0000-000012000000}"/>
    <cellStyle name="Normal 3" xfId="19" xr:uid="{00000000-0005-0000-0000-000013000000}"/>
    <cellStyle name="Normal 4" xfId="20" xr:uid="{00000000-0005-0000-0000-000014000000}"/>
    <cellStyle name="Normal 5" xfId="21" xr:uid="{00000000-0005-0000-0000-000015000000}"/>
    <cellStyle name="Normal 6" xfId="22" xr:uid="{00000000-0005-0000-0000-000016000000}"/>
    <cellStyle name="Percent" xfId="23" builtinId="5" customBuiltin="1"/>
    <cellStyle name="Percent 2" xfId="24" xr:uid="{00000000-0005-0000-0000-000018000000}"/>
    <cellStyle name="Percent 3" xfId="25" xr:uid="{00000000-0005-0000-0000-000019000000}"/>
    <cellStyle name="Percent 4" xfId="26" xr:uid="{00000000-0005-0000-0000-00001A000000}"/>
    <cellStyle name="Report Indent" xfId="27" xr:uid="{00000000-0005-0000-0000-00001B000000}"/>
    <cellStyle name="ReportSubTotal" xfId="28" xr:uid="{00000000-0005-0000-0000-00001C000000}"/>
    <cellStyle name="ReportTotal" xfId="29" xr:uid="{00000000-0005-0000-0000-00001D000000}"/>
    <cellStyle name="Result" xfId="30" xr:uid="{00000000-0005-0000-0000-00001E000000}"/>
    <cellStyle name="Result%" xfId="31" xr:uid="{00000000-0005-0000-0000-00001F000000}"/>
    <cellStyle name="ResultCurrency" xfId="32" xr:uid="{00000000-0005-0000-0000-000020000000}"/>
    <cellStyle name="ResultDate" xfId="33" xr:uid="{00000000-0005-0000-0000-000021000000}"/>
    <cellStyle name="Year" xfId="34" xr:uid="{00000000-0005-0000-0000-000022000000}"/>
    <cellStyle name="Year 2" xfId="35" xr:uid="{00000000-0005-0000-0000-000023000000}"/>
  </cellStyles>
  <dxfs count="5">
    <dxf>
      <fill>
        <patternFill>
          <bgColor indexed="44"/>
        </patternFill>
      </fill>
    </dxf>
    <dxf>
      <fill>
        <patternFill>
          <bgColor indexed="47"/>
        </patternFill>
      </fill>
    </dxf>
    <dxf>
      <fill>
        <patternFill>
          <bgColor theme="7" tint="0.39994506668294322"/>
        </patternFill>
      </fill>
    </dxf>
    <dxf>
      <fill>
        <patternFill>
          <bgColor theme="9" tint="-0.24991607409894101"/>
        </patternFill>
      </fill>
    </dxf>
    <dxf>
      <fill>
        <patternFill>
          <bgColor them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609600</xdr:colOff>
      <xdr:row>17</xdr:row>
      <xdr:rowOff>47625</xdr:rowOff>
    </xdr:from>
    <xdr:to>
      <xdr:col>8</xdr:col>
      <xdr:colOff>502475</xdr:colOff>
      <xdr:row>37</xdr:row>
      <xdr:rowOff>13254</xdr:rowOff>
    </xdr:to>
    <xdr:sp macro="" textlink="">
      <xdr:nvSpPr>
        <xdr:cNvPr id="2" name="TextBox 2">
          <a:extLst>
            <a:ext uri="{FF2B5EF4-FFF2-40B4-BE49-F238E27FC236}">
              <a16:creationId xmlns:a16="http://schemas.microsoft.com/office/drawing/2014/main" id="{00000000-0008-0000-0000-000002000000}"/>
            </a:ext>
          </a:extLst>
        </xdr:cNvPr>
        <xdr:cNvSpPr txBox="1"/>
      </xdr:nvSpPr>
      <xdr:spPr>
        <a:xfrm>
          <a:off x="609600" y="2753995"/>
          <a:ext cx="9350084" cy="3267629"/>
        </a:xfrm>
        <a:prstGeom prst="rect">
          <a:avLst/>
        </a:prstGeom>
        <a:noFill/>
        <a:ln>
          <a:noFill/>
        </a:ln>
      </xdr:spPr>
      <xdr:txBody>
        <a:bodyPr lIns="27432" tIns="22860" rIns="0" bIns="0" rtlCol="0"/>
        <a:lstStyle/>
        <a:p>
          <a:pPr algn="l"/>
          <a:r>
            <a:rPr lang="en-US" sz="1000" b="1">
              <a:solidFill>
                <a:srgbClr val="000000"/>
              </a:solidFill>
              <a:latin typeface="Circular Pro Book"/>
            </a:rPr>
            <a:t>Disclaimer</a:t>
          </a:r>
        </a:p>
        <a:p>
          <a:pPr algn="l"/>
          <a:endParaRPr lang="en-US" sz="900">
            <a:solidFill>
              <a:srgbClr val="000000"/>
            </a:solidFill>
            <a:latin typeface="Circular Pro Book"/>
          </a:endParaRPr>
        </a:p>
        <a:p>
          <a:pPr algn="l"/>
          <a:r>
            <a:rPr lang="en-US" sz="900">
              <a:solidFill>
                <a:srgbClr val="000000"/>
              </a:solidFill>
              <a:latin typeface="Circular Pro Book"/>
            </a:rPr>
            <a:t>This Financial Model (‘the Model’) has been constructed for a specific purpose and is not intended for distribution to third parties. Third parties who obtain copies of the Model should be aware of the following:</a:t>
          </a:r>
        </a:p>
        <a:p>
          <a:pPr algn="l"/>
          <a:endParaRPr lang="en-US" sz="900">
            <a:solidFill>
              <a:srgbClr val="000000"/>
            </a:solidFill>
            <a:latin typeface="Circular Pro Book"/>
          </a:endParaRPr>
        </a:p>
        <a:p>
          <a:pPr algn="l"/>
          <a:r>
            <a:rPr lang="en-US" sz="900">
              <a:solidFill>
                <a:srgbClr val="000000"/>
              </a:solidFill>
              <a:latin typeface="Circular Pro Book"/>
            </a:rPr>
            <a:t>-  the Model may not be suitable for purposes, other than the specific purpose for which it was designed, and the interests of third parties may not have been anticipated;</a:t>
          </a:r>
        </a:p>
        <a:p>
          <a:pPr algn="l"/>
          <a:endParaRPr lang="en-US" sz="900">
            <a:solidFill>
              <a:srgbClr val="000000"/>
            </a:solidFill>
            <a:latin typeface="Circular Pro Book"/>
          </a:endParaRPr>
        </a:p>
        <a:p>
          <a:pPr algn="l"/>
          <a:r>
            <a:rPr lang="en-US" sz="900">
              <a:solidFill>
                <a:srgbClr val="000000"/>
              </a:solidFill>
              <a:latin typeface="Circular Pro Book"/>
            </a:rPr>
            <a:t>-  the Model was not intended for use by third parties and may not be designed so that it can be readily operated in a correct manner by such parties;</a:t>
          </a:r>
        </a:p>
        <a:p>
          <a:pPr algn="l"/>
          <a:endParaRPr lang="en-US" sz="900">
            <a:solidFill>
              <a:srgbClr val="000000"/>
            </a:solidFill>
            <a:latin typeface="Circular Pro Book"/>
          </a:endParaRPr>
        </a:p>
        <a:p>
          <a:pPr algn="l"/>
          <a:r>
            <a:rPr lang="en-US" sz="900">
              <a:solidFill>
                <a:srgbClr val="000000"/>
              </a:solidFill>
              <a:latin typeface="Circular Pro Book"/>
            </a:rPr>
            <a:t>-  the Model may be development version and may not be complete or, in the event that development of the Model has concluded, material events may have occurred since completion, which are not reflected in the Model;</a:t>
          </a:r>
        </a:p>
        <a:p>
          <a:pPr algn="l"/>
          <a:endParaRPr lang="en-US" sz="900">
            <a:solidFill>
              <a:srgbClr val="000000"/>
            </a:solidFill>
            <a:latin typeface="Circular Pro Book"/>
          </a:endParaRPr>
        </a:p>
        <a:p>
          <a:pPr algn="l"/>
          <a:r>
            <a:rPr lang="en-US" sz="900">
              <a:solidFill>
                <a:srgbClr val="000000"/>
              </a:solidFill>
              <a:latin typeface="Circular Pro Book"/>
            </a:rPr>
            <a:t>-  the Model may not have been subject to independent testing and where it has been tested, this may not provide an appropriate degree of assurance for all possible uses of the Model.</a:t>
          </a:r>
        </a:p>
        <a:p>
          <a:pPr algn="l"/>
          <a:endParaRPr lang="en-US" sz="900">
            <a:solidFill>
              <a:srgbClr val="000000"/>
            </a:solidFill>
            <a:latin typeface="Circular Pro Book"/>
          </a:endParaRPr>
        </a:p>
        <a:p>
          <a:pPr algn="l"/>
          <a:r>
            <a:rPr lang="en-US" sz="900">
              <a:solidFill>
                <a:srgbClr val="000000"/>
              </a:solidFill>
              <a:latin typeface="Circular Pro Book"/>
            </a:rPr>
            <a:t>Accordingly, third party recipients of this Model use it entirely at their own risk and, in the absence of express written consent, no responsibility is taken or accepted for any losses which may result therefrom, including direct or indirect consequences of computer viruses.</a:t>
          </a:r>
        </a:p>
        <a:p>
          <a:pPr algn="l"/>
          <a:endParaRPr lang="en-US" sz="900" i="1">
            <a:solidFill>
              <a:srgbClr val="000000"/>
            </a:solidFill>
            <a:latin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assan.moazzam@caa.co.uk" TargetMode="External"/><Relationship Id="rId2" Type="http://schemas.openxmlformats.org/officeDocument/2006/relationships/hyperlink" Target="mailto:omo.ugowe@caa.co.uk" TargetMode="External"/><Relationship Id="rId1" Type="http://schemas.openxmlformats.org/officeDocument/2006/relationships/hyperlink" Target="mailto:dan.rock@caa.co.uk"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the-green-book-appraisal-and-evaluation-in-central-government/the-green-book-2020" TargetMode="External"/><Relationship Id="rId1" Type="http://schemas.openxmlformats.org/officeDocument/2006/relationships/hyperlink" Target="https://ansperformance.eu/economics/cba/standard-inputs/chapters/average_number_of_passenger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J43"/>
  <sheetViews>
    <sheetView showGridLines="0" tabSelected="1" workbookViewId="0"/>
  </sheetViews>
  <sheetFormatPr defaultColWidth="0" defaultRowHeight="12.75" customHeight="1" zeroHeight="1"/>
  <cols>
    <col min="1" max="1" width="11.6640625" style="100" customWidth="1"/>
    <col min="2" max="2" width="83.6640625" style="100" bestFit="1" customWidth="1"/>
    <col min="3" max="10" width="11.6640625" style="100" customWidth="1"/>
    <col min="11" max="14" width="11.6640625" style="100" hidden="1" customWidth="1"/>
    <col min="15" max="16384" width="11.6640625" style="100" hidden="1"/>
  </cols>
  <sheetData>
    <row r="1" spans="2:2" ht="12.5"/>
    <row r="2" spans="2:2" ht="12.5"/>
    <row r="3" spans="2:2" ht="12.5"/>
    <row r="4" spans="2:2" ht="12.5"/>
    <row r="5" spans="2:2" ht="23">
      <c r="B5" s="98"/>
    </row>
    <row r="6" spans="2:2" ht="12.5"/>
    <row r="7" spans="2:2" ht="12.5"/>
    <row r="8" spans="2:2" ht="12.5"/>
    <row r="9" spans="2:2" s="112" customFormat="1" ht="23">
      <c r="B9" s="98" t="s">
        <v>0</v>
      </c>
    </row>
    <row r="10" spans="2:2" ht="12.5"/>
    <row r="11" spans="2:2" ht="12.5">
      <c r="B11" s="122" t="s">
        <v>1</v>
      </c>
    </row>
    <row r="12" spans="2:2" ht="12.5">
      <c r="B12" s="122" t="s">
        <v>2</v>
      </c>
    </row>
    <row r="13" spans="2:2" ht="12.5">
      <c r="B13" s="124" t="s">
        <v>3</v>
      </c>
    </row>
    <row r="14" spans="2:2" ht="12.5">
      <c r="B14" s="124" t="s">
        <v>4</v>
      </c>
    </row>
    <row r="15" spans="2:2" ht="12.5">
      <c r="B15" s="124" t="s">
        <v>5</v>
      </c>
    </row>
    <row r="16" spans="2:2" ht="12.5"/>
    <row r="17" ht="12.5"/>
    <row r="18" ht="12.5"/>
    <row r="19" ht="12.5"/>
    <row r="20" ht="12.5"/>
    <row r="21" ht="12.5"/>
    <row r="22" ht="12.5"/>
    <row r="23" ht="12.5"/>
    <row r="24" ht="12.5"/>
    <row r="25" ht="12.5"/>
    <row r="26" ht="12.5"/>
    <row r="27" ht="12.5"/>
    <row r="28" ht="12.5"/>
    <row r="29" ht="12.5"/>
    <row r="30" ht="12.5"/>
    <row r="31" ht="12.5"/>
    <row r="32" ht="12.5"/>
    <row r="33" ht="12.5"/>
    <row r="34" ht="12.5"/>
    <row r="35" ht="12.5"/>
    <row r="36" ht="12.5"/>
    <row r="37" ht="12.5"/>
    <row r="38" ht="12.5"/>
    <row r="39" ht="12.5"/>
    <row r="40" ht="12.5"/>
    <row r="41" ht="12.5"/>
    <row r="42" ht="12.5"/>
    <row r="43" ht="12.5"/>
  </sheetData>
  <hyperlinks>
    <hyperlink ref="B13" r:id="rId1" xr:uid="{E93C2E2D-BD8D-4BF4-A200-BE9634C3B850}"/>
    <hyperlink ref="B14" r:id="rId2" xr:uid="{1BFB5A7F-1724-4583-9516-404055327529}"/>
    <hyperlink ref="B15" r:id="rId3" xr:uid="{9769EDD3-E49C-489B-8D3A-A634798E1668}"/>
  </hyperlinks>
  <pageMargins left="0.7" right="0.7" top="0.75" bottom="0.75" header="0.3" footer="0.3"/>
  <headerFooter>
    <oddHeader>&amp;C&amp;"Calibri"&amp;8&amp;K000000 OFFICIAL - Public. This information has been cleared for unrestricted distribution. &amp;1#_x000D_</oddHeader>
    <oddFooter>&amp;C_x000D_&amp;1#&amp;"Calibri"&amp;8&amp;K000000 OFFICIAL - Public</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162"/>
  <sheetViews>
    <sheetView workbookViewId="0">
      <pane xSplit="1" ySplit="1" topLeftCell="B2" activePane="bottomRight" state="frozen"/>
      <selection pane="topRight" activeCell="B1" sqref="B1"/>
      <selection pane="bottomLeft" activeCell="A2" sqref="A2"/>
      <selection pane="bottomRight"/>
    </sheetView>
  </sheetViews>
  <sheetFormatPr defaultColWidth="0" defaultRowHeight="10"/>
  <cols>
    <col min="1" max="1" width="76.33203125" bestFit="1" customWidth="1"/>
    <col min="2" max="2" width="16.6640625" bestFit="1" customWidth="1"/>
    <col min="3" max="3" width="82.6640625" bestFit="1" customWidth="1"/>
    <col min="4" max="4" width="8" bestFit="1" customWidth="1"/>
    <col min="5" max="5" width="17.6640625" bestFit="1" customWidth="1"/>
    <col min="6" max="12" width="8.6640625" customWidth="1"/>
    <col min="13" max="13" width="8.6640625" hidden="1" customWidth="1"/>
    <col min="14" max="16384" width="8.6640625" hidden="1"/>
  </cols>
  <sheetData>
    <row r="1" spans="1:5">
      <c r="A1" t="s">
        <v>233</v>
      </c>
      <c r="B1" t="s">
        <v>234</v>
      </c>
      <c r="C1" t="s">
        <v>235</v>
      </c>
      <c r="D1" t="s">
        <v>236</v>
      </c>
      <c r="E1" t="s">
        <v>237</v>
      </c>
    </row>
    <row r="2" spans="1:5">
      <c r="A2" t="s">
        <v>22</v>
      </c>
      <c r="C2" t="s">
        <v>238</v>
      </c>
      <c r="D2">
        <f xml:space="preserve"> Inputs!F11</f>
        <v>46022</v>
      </c>
      <c r="E2" t="s">
        <v>23</v>
      </c>
    </row>
    <row r="3" spans="1:5">
      <c r="A3" t="s">
        <v>24</v>
      </c>
      <c r="C3" t="s">
        <v>239</v>
      </c>
      <c r="D3">
        <f xml:space="preserve"> Inputs!F12</f>
        <v>46387</v>
      </c>
      <c r="E3" t="s">
        <v>23</v>
      </c>
    </row>
    <row r="4" spans="1:5">
      <c r="A4" t="s">
        <v>25</v>
      </c>
      <c r="C4" t="s">
        <v>240</v>
      </c>
      <c r="D4">
        <f xml:space="preserve"> Inputs!F13</f>
        <v>47483</v>
      </c>
      <c r="E4" t="s">
        <v>23</v>
      </c>
    </row>
    <row r="5" spans="1:5">
      <c r="A5" t="s">
        <v>26</v>
      </c>
      <c r="C5" t="s">
        <v>241</v>
      </c>
      <c r="D5">
        <f xml:space="preserve"> Inputs!F14</f>
        <v>46722</v>
      </c>
      <c r="E5" t="s">
        <v>23</v>
      </c>
    </row>
    <row r="6" spans="1:5">
      <c r="A6" t="s">
        <v>27</v>
      </c>
      <c r="C6" t="s">
        <v>242</v>
      </c>
      <c r="D6">
        <f xml:space="preserve"> Inputs!F15</f>
        <v>46752</v>
      </c>
      <c r="E6" t="s">
        <v>23</v>
      </c>
    </row>
    <row r="7" spans="1:5">
      <c r="A7" t="s">
        <v>28</v>
      </c>
      <c r="C7" t="s">
        <v>243</v>
      </c>
      <c r="D7">
        <f xml:space="preserve"> Inputs!F16</f>
        <v>49674</v>
      </c>
      <c r="E7" t="s">
        <v>23</v>
      </c>
    </row>
    <row r="8" spans="1:5">
      <c r="A8" t="s">
        <v>30</v>
      </c>
      <c r="C8" t="s">
        <v>244</v>
      </c>
      <c r="D8">
        <f xml:space="preserve"> Inputs!F19</f>
        <v>45658</v>
      </c>
      <c r="E8" t="s">
        <v>23</v>
      </c>
    </row>
    <row r="9" spans="1:5">
      <c r="A9" t="s">
        <v>245</v>
      </c>
      <c r="C9" t="s">
        <v>246</v>
      </c>
      <c r="D9">
        <f xml:space="preserve"> Inputs!F20</f>
        <v>12</v>
      </c>
      <c r="E9" t="s">
        <v>32</v>
      </c>
    </row>
    <row r="10" spans="1:5">
      <c r="A10" t="s">
        <v>33</v>
      </c>
      <c r="C10" t="s">
        <v>247</v>
      </c>
      <c r="D10">
        <f xml:space="preserve"> Inputs!F21</f>
        <v>12</v>
      </c>
    </row>
    <row r="11" spans="1:5">
      <c r="A11" t="s">
        <v>38</v>
      </c>
      <c r="C11" t="s">
        <v>248</v>
      </c>
      <c r="D11">
        <f xml:space="preserve"> Inputs!F25</f>
        <v>0.03</v>
      </c>
      <c r="E11" t="s">
        <v>36</v>
      </c>
    </row>
    <row r="12" spans="1:5">
      <c r="A12" t="s">
        <v>39</v>
      </c>
      <c r="C12" t="s">
        <v>249</v>
      </c>
      <c r="D12">
        <f xml:space="preserve"> Inputs!F26</f>
        <v>46022</v>
      </c>
      <c r="E12" t="s">
        <v>23</v>
      </c>
    </row>
    <row r="13" spans="1:5">
      <c r="A13" t="s">
        <v>41</v>
      </c>
      <c r="C13" t="s">
        <v>250</v>
      </c>
      <c r="D13">
        <f xml:space="preserve"> Inputs!F27</f>
        <v>2</v>
      </c>
      <c r="E13" t="s">
        <v>42</v>
      </c>
    </row>
    <row r="14" spans="1:5">
      <c r="A14" t="s">
        <v>43</v>
      </c>
      <c r="C14" t="s">
        <v>251</v>
      </c>
      <c r="D14">
        <f xml:space="preserve"> Inputs!F28</f>
        <v>0.25</v>
      </c>
    </row>
    <row r="15" spans="1:5">
      <c r="A15" t="s">
        <v>45</v>
      </c>
      <c r="C15" t="s">
        <v>252</v>
      </c>
      <c r="D15">
        <f xml:space="preserve"> Inputs!F29</f>
        <v>10</v>
      </c>
      <c r="E15" t="s">
        <v>46</v>
      </c>
    </row>
    <row r="16" spans="1:5">
      <c r="A16" t="s">
        <v>48</v>
      </c>
      <c r="C16" t="s">
        <v>253</v>
      </c>
      <c r="D16">
        <f xml:space="preserve"> Inputs!F30</f>
        <v>1</v>
      </c>
      <c r="E16" t="s">
        <v>36</v>
      </c>
    </row>
    <row r="17" spans="1:5">
      <c r="A17" t="s">
        <v>49</v>
      </c>
      <c r="C17" t="s">
        <v>254</v>
      </c>
      <c r="D17">
        <f xml:space="preserve"> Inputs!F31</f>
        <v>1.02</v>
      </c>
      <c r="E17" t="s">
        <v>42</v>
      </c>
    </row>
    <row r="18" spans="1:5">
      <c r="A18" t="s">
        <v>50</v>
      </c>
      <c r="C18" t="s">
        <v>255</v>
      </c>
      <c r="D18">
        <f xml:space="preserve"> Inputs!F32</f>
        <v>133.85316666666699</v>
      </c>
      <c r="E18" t="s">
        <v>51</v>
      </c>
    </row>
    <row r="19" spans="1:5">
      <c r="A19" t="s">
        <v>53</v>
      </c>
      <c r="C19" t="s">
        <v>256</v>
      </c>
      <c r="D19">
        <f xml:space="preserve"> Inputs!F33</f>
        <v>0.01</v>
      </c>
      <c r="E19" t="s">
        <v>36</v>
      </c>
    </row>
    <row r="20" spans="1:5">
      <c r="A20" t="s">
        <v>54</v>
      </c>
      <c r="C20" t="s">
        <v>257</v>
      </c>
      <c r="D20">
        <f xml:space="preserve"> Inputs!F34</f>
        <v>0</v>
      </c>
      <c r="E20" t="s">
        <v>36</v>
      </c>
    </row>
    <row r="21" spans="1:5">
      <c r="A21" t="s">
        <v>55</v>
      </c>
      <c r="C21" t="s">
        <v>258</v>
      </c>
      <c r="D21">
        <f xml:space="preserve"> Inputs!F35</f>
        <v>130</v>
      </c>
    </row>
    <row r="22" spans="1:5">
      <c r="A22" t="s">
        <v>57</v>
      </c>
      <c r="C22" t="s">
        <v>259</v>
      </c>
      <c r="D22">
        <f xml:space="preserve"> Inputs!F36</f>
        <v>75.2</v>
      </c>
      <c r="E22" t="s">
        <v>58</v>
      </c>
    </row>
    <row r="23" spans="1:5">
      <c r="A23" t="s">
        <v>260</v>
      </c>
      <c r="B23" t="s">
        <v>261</v>
      </c>
      <c r="C23" t="s">
        <v>262</v>
      </c>
      <c r="D23">
        <f xml:space="preserve"> Inputs!N39</f>
        <v>2650.5001220490235</v>
      </c>
      <c r="E23" t="s">
        <v>62</v>
      </c>
    </row>
    <row r="24" spans="1:5">
      <c r="A24" t="s">
        <v>260</v>
      </c>
      <c r="B24" t="s">
        <v>263</v>
      </c>
      <c r="C24" t="s">
        <v>264</v>
      </c>
      <c r="D24">
        <f xml:space="preserve"> Inputs!N40</f>
        <v>2120.400097639219</v>
      </c>
      <c r="E24" t="s">
        <v>62</v>
      </c>
    </row>
    <row r="25" spans="1:5">
      <c r="A25" t="s">
        <v>260</v>
      </c>
      <c r="B25" t="s">
        <v>70</v>
      </c>
      <c r="C25" t="s">
        <v>265</v>
      </c>
      <c r="D25">
        <f xml:space="preserve"> Inputs!N41</f>
        <v>2438.4601122851013</v>
      </c>
      <c r="E25" t="s">
        <v>62</v>
      </c>
    </row>
    <row r="26" spans="1:5">
      <c r="A26" t="s">
        <v>266</v>
      </c>
      <c r="B26" t="s">
        <v>261</v>
      </c>
      <c r="C26" t="s">
        <v>267</v>
      </c>
      <c r="D26">
        <f xml:space="preserve"> Inputs!N43</f>
        <v>9593.375</v>
      </c>
      <c r="E26" t="s">
        <v>62</v>
      </c>
    </row>
    <row r="27" spans="1:5">
      <c r="A27" t="s">
        <v>266</v>
      </c>
      <c r="B27" t="s">
        <v>263</v>
      </c>
      <c r="C27" t="s">
        <v>268</v>
      </c>
      <c r="D27">
        <f xml:space="preserve"> Inputs!N44</f>
        <v>6167.4</v>
      </c>
      <c r="E27" t="s">
        <v>62</v>
      </c>
    </row>
    <row r="28" spans="1:5">
      <c r="A28" t="s">
        <v>266</v>
      </c>
      <c r="B28" t="s">
        <v>70</v>
      </c>
      <c r="C28" t="s">
        <v>269</v>
      </c>
      <c r="D28">
        <f xml:space="preserve"> Inputs!N45</f>
        <v>7484.3149999999987</v>
      </c>
      <c r="E28" t="s">
        <v>62</v>
      </c>
    </row>
    <row r="29" spans="1:5">
      <c r="A29" t="s">
        <v>69</v>
      </c>
      <c r="C29" t="s">
        <v>270</v>
      </c>
      <c r="D29" t="str">
        <f xml:space="preserve"> Inputs!F47</f>
        <v>Mid</v>
      </c>
    </row>
    <row r="30" spans="1:5">
      <c r="A30" t="s">
        <v>71</v>
      </c>
      <c r="C30" t="s">
        <v>271</v>
      </c>
      <c r="D30" t="str">
        <f xml:space="preserve"> Inputs!F48</f>
        <v>Mid</v>
      </c>
    </row>
    <row r="31" spans="1:5">
      <c r="A31" t="s">
        <v>73</v>
      </c>
      <c r="C31" t="s">
        <v>272</v>
      </c>
      <c r="D31">
        <f xml:space="preserve"> Inputs!N51</f>
        <v>138.153850729889</v>
      </c>
      <c r="E31" t="s">
        <v>51</v>
      </c>
    </row>
    <row r="32" spans="1:5">
      <c r="A32" t="s">
        <v>74</v>
      </c>
      <c r="C32" t="s">
        <v>74</v>
      </c>
      <c r="D32">
        <f xml:space="preserve"> Inputs!N52</f>
        <v>2510</v>
      </c>
      <c r="E32" s="95" t="s">
        <v>75</v>
      </c>
    </row>
    <row r="33" spans="1:5">
      <c r="A33" t="s">
        <v>77</v>
      </c>
      <c r="C33" t="s">
        <v>273</v>
      </c>
      <c r="D33">
        <f xml:space="preserve"> Inputs!N53</f>
        <v>12392</v>
      </c>
      <c r="E33" s="95" t="s">
        <v>75</v>
      </c>
    </row>
    <row r="34" spans="1:5">
      <c r="A34" t="s">
        <v>274</v>
      </c>
      <c r="B34">
        <v>1</v>
      </c>
      <c r="C34" t="s">
        <v>275</v>
      </c>
      <c r="D34">
        <f xml:space="preserve"> Inputs!F56</f>
        <v>1</v>
      </c>
    </row>
    <row r="35" spans="1:5">
      <c r="A35" t="s">
        <v>274</v>
      </c>
      <c r="B35">
        <v>2</v>
      </c>
      <c r="C35" t="s">
        <v>276</v>
      </c>
      <c r="D35">
        <f xml:space="preserve"> Inputs!F57</f>
        <v>2</v>
      </c>
    </row>
    <row r="36" spans="1:5">
      <c r="A36" t="s">
        <v>274</v>
      </c>
      <c r="B36">
        <v>3</v>
      </c>
      <c r="C36" t="s">
        <v>277</v>
      </c>
      <c r="D36">
        <f xml:space="preserve"> Inputs!F58</f>
        <v>3</v>
      </c>
    </row>
    <row r="37" spans="1:5">
      <c r="A37" t="s">
        <v>274</v>
      </c>
      <c r="B37">
        <v>4</v>
      </c>
      <c r="C37" t="s">
        <v>278</v>
      </c>
      <c r="D37">
        <f xml:space="preserve"> Inputs!F59</f>
        <v>4</v>
      </c>
    </row>
    <row r="38" spans="1:5">
      <c r="A38" t="s">
        <v>274</v>
      </c>
      <c r="B38">
        <v>5</v>
      </c>
      <c r="C38" t="s">
        <v>279</v>
      </c>
      <c r="D38">
        <f xml:space="preserve"> Inputs!F60</f>
        <v>5</v>
      </c>
    </row>
    <row r="39" spans="1:5">
      <c r="A39" t="s">
        <v>274</v>
      </c>
      <c r="B39">
        <v>6</v>
      </c>
      <c r="C39" t="s">
        <v>280</v>
      </c>
      <c r="D39">
        <f xml:space="preserve"> Inputs!F61</f>
        <v>6</v>
      </c>
    </row>
    <row r="40" spans="1:5">
      <c r="A40" t="s">
        <v>274</v>
      </c>
      <c r="B40">
        <v>7</v>
      </c>
      <c r="C40" t="s">
        <v>281</v>
      </c>
      <c r="D40">
        <f xml:space="preserve"> Inputs!F62</f>
        <v>7</v>
      </c>
    </row>
    <row r="41" spans="1:5">
      <c r="A41" t="s">
        <v>274</v>
      </c>
      <c r="B41">
        <v>8</v>
      </c>
      <c r="C41" t="s">
        <v>282</v>
      </c>
      <c r="D41">
        <f xml:space="preserve"> Inputs!F63</f>
        <v>8</v>
      </c>
    </row>
    <row r="42" spans="1:5">
      <c r="A42" t="s">
        <v>274</v>
      </c>
      <c r="B42">
        <v>9</v>
      </c>
      <c r="C42" t="s">
        <v>283</v>
      </c>
      <c r="D42">
        <f xml:space="preserve"> Inputs!F64</f>
        <v>9</v>
      </c>
    </row>
    <row r="43" spans="1:5">
      <c r="A43" t="s">
        <v>274</v>
      </c>
      <c r="B43">
        <v>10</v>
      </c>
      <c r="C43" t="s">
        <v>284</v>
      </c>
      <c r="D43">
        <f xml:space="preserve"> Inputs!F65</f>
        <v>10</v>
      </c>
    </row>
    <row r="44" spans="1:5">
      <c r="A44" t="s">
        <v>274</v>
      </c>
      <c r="B44">
        <v>11</v>
      </c>
      <c r="C44" t="s">
        <v>285</v>
      </c>
      <c r="D44">
        <f xml:space="preserve"> Inputs!F66</f>
        <v>11</v>
      </c>
    </row>
    <row r="45" spans="1:5">
      <c r="A45" t="s">
        <v>90</v>
      </c>
      <c r="C45" t="s">
        <v>286</v>
      </c>
      <c r="D45">
        <f xml:space="preserve"> Inputs!F68</f>
        <v>1</v>
      </c>
      <c r="E45" t="s">
        <v>36</v>
      </c>
    </row>
    <row r="46" spans="1:5">
      <c r="A46" t="s">
        <v>92</v>
      </c>
      <c r="C46" t="s">
        <v>287</v>
      </c>
      <c r="D46">
        <f xml:space="preserve"> Inputs!F69</f>
        <v>1</v>
      </c>
      <c r="E46" t="s">
        <v>36</v>
      </c>
    </row>
    <row r="47" spans="1:5">
      <c r="A47" t="s">
        <v>93</v>
      </c>
      <c r="C47" t="s">
        <v>288</v>
      </c>
      <c r="D47">
        <f xml:space="preserve"> Inputs!F70</f>
        <v>3.5000000000000003E-2</v>
      </c>
      <c r="E47" t="s">
        <v>36</v>
      </c>
    </row>
    <row r="48" spans="1:5">
      <c r="A48" t="s">
        <v>102</v>
      </c>
      <c r="C48" t="s">
        <v>289</v>
      </c>
      <c r="D48">
        <f xml:space="preserve"> Time!N14</f>
        <v>138.153850729889</v>
      </c>
    </row>
    <row r="49" spans="1:5">
      <c r="A49" t="s">
        <v>103</v>
      </c>
      <c r="C49" t="s">
        <v>290</v>
      </c>
      <c r="D49">
        <f xml:space="preserve"> Time!N21</f>
        <v>3.2129864166246858E-2</v>
      </c>
      <c r="E49" t="s">
        <v>36</v>
      </c>
    </row>
    <row r="50" spans="1:5">
      <c r="A50" t="s">
        <v>11</v>
      </c>
      <c r="C50" t="s">
        <v>291</v>
      </c>
      <c r="D50" t="str">
        <f xml:space="preserve"> Inputs!N76</f>
        <v>NR23</v>
      </c>
    </row>
    <row r="51" spans="1:5">
      <c r="A51" t="s">
        <v>10</v>
      </c>
      <c r="C51" t="s">
        <v>292</v>
      </c>
      <c r="D51">
        <f xml:space="preserve"> Time!N29</f>
        <v>46022</v>
      </c>
      <c r="E51" t="s">
        <v>23</v>
      </c>
    </row>
    <row r="52" spans="1:5">
      <c r="A52" t="s">
        <v>13</v>
      </c>
      <c r="C52" t="s">
        <v>293</v>
      </c>
      <c r="D52">
        <f xml:space="preserve"> Time!N33</f>
        <v>1</v>
      </c>
      <c r="E52" t="s">
        <v>104</v>
      </c>
    </row>
    <row r="53" spans="1:5">
      <c r="A53" t="s">
        <v>105</v>
      </c>
      <c r="C53" t="s">
        <v>294</v>
      </c>
      <c r="D53">
        <f xml:space="preserve"> Time!N40</f>
        <v>45658</v>
      </c>
      <c r="E53" t="s">
        <v>23</v>
      </c>
    </row>
    <row r="54" spans="1:5">
      <c r="A54" t="s">
        <v>107</v>
      </c>
      <c r="C54" t="s">
        <v>295</v>
      </c>
      <c r="D54">
        <f xml:space="preserve"> Time!N48</f>
        <v>0</v>
      </c>
      <c r="E54" t="s">
        <v>108</v>
      </c>
    </row>
    <row r="55" spans="1:5">
      <c r="A55" t="s">
        <v>110</v>
      </c>
      <c r="C55" t="s">
        <v>296</v>
      </c>
      <c r="D55">
        <f xml:space="preserve"> Time!N58</f>
        <v>1</v>
      </c>
      <c r="E55" t="s">
        <v>108</v>
      </c>
    </row>
    <row r="56" spans="1:5">
      <c r="A56" t="s">
        <v>112</v>
      </c>
      <c r="C56" t="s">
        <v>297</v>
      </c>
      <c r="D56">
        <f xml:space="preserve"> Time!N67</f>
        <v>1</v>
      </c>
      <c r="E56" t="s">
        <v>108</v>
      </c>
    </row>
    <row r="57" spans="1:5">
      <c r="A57" t="s">
        <v>114</v>
      </c>
      <c r="C57" t="s">
        <v>298</v>
      </c>
      <c r="D57">
        <f xml:space="preserve"> Time!N76</f>
        <v>0</v>
      </c>
      <c r="E57" t="s">
        <v>108</v>
      </c>
    </row>
    <row r="58" spans="1:5">
      <c r="A58" t="s">
        <v>116</v>
      </c>
      <c r="C58" t="s">
        <v>299</v>
      </c>
      <c r="D58">
        <f xml:space="preserve"> Time!N85</f>
        <v>0</v>
      </c>
      <c r="E58" t="s">
        <v>108</v>
      </c>
    </row>
    <row r="59" spans="1:5">
      <c r="A59" t="s">
        <v>118</v>
      </c>
      <c r="C59" t="s">
        <v>300</v>
      </c>
      <c r="D59">
        <f xml:space="preserve"> Time!N94</f>
        <v>0</v>
      </c>
      <c r="E59" t="s">
        <v>108</v>
      </c>
    </row>
    <row r="60" spans="1:5">
      <c r="A60" t="s">
        <v>119</v>
      </c>
      <c r="C60" t="s">
        <v>301</v>
      </c>
      <c r="D60">
        <f xml:space="preserve"> RAB!N14</f>
        <v>9922.7751122851005</v>
      </c>
      <c r="E60" t="s">
        <v>62</v>
      </c>
    </row>
    <row r="61" spans="1:5">
      <c r="A61" t="s">
        <v>120</v>
      </c>
      <c r="C61" t="s">
        <v>302</v>
      </c>
      <c r="D61">
        <f xml:space="preserve"> RAB!N21</f>
        <v>10241.592528795036</v>
      </c>
      <c r="E61" t="s">
        <v>121</v>
      </c>
    </row>
    <row r="62" spans="1:5">
      <c r="A62" t="s">
        <v>122</v>
      </c>
      <c r="C62" t="s">
        <v>122</v>
      </c>
      <c r="D62">
        <f xml:space="preserve"> RAB!N29</f>
        <v>9217.4332759155332</v>
      </c>
      <c r="E62" t="s">
        <v>121</v>
      </c>
    </row>
    <row r="63" spans="1:5">
      <c r="A63" t="s">
        <v>122</v>
      </c>
      <c r="C63" t="s">
        <v>303</v>
      </c>
      <c r="D63">
        <f xml:space="preserve"> RAB!N25</f>
        <v>0</v>
      </c>
      <c r="E63" t="s">
        <v>121</v>
      </c>
    </row>
    <row r="64" spans="1:5">
      <c r="A64" t="s">
        <v>126</v>
      </c>
      <c r="C64" t="s">
        <v>304</v>
      </c>
      <c r="D64">
        <f xml:space="preserve"> RAB!N34</f>
        <v>0</v>
      </c>
      <c r="E64" t="s">
        <v>121</v>
      </c>
    </row>
    <row r="65" spans="1:5">
      <c r="A65" t="s">
        <v>127</v>
      </c>
      <c r="C65" t="s">
        <v>305</v>
      </c>
      <c r="D65">
        <f xml:space="preserve"> RAB!N40</f>
        <v>4608.7166379577666</v>
      </c>
      <c r="E65" t="s">
        <v>121</v>
      </c>
    </row>
    <row r="66" spans="1:5">
      <c r="A66" t="s">
        <v>129</v>
      </c>
      <c r="C66" t="s">
        <v>306</v>
      </c>
      <c r="D66">
        <f xml:space="preserve"> RAB!N48</f>
        <v>138.261499138733</v>
      </c>
      <c r="E66" t="s">
        <v>121</v>
      </c>
    </row>
    <row r="67" spans="1:5">
      <c r="A67" t="s">
        <v>130</v>
      </c>
      <c r="C67" t="s">
        <v>307</v>
      </c>
      <c r="D67">
        <f xml:space="preserve"> RAB!N56</f>
        <v>133.9574640158489</v>
      </c>
      <c r="E67" t="s">
        <v>62</v>
      </c>
    </row>
    <row r="68" spans="1:5">
      <c r="A68" t="s">
        <v>131</v>
      </c>
      <c r="C68" t="s">
        <v>308</v>
      </c>
      <c r="D68">
        <f xml:space="preserve"> RAB!N62</f>
        <v>33.489366003962225</v>
      </c>
      <c r="E68" t="s">
        <v>62</v>
      </c>
    </row>
    <row r="69" spans="1:5">
      <c r="A69" t="s">
        <v>132</v>
      </c>
      <c r="C69" t="s">
        <v>309</v>
      </c>
      <c r="D69">
        <f xml:space="preserve"> RAB!N68</f>
        <v>44.652488005282969</v>
      </c>
      <c r="E69" t="s">
        <v>62</v>
      </c>
    </row>
    <row r="70" spans="1:5">
      <c r="A70" t="s">
        <v>133</v>
      </c>
      <c r="C70" t="s">
        <v>310</v>
      </c>
      <c r="D70">
        <f xml:space="preserve"> RAB!F74</f>
        <v>0.1</v>
      </c>
      <c r="E70" t="s">
        <v>36</v>
      </c>
    </row>
    <row r="71" spans="1:5">
      <c r="A71" t="s">
        <v>134</v>
      </c>
      <c r="C71" t="s">
        <v>311</v>
      </c>
      <c r="D71">
        <f xml:space="preserve"> RAB!F79</f>
        <v>0</v>
      </c>
      <c r="E71" t="s">
        <v>36</v>
      </c>
    </row>
    <row r="72" spans="1:5">
      <c r="A72" t="s">
        <v>135</v>
      </c>
      <c r="C72" t="s">
        <v>312</v>
      </c>
      <c r="D72">
        <f xml:space="preserve"> RAB!F84</f>
        <v>0</v>
      </c>
      <c r="E72" t="s">
        <v>36</v>
      </c>
    </row>
    <row r="73" spans="1:5">
      <c r="A73" t="s">
        <v>136</v>
      </c>
      <c r="C73" t="s">
        <v>313</v>
      </c>
      <c r="D73">
        <f xml:space="preserve"> RAB!N93</f>
        <v>0</v>
      </c>
      <c r="E73" t="s">
        <v>62</v>
      </c>
    </row>
    <row r="74" spans="1:5">
      <c r="A74" t="s">
        <v>137</v>
      </c>
      <c r="C74" t="s">
        <v>314</v>
      </c>
      <c r="D74">
        <f xml:space="preserve"> RAB!N102</f>
        <v>1185.4064677939375</v>
      </c>
      <c r="E74" t="s">
        <v>62</v>
      </c>
    </row>
    <row r="75" spans="1:5">
      <c r="A75" t="s">
        <v>138</v>
      </c>
      <c r="C75" t="s">
        <v>315</v>
      </c>
      <c r="D75">
        <f xml:space="preserve"> RAB!N108</f>
        <v>1185.4064677939375</v>
      </c>
      <c r="E75" t="s">
        <v>62</v>
      </c>
    </row>
    <row r="76" spans="1:5">
      <c r="A76" t="s">
        <v>139</v>
      </c>
      <c r="C76" t="s">
        <v>316</v>
      </c>
      <c r="D76">
        <f xml:space="preserve"> RAB!N114</f>
        <v>9.5659011280982698E-2</v>
      </c>
      <c r="E76" t="s">
        <v>140</v>
      </c>
    </row>
    <row r="77" spans="1:5">
      <c r="A77" t="s">
        <v>141</v>
      </c>
      <c r="C77" t="s">
        <v>317</v>
      </c>
      <c r="D77">
        <f xml:space="preserve"> RAB!N120</f>
        <v>0.472273493144995</v>
      </c>
      <c r="E77" t="s">
        <v>140</v>
      </c>
    </row>
    <row r="78" spans="1:5">
      <c r="A78" t="s">
        <v>142</v>
      </c>
      <c r="C78" t="s">
        <v>318</v>
      </c>
      <c r="D78">
        <f xml:space="preserve"> RAB!N127</f>
        <v>0.4874475763290626</v>
      </c>
      <c r="E78" t="s">
        <v>143</v>
      </c>
    </row>
    <row r="79" spans="1:5">
      <c r="A79" t="s">
        <v>144</v>
      </c>
      <c r="C79" t="s">
        <v>319</v>
      </c>
      <c r="D79">
        <f xml:space="preserve"> RAB!N134</f>
        <v>9.8732522319718144E-2</v>
      </c>
      <c r="E79" t="s">
        <v>143</v>
      </c>
    </row>
    <row r="80" spans="1:5">
      <c r="A80" t="s">
        <v>145</v>
      </c>
      <c r="B80">
        <v>1</v>
      </c>
      <c r="C80" t="s">
        <v>320</v>
      </c>
      <c r="D80">
        <f xml:space="preserve"> RAB!N152</f>
        <v>1024.1592528795036</v>
      </c>
      <c r="E80" t="s">
        <v>121</v>
      </c>
    </row>
    <row r="81" spans="1:5">
      <c r="A81" t="s">
        <v>145</v>
      </c>
      <c r="B81">
        <v>2</v>
      </c>
      <c r="C81" t="s">
        <v>321</v>
      </c>
      <c r="D81">
        <f xml:space="preserve"> RAB!N153</f>
        <v>0</v>
      </c>
      <c r="E81" t="s">
        <v>121</v>
      </c>
    </row>
    <row r="82" spans="1:5">
      <c r="A82" t="s">
        <v>145</v>
      </c>
      <c r="B82">
        <v>3</v>
      </c>
      <c r="C82" t="s">
        <v>322</v>
      </c>
      <c r="D82">
        <f xml:space="preserve"> RAB!N154</f>
        <v>0</v>
      </c>
      <c r="E82" t="s">
        <v>121</v>
      </c>
    </row>
    <row r="83" spans="1:5">
      <c r="A83" t="s">
        <v>145</v>
      </c>
      <c r="B83">
        <v>4</v>
      </c>
      <c r="C83" t="s">
        <v>323</v>
      </c>
      <c r="D83">
        <f xml:space="preserve"> RAB!N155</f>
        <v>0</v>
      </c>
      <c r="E83" t="s">
        <v>121</v>
      </c>
    </row>
    <row r="84" spans="1:5">
      <c r="A84" t="s">
        <v>145</v>
      </c>
      <c r="B84">
        <v>5</v>
      </c>
      <c r="C84" t="s">
        <v>324</v>
      </c>
      <c r="D84">
        <f xml:space="preserve"> RAB!N156</f>
        <v>0</v>
      </c>
      <c r="E84" t="s">
        <v>121</v>
      </c>
    </row>
    <row r="85" spans="1:5">
      <c r="A85" t="s">
        <v>145</v>
      </c>
      <c r="B85">
        <v>6</v>
      </c>
      <c r="C85" t="s">
        <v>325</v>
      </c>
      <c r="D85">
        <f xml:space="preserve"> RAB!N157</f>
        <v>0</v>
      </c>
      <c r="E85" t="s">
        <v>121</v>
      </c>
    </row>
    <row r="86" spans="1:5">
      <c r="A86" t="s">
        <v>145</v>
      </c>
      <c r="B86">
        <v>7</v>
      </c>
      <c r="C86" t="s">
        <v>326</v>
      </c>
      <c r="D86">
        <f xml:space="preserve"> RAB!N158</f>
        <v>0</v>
      </c>
      <c r="E86" t="s">
        <v>121</v>
      </c>
    </row>
    <row r="87" spans="1:5">
      <c r="A87" t="s">
        <v>145</v>
      </c>
      <c r="B87">
        <v>8</v>
      </c>
      <c r="C87" t="s">
        <v>327</v>
      </c>
      <c r="D87">
        <f xml:space="preserve"> RAB!N159</f>
        <v>0</v>
      </c>
      <c r="E87" t="s">
        <v>121</v>
      </c>
    </row>
    <row r="88" spans="1:5">
      <c r="A88" t="s">
        <v>145</v>
      </c>
      <c r="B88">
        <v>9</v>
      </c>
      <c r="C88" t="s">
        <v>328</v>
      </c>
      <c r="D88">
        <f xml:space="preserve"> RAB!N160</f>
        <v>0</v>
      </c>
      <c r="E88" t="s">
        <v>121</v>
      </c>
    </row>
    <row r="89" spans="1:5">
      <c r="A89" t="s">
        <v>145</v>
      </c>
      <c r="B89">
        <v>10</v>
      </c>
      <c r="C89" t="s">
        <v>329</v>
      </c>
      <c r="D89">
        <f xml:space="preserve"> RAB!N161</f>
        <v>0</v>
      </c>
      <c r="E89" t="s">
        <v>121</v>
      </c>
    </row>
    <row r="90" spans="1:5">
      <c r="A90" t="s">
        <v>145</v>
      </c>
      <c r="B90">
        <v>11</v>
      </c>
      <c r="C90" t="s">
        <v>330</v>
      </c>
      <c r="D90">
        <f xml:space="preserve"> RAB!N162</f>
        <v>0</v>
      </c>
      <c r="E90" t="s">
        <v>121</v>
      </c>
    </row>
    <row r="91" spans="1:5">
      <c r="A91" t="s">
        <v>157</v>
      </c>
      <c r="C91" t="s">
        <v>331</v>
      </c>
      <c r="D91">
        <f xml:space="preserve"> RAB!N177</f>
        <v>1024.1592528795036</v>
      </c>
      <c r="E91" t="s">
        <v>121</v>
      </c>
    </row>
    <row r="92" spans="1:5">
      <c r="A92" t="s">
        <v>158</v>
      </c>
      <c r="C92" t="s">
        <v>332</v>
      </c>
      <c r="D92">
        <f xml:space="preserve"> RAB!N184</f>
        <v>992.27751122851009</v>
      </c>
      <c r="E92" t="s">
        <v>62</v>
      </c>
    </row>
    <row r="93" spans="1:5">
      <c r="A93" t="s">
        <v>159</v>
      </c>
      <c r="C93" t="s">
        <v>333</v>
      </c>
      <c r="D93">
        <f xml:space="preserve"> RAB!N190</f>
        <v>592.70323389696875</v>
      </c>
      <c r="E93" t="s">
        <v>62</v>
      </c>
    </row>
    <row r="94" spans="1:5">
      <c r="A94" t="s">
        <v>160</v>
      </c>
      <c r="C94" t="s">
        <v>334</v>
      </c>
      <c r="D94">
        <f xml:space="preserve"> RAB!N196</f>
        <v>0</v>
      </c>
      <c r="E94" t="s">
        <v>62</v>
      </c>
    </row>
    <row r="95" spans="1:5">
      <c r="A95" t="s">
        <v>161</v>
      </c>
      <c r="C95" t="s">
        <v>335</v>
      </c>
      <c r="D95">
        <f xml:space="preserve"> RAB!N205</f>
        <v>0</v>
      </c>
      <c r="E95" t="s">
        <v>62</v>
      </c>
    </row>
    <row r="96" spans="1:5">
      <c r="A96" t="s">
        <v>162</v>
      </c>
      <c r="C96" t="s">
        <v>336</v>
      </c>
      <c r="D96">
        <f xml:space="preserve"> RAB!N211</f>
        <v>0</v>
      </c>
      <c r="E96" t="s">
        <v>140</v>
      </c>
    </row>
    <row r="97" spans="1:5">
      <c r="A97" t="s">
        <v>163</v>
      </c>
      <c r="C97" t="s">
        <v>337</v>
      </c>
      <c r="D97">
        <f xml:space="preserve"> RAB!N217</f>
        <v>0</v>
      </c>
      <c r="E97" t="s">
        <v>58</v>
      </c>
    </row>
    <row r="98" spans="1:5">
      <c r="A98" t="s">
        <v>164</v>
      </c>
      <c r="C98" t="s">
        <v>338</v>
      </c>
      <c r="D98">
        <f xml:space="preserve"> RAB!N223</f>
        <v>0</v>
      </c>
      <c r="E98" t="s">
        <v>62</v>
      </c>
    </row>
    <row r="99" spans="1:5">
      <c r="A99" t="s">
        <v>165</v>
      </c>
      <c r="C99" t="s">
        <v>339</v>
      </c>
      <c r="D99">
        <f xml:space="preserve"> RAB!N230</f>
        <v>0</v>
      </c>
      <c r="E99" t="s">
        <v>143</v>
      </c>
    </row>
    <row r="100" spans="1:5">
      <c r="A100" t="s">
        <v>166</v>
      </c>
      <c r="C100" t="s">
        <v>340</v>
      </c>
      <c r="D100">
        <f xml:space="preserve"> RAB!N237</f>
        <v>0</v>
      </c>
      <c r="E100" t="s">
        <v>143</v>
      </c>
    </row>
    <row r="101" spans="1:5">
      <c r="A101" t="s">
        <v>167</v>
      </c>
      <c r="C101" t="s">
        <v>341</v>
      </c>
      <c r="D101">
        <f xml:space="preserve"> RAB!N244</f>
        <v>0</v>
      </c>
      <c r="E101" t="s">
        <v>121</v>
      </c>
    </row>
    <row r="102" spans="1:5">
      <c r="A102" t="s">
        <v>168</v>
      </c>
      <c r="C102" t="s">
        <v>342</v>
      </c>
      <c r="D102">
        <f xml:space="preserve"> RAB!N250</f>
        <v>0</v>
      </c>
      <c r="E102" t="s">
        <v>58</v>
      </c>
    </row>
    <row r="103" spans="1:5">
      <c r="A103" t="s">
        <v>169</v>
      </c>
      <c r="C103" t="s">
        <v>343</v>
      </c>
      <c r="D103">
        <f xml:space="preserve"> RAB!N256</f>
        <v>0</v>
      </c>
      <c r="E103" t="s">
        <v>36</v>
      </c>
    </row>
    <row r="104" spans="1:5">
      <c r="A104" t="s">
        <v>170</v>
      </c>
      <c r="C104" t="s">
        <v>344</v>
      </c>
      <c r="D104">
        <f xml:space="preserve"> RAB!N262</f>
        <v>0</v>
      </c>
    </row>
    <row r="105" spans="1:5">
      <c r="A105" t="s">
        <v>171</v>
      </c>
      <c r="C105" t="s">
        <v>345</v>
      </c>
      <c r="D105">
        <f xml:space="preserve"> RAB!F268</f>
        <v>170039.80803190827</v>
      </c>
      <c r="E105" t="s">
        <v>58</v>
      </c>
    </row>
    <row r="106" spans="1:5">
      <c r="A106" t="s">
        <v>174</v>
      </c>
      <c r="C106" t="s">
        <v>346</v>
      </c>
      <c r="D106">
        <f xml:space="preserve"> RAB!N278</f>
        <v>0</v>
      </c>
      <c r="E106" t="s">
        <v>62</v>
      </c>
    </row>
    <row r="107" spans="1:5">
      <c r="A107" t="s">
        <v>175</v>
      </c>
      <c r="C107" t="s">
        <v>347</v>
      </c>
      <c r="D107">
        <f xml:space="preserve"> RAB!F283</f>
        <v>11248.964909848617</v>
      </c>
      <c r="E107" t="s">
        <v>62</v>
      </c>
    </row>
    <row r="108" spans="1:5">
      <c r="A108" t="s">
        <v>176</v>
      </c>
      <c r="C108" t="s">
        <v>348</v>
      </c>
      <c r="D108">
        <f xml:space="preserve"> RAB!F289</f>
        <v>0.44290750885300484</v>
      </c>
      <c r="E108" t="s">
        <v>58</v>
      </c>
    </row>
    <row r="109" spans="1:5">
      <c r="A109" t="s">
        <v>177</v>
      </c>
      <c r="C109" t="s">
        <v>349</v>
      </c>
      <c r="D109">
        <f xml:space="preserve"> RAB!F295</f>
        <v>2.2039508052211239</v>
      </c>
      <c r="E109" t="s">
        <v>140</v>
      </c>
    </row>
    <row r="110" spans="1:5">
      <c r="A110" t="s">
        <v>178</v>
      </c>
      <c r="C110" t="s">
        <v>350</v>
      </c>
      <c r="D110">
        <f xml:space="preserve"> RAB!F301</f>
        <v>1.6953467732470185E-2</v>
      </c>
      <c r="E110" t="s">
        <v>140</v>
      </c>
    </row>
    <row r="111" spans="1:5">
      <c r="A111" t="s">
        <v>179</v>
      </c>
      <c r="C111" t="s">
        <v>351</v>
      </c>
      <c r="D111">
        <f xml:space="preserve"> RAB!F307</f>
        <v>5.8897275113431492E-3</v>
      </c>
      <c r="E111" t="s">
        <v>36</v>
      </c>
    </row>
    <row r="112" spans="1:5">
      <c r="A112" t="s">
        <v>180</v>
      </c>
      <c r="C112" t="s">
        <v>352</v>
      </c>
      <c r="D112">
        <f xml:space="preserve"> RAB!N313</f>
        <v>0</v>
      </c>
      <c r="E112" t="s">
        <v>62</v>
      </c>
    </row>
    <row r="113" spans="1:5">
      <c r="A113" t="s">
        <v>181</v>
      </c>
      <c r="C113" t="s">
        <v>353</v>
      </c>
      <c r="D113">
        <f xml:space="preserve"> RAB!N320</f>
        <v>0</v>
      </c>
      <c r="E113" t="s">
        <v>62</v>
      </c>
    </row>
    <row r="114" spans="1:5">
      <c r="A114" t="s">
        <v>183</v>
      </c>
      <c r="C114" t="s">
        <v>354</v>
      </c>
      <c r="D114">
        <f xml:space="preserve"> RAB!N328</f>
        <v>0</v>
      </c>
      <c r="E114" t="s">
        <v>62</v>
      </c>
    </row>
    <row r="115" spans="1:5">
      <c r="A115" t="s">
        <v>184</v>
      </c>
      <c r="C115" t="s">
        <v>355</v>
      </c>
      <c r="D115">
        <f xml:space="preserve"> RAB!F333</f>
        <v>130886.76806896691</v>
      </c>
      <c r="E115" t="s">
        <v>62</v>
      </c>
    </row>
    <row r="116" spans="1:5">
      <c r="A116" t="s">
        <v>185</v>
      </c>
      <c r="C116" t="s">
        <v>356</v>
      </c>
      <c r="D116">
        <f xml:space="preserve"> RAB!F339</f>
        <v>0.9607778614766711</v>
      </c>
      <c r="E116" t="s">
        <v>140</v>
      </c>
    </row>
    <row r="117" spans="1:5">
      <c r="A117" t="s">
        <v>186</v>
      </c>
      <c r="C117" t="s">
        <v>357</v>
      </c>
      <c r="D117">
        <f xml:space="preserve"> RAB!F345</f>
        <v>4.8913176153431337</v>
      </c>
      <c r="E117" t="s">
        <v>140</v>
      </c>
    </row>
    <row r="118" spans="1:5">
      <c r="A118" t="s">
        <v>187</v>
      </c>
      <c r="C118" t="s">
        <v>358</v>
      </c>
      <c r="D118">
        <f xml:space="preserve"> RAB!F351</f>
        <v>3.7625520118024107E-2</v>
      </c>
      <c r="E118" t="s">
        <v>140</v>
      </c>
    </row>
    <row r="119" spans="1:5">
      <c r="A119" t="s">
        <v>188</v>
      </c>
      <c r="C119" t="s">
        <v>359</v>
      </c>
      <c r="D119">
        <f xml:space="preserve"> RAB!F357</f>
        <v>1.2776301349423817E-2</v>
      </c>
      <c r="E119" t="s">
        <v>36</v>
      </c>
    </row>
    <row r="120" spans="1:5">
      <c r="A120" t="s">
        <v>189</v>
      </c>
      <c r="C120" t="s">
        <v>360</v>
      </c>
      <c r="D120">
        <f xml:space="preserve"> RAB!N365</f>
        <v>0</v>
      </c>
      <c r="E120" t="s">
        <v>62</v>
      </c>
    </row>
    <row r="121" spans="1:5">
      <c r="A121" t="s">
        <v>191</v>
      </c>
      <c r="C121" t="s">
        <v>361</v>
      </c>
      <c r="D121">
        <f xml:space="preserve"> 'Cost+ Operating Margin'!N13</f>
        <v>10146.275698914209</v>
      </c>
      <c r="E121" t="s">
        <v>62</v>
      </c>
    </row>
    <row r="122" spans="1:5">
      <c r="A122" t="s">
        <v>192</v>
      </c>
      <c r="C122" t="s">
        <v>362</v>
      </c>
      <c r="D122">
        <f xml:space="preserve"> 'Cost+ Operating Margin'!N19</f>
        <v>4.0423409159020753</v>
      </c>
      <c r="E122" t="s">
        <v>140</v>
      </c>
    </row>
    <row r="123" spans="1:5">
      <c r="A123" t="s">
        <v>193</v>
      </c>
      <c r="C123" t="s">
        <v>363</v>
      </c>
      <c r="D123">
        <f xml:space="preserve"> 'Cost+ Operating Margin'!N25</f>
        <v>0.81877628299824157</v>
      </c>
      <c r="E123" t="s">
        <v>140</v>
      </c>
    </row>
    <row r="124" spans="1:5">
      <c r="A124" t="s">
        <v>194</v>
      </c>
      <c r="C124" t="s">
        <v>364</v>
      </c>
      <c r="D124">
        <f xml:space="preserve"> 'Cost+ Operating Margin'!N31</f>
        <v>10146.275698914209</v>
      </c>
      <c r="E124" t="s">
        <v>62</v>
      </c>
    </row>
    <row r="125" spans="1:5">
      <c r="A125" t="s">
        <v>195</v>
      </c>
      <c r="C125" t="s">
        <v>365</v>
      </c>
      <c r="D125">
        <f xml:space="preserve"> 'Cost+ Operating Margin'!N37</f>
        <v>5073.1378494571045</v>
      </c>
      <c r="E125" t="s">
        <v>62</v>
      </c>
    </row>
    <row r="126" spans="1:5">
      <c r="A126" t="s">
        <v>196</v>
      </c>
      <c r="C126" t="s">
        <v>366</v>
      </c>
      <c r="D126">
        <f xml:space="preserve"> 'Cost+ Operating Margin'!N43</f>
        <v>0</v>
      </c>
      <c r="E126" t="s">
        <v>62</v>
      </c>
    </row>
    <row r="127" spans="1:5">
      <c r="A127" t="s">
        <v>197</v>
      </c>
      <c r="C127" t="s">
        <v>367</v>
      </c>
      <c r="D127">
        <f xml:space="preserve"> 'Cost+ Operating Margin'!N52</f>
        <v>0</v>
      </c>
      <c r="E127" t="s">
        <v>62</v>
      </c>
    </row>
    <row r="128" spans="1:5">
      <c r="A128" t="s">
        <v>198</v>
      </c>
      <c r="C128" t="s">
        <v>368</v>
      </c>
      <c r="D128">
        <f xml:space="preserve"> 'Cost+ Operating Margin'!N58</f>
        <v>0</v>
      </c>
      <c r="E128" t="s">
        <v>62</v>
      </c>
    </row>
    <row r="129" spans="1:5">
      <c r="A129" t="s">
        <v>199</v>
      </c>
      <c r="C129" t="s">
        <v>369</v>
      </c>
      <c r="D129">
        <f xml:space="preserve"> 'Cost+ Operating Margin'!N64</f>
        <v>0</v>
      </c>
      <c r="E129" t="s">
        <v>143</v>
      </c>
    </row>
    <row r="130" spans="1:5">
      <c r="A130" t="s">
        <v>200</v>
      </c>
      <c r="C130" t="s">
        <v>370</v>
      </c>
      <c r="D130">
        <f xml:space="preserve"> 'Cost+ Operating Margin'!N70</f>
        <v>0</v>
      </c>
      <c r="E130" t="s">
        <v>140</v>
      </c>
    </row>
    <row r="131" spans="1:5">
      <c r="A131" t="s">
        <v>201</v>
      </c>
      <c r="C131" t="s">
        <v>371</v>
      </c>
      <c r="D131">
        <f xml:space="preserve"> 'Cost+ Operating Margin'!N77</f>
        <v>0</v>
      </c>
      <c r="E131" t="s">
        <v>121</v>
      </c>
    </row>
    <row r="132" spans="1:5">
      <c r="A132" t="s">
        <v>202</v>
      </c>
      <c r="C132" t="s">
        <v>372</v>
      </c>
      <c r="D132">
        <f xml:space="preserve"> 'Cost+ Operating Margin'!N83</f>
        <v>0</v>
      </c>
      <c r="E132" t="s">
        <v>143</v>
      </c>
    </row>
    <row r="133" spans="1:5">
      <c r="A133" t="s">
        <v>203</v>
      </c>
      <c r="C133" t="s">
        <v>373</v>
      </c>
      <c r="D133">
        <f xml:space="preserve"> 'Cost+ Operating Margin'!N89</f>
        <v>0</v>
      </c>
      <c r="E133" t="s">
        <v>143</v>
      </c>
    </row>
    <row r="134" spans="1:5">
      <c r="A134" t="s">
        <v>204</v>
      </c>
      <c r="C134" t="s">
        <v>374</v>
      </c>
      <c r="D134">
        <f xml:space="preserve"> 'Cost+ Operating Margin'!N95</f>
        <v>0</v>
      </c>
      <c r="E134" t="s">
        <v>58</v>
      </c>
    </row>
    <row r="135" spans="1:5">
      <c r="A135" t="s">
        <v>205</v>
      </c>
      <c r="C135" t="s">
        <v>375</v>
      </c>
      <c r="D135">
        <f xml:space="preserve"> 'Cost+ Operating Margin'!N101</f>
        <v>0</v>
      </c>
      <c r="E135" t="s">
        <v>36</v>
      </c>
    </row>
    <row r="136" spans="1:5">
      <c r="A136" t="s">
        <v>206</v>
      </c>
      <c r="C136" t="s">
        <v>376</v>
      </c>
      <c r="D136">
        <f xml:space="preserve"> 'Cost+ Operating Margin'!F107</f>
        <v>168228.31238267547</v>
      </c>
      <c r="E136" t="s">
        <v>62</v>
      </c>
    </row>
    <row r="137" spans="1:5">
      <c r="A137" t="s">
        <v>207</v>
      </c>
      <c r="C137" t="s">
        <v>377</v>
      </c>
      <c r="D137">
        <f xml:space="preserve"> 'Cost+ Operating Margin'!N117</f>
        <v>0</v>
      </c>
      <c r="E137" t="s">
        <v>62</v>
      </c>
    </row>
    <row r="138" spans="1:5">
      <c r="A138" t="s">
        <v>208</v>
      </c>
      <c r="C138" t="s">
        <v>378</v>
      </c>
      <c r="D138">
        <f xml:space="preserve"> 'Cost+ Operating Margin'!F122</f>
        <v>53244.812308132197</v>
      </c>
      <c r="E138" t="s">
        <v>62</v>
      </c>
    </row>
    <row r="139" spans="1:5">
      <c r="A139" t="s">
        <v>209</v>
      </c>
      <c r="C139" t="s">
        <v>379</v>
      </c>
      <c r="D139">
        <f xml:space="preserve"> 'Cost+ Operating Margin'!F128</f>
        <v>2.0964175253221593</v>
      </c>
      <c r="E139" t="s">
        <v>58</v>
      </c>
    </row>
    <row r="140" spans="1:5">
      <c r="A140" t="s">
        <v>210</v>
      </c>
      <c r="C140" t="s">
        <v>380</v>
      </c>
      <c r="D140">
        <f xml:space="preserve"> 'Cost+ Operating Margin'!F134</f>
        <v>10.431977333098001</v>
      </c>
      <c r="E140" t="s">
        <v>58</v>
      </c>
    </row>
    <row r="141" spans="1:5">
      <c r="A141" t="s">
        <v>211</v>
      </c>
      <c r="C141" t="s">
        <v>381</v>
      </c>
      <c r="D141">
        <f xml:space="preserve"> 'Cost+ Operating Margin'!F140</f>
        <v>8.024597948536924E-2</v>
      </c>
      <c r="E141" t="s">
        <v>58</v>
      </c>
    </row>
    <row r="142" spans="1:5">
      <c r="A142" t="s">
        <v>212</v>
      </c>
      <c r="C142" t="s">
        <v>382</v>
      </c>
      <c r="D142">
        <f xml:space="preserve"> 'Cost+ Operating Margin'!F146</f>
        <v>2.7877892623964885E-2</v>
      </c>
      <c r="E142" t="s">
        <v>36</v>
      </c>
    </row>
    <row r="143" spans="1:5">
      <c r="A143" t="s">
        <v>213</v>
      </c>
      <c r="C143" t="s">
        <v>383</v>
      </c>
      <c r="D143">
        <f xml:space="preserve"> 'Cost+ Operating Margin'!N154</f>
        <v>0</v>
      </c>
      <c r="E143" t="s">
        <v>62</v>
      </c>
    </row>
    <row r="144" spans="1:5">
      <c r="A144" t="s">
        <v>214</v>
      </c>
      <c r="C144" t="s">
        <v>384</v>
      </c>
      <c r="D144">
        <f xml:space="preserve"> 'Cost+ Operating Margin'!F159</f>
        <v>198063.20813093396</v>
      </c>
      <c r="E144" t="s">
        <v>62</v>
      </c>
    </row>
    <row r="145" spans="1:5">
      <c r="A145" t="s">
        <v>215</v>
      </c>
      <c r="C145" t="s">
        <v>385</v>
      </c>
      <c r="D145">
        <f xml:space="preserve"> 'Cost+ Operating Margin'!F165</f>
        <v>1.4538883368636419</v>
      </c>
      <c r="E145" t="s">
        <v>58</v>
      </c>
    </row>
    <row r="146" spans="1:5">
      <c r="A146" t="s">
        <v>216</v>
      </c>
      <c r="C146" t="s">
        <v>386</v>
      </c>
      <c r="D146">
        <f xml:space="preserve"> 'Cost+ Operating Margin'!F171</f>
        <v>7.4017417740174878</v>
      </c>
      <c r="E146" t="s">
        <v>58</v>
      </c>
    </row>
    <row r="147" spans="1:5">
      <c r="A147" t="s">
        <v>217</v>
      </c>
      <c r="C147" t="s">
        <v>387</v>
      </c>
      <c r="D147">
        <f xml:space="preserve"> 'Cost+ Operating Margin'!F177</f>
        <v>5.6936475184749903E-2</v>
      </c>
      <c r="E147" t="s">
        <v>58</v>
      </c>
    </row>
    <row r="148" spans="1:5">
      <c r="A148" t="s">
        <v>218</v>
      </c>
      <c r="C148" t="s">
        <v>388</v>
      </c>
      <c r="D148">
        <f xml:space="preserve"> 'Cost+ Operating Margin'!F183</f>
        <v>1.9333621500846301E-2</v>
      </c>
      <c r="E148" t="s">
        <v>36</v>
      </c>
    </row>
    <row r="149" spans="1:5">
      <c r="A149" t="s">
        <v>219</v>
      </c>
      <c r="C149" t="s">
        <v>389</v>
      </c>
      <c r="D149">
        <f xml:space="preserve"> 'Scenarios Chosen'!N13</f>
        <v>2438.4601122851013</v>
      </c>
      <c r="E149" t="s">
        <v>62</v>
      </c>
    </row>
    <row r="150" spans="1:5">
      <c r="A150" t="s">
        <v>220</v>
      </c>
      <c r="C150" t="s">
        <v>390</v>
      </c>
      <c r="D150">
        <f xml:space="preserve"> 'Scenarios Chosen'!N21</f>
        <v>7484.3149999999987</v>
      </c>
      <c r="E150" t="s">
        <v>62</v>
      </c>
    </row>
    <row r="151" spans="1:5">
      <c r="A151" t="s">
        <v>221</v>
      </c>
      <c r="C151" t="s">
        <v>391</v>
      </c>
      <c r="D151">
        <f xml:space="preserve"> 'Scenarios Chosen'!N32</f>
        <v>9922.7751122851005</v>
      </c>
      <c r="E151" t="s">
        <v>62</v>
      </c>
    </row>
    <row r="152" spans="1:5">
      <c r="A152" t="s">
        <v>222</v>
      </c>
      <c r="C152" t="s">
        <v>392</v>
      </c>
      <c r="D152">
        <f xml:space="preserve"> 'Scenarios Chosen'!F37</f>
        <v>52071.943844968133</v>
      </c>
      <c r="E152" t="s">
        <v>62</v>
      </c>
    </row>
    <row r="153" spans="1:5">
      <c r="A153" t="s">
        <v>223</v>
      </c>
      <c r="C153" t="s">
        <v>393</v>
      </c>
      <c r="D153">
        <f xml:space="preserve"> 'Scenarios Chosen'!N43</f>
        <v>0</v>
      </c>
      <c r="E153" s="95" t="s">
        <v>75</v>
      </c>
    </row>
    <row r="154" spans="1:5">
      <c r="A154" t="s">
        <v>224</v>
      </c>
      <c r="C154" t="s">
        <v>394</v>
      </c>
      <c r="D154">
        <f xml:space="preserve"> 'Scenarios Chosen'!F48</f>
        <v>25398</v>
      </c>
      <c r="E154" s="95" t="s">
        <v>75</v>
      </c>
    </row>
    <row r="155" spans="1:5">
      <c r="A155" t="s">
        <v>225</v>
      </c>
      <c r="C155" t="s">
        <v>395</v>
      </c>
      <c r="D155">
        <f xml:space="preserve"> 'Scenarios Chosen'!N54</f>
        <v>0</v>
      </c>
      <c r="E155" s="95" t="s">
        <v>75</v>
      </c>
    </row>
    <row r="156" spans="1:5">
      <c r="A156" t="s">
        <v>226</v>
      </c>
      <c r="C156" t="s">
        <v>396</v>
      </c>
      <c r="D156">
        <f xml:space="preserve"> 'Scenarios Chosen'!F59</f>
        <v>5104</v>
      </c>
      <c r="E156" s="95" t="s">
        <v>75</v>
      </c>
    </row>
    <row r="157" spans="1:5">
      <c r="A157" t="s">
        <v>227</v>
      </c>
      <c r="C157" t="s">
        <v>397</v>
      </c>
      <c r="D157">
        <f xml:space="preserve"> 'Scenarios Chosen'!N68</f>
        <v>9922.7751122851005</v>
      </c>
      <c r="E157" t="s">
        <v>62</v>
      </c>
    </row>
    <row r="158" spans="1:5">
      <c r="A158" t="s">
        <v>228</v>
      </c>
      <c r="C158" t="s">
        <v>398</v>
      </c>
      <c r="D158">
        <f xml:space="preserve"> 'Scenarios Chosen'!F73</f>
        <v>193700.30251704017</v>
      </c>
      <c r="E158" t="s">
        <v>62</v>
      </c>
    </row>
    <row r="159" spans="1:5">
      <c r="A159" t="s">
        <v>229</v>
      </c>
      <c r="C159" t="s">
        <v>399</v>
      </c>
      <c r="D159">
        <f xml:space="preserve"> 'Scenarios Chosen'!N79</f>
        <v>0</v>
      </c>
      <c r="E159" s="95" t="s">
        <v>75</v>
      </c>
    </row>
    <row r="160" spans="1:5">
      <c r="A160" t="s">
        <v>230</v>
      </c>
      <c r="C160" t="s">
        <v>400</v>
      </c>
      <c r="D160">
        <f xml:space="preserve"> 'Scenarios Chosen'!F84</f>
        <v>136230</v>
      </c>
      <c r="E160" s="95" t="s">
        <v>75</v>
      </c>
    </row>
    <row r="161" spans="1:5">
      <c r="A161" t="s">
        <v>231</v>
      </c>
      <c r="C161" t="s">
        <v>401</v>
      </c>
      <c r="D161">
        <f xml:space="preserve"> 'Scenarios Chosen'!N90</f>
        <v>0</v>
      </c>
      <c r="E161" s="95" t="s">
        <v>75</v>
      </c>
    </row>
    <row r="162" spans="1:5">
      <c r="A162" t="s">
        <v>232</v>
      </c>
      <c r="C162" t="s">
        <v>402</v>
      </c>
      <c r="D162">
        <f xml:space="preserve"> 'Scenarios Chosen'!F95</f>
        <v>26759</v>
      </c>
      <c r="E162" s="95" t="s">
        <v>75</v>
      </c>
    </row>
  </sheetData>
  <autoFilter ref="A1:E187" xr:uid="{00000000-0009-0000-0000-00000D000000}"/>
  <pageMargins left="0.7" right="0.7" top="0.75" bottom="0.75" header="0.3" footer="0.3"/>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W138"/>
  <sheetViews>
    <sheetView showGridLines="0" workbookViewId="0"/>
  </sheetViews>
  <sheetFormatPr defaultColWidth="0" defaultRowHeight="10"/>
  <cols>
    <col min="1" max="1" width="36.6640625" style="83" customWidth="1"/>
    <col min="2" max="2" width="28.109375" style="83" customWidth="1"/>
    <col min="3" max="3" width="23.109375" style="83" customWidth="1"/>
    <col min="4" max="4" width="9.33203125" style="83" customWidth="1"/>
    <col min="5" max="26" width="9.33203125" style="83" hidden="1" customWidth="1"/>
    <col min="27" max="55" width="9.109375" style="83" hidden="1" customWidth="1"/>
    <col min="56" max="56" width="9.33203125" style="83" hidden="1" customWidth="1"/>
    <col min="57" max="16384" width="9.33203125" style="83" hidden="1"/>
  </cols>
  <sheetData>
    <row r="1" spans="1:101" ht="25">
      <c r="A1" s="50" t="str">
        <f ca="1" xml:space="preserve"> RIGHT(CELL("filename", A1), LEN(CELL("filename", A1)) - SEARCH("]", CELL("filename", A1)))</f>
        <v>Contents</v>
      </c>
    </row>
    <row r="5" spans="1:101" ht="18">
      <c r="A5" s="12" t="s">
        <v>6</v>
      </c>
      <c r="B5" s="103"/>
      <c r="C5" s="103"/>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row>
    <row r="6" spans="1:101" ht="15.5">
      <c r="A6" s="96"/>
      <c r="B6" s="65"/>
      <c r="C6" s="97"/>
    </row>
    <row r="7" spans="1:101" ht="15.5">
      <c r="A7" s="96" t="str">
        <f>HYPERLINK("#TOCrepobxOperating_Cost___Margin_Report_Year","1.Operating Cost + Margin Report")</f>
        <v>1.Operating Cost + Margin Report</v>
      </c>
      <c r="B7" s="65"/>
      <c r="C7" s="97"/>
    </row>
    <row r="8" spans="1:101" ht="15.5">
      <c r="A8" s="96"/>
      <c r="B8" s="65"/>
      <c r="C8" s="97"/>
    </row>
    <row r="9" spans="1:101" ht="15.5">
      <c r="A9" s="96" t="str">
        <f>HYPERLINK("#TOCrepobxRAB_model_Report_Year","2.RAB model Report")</f>
        <v>2.RAB model Report</v>
      </c>
      <c r="B9" s="65"/>
      <c r="C9" s="97"/>
    </row>
    <row r="10" spans="1:101" ht="15.5">
      <c r="A10" s="96"/>
      <c r="B10" s="65"/>
      <c r="C10" s="97"/>
    </row>
    <row r="11" spans="1:101" ht="15.5">
      <c r="A11" s="96"/>
      <c r="B11" s="65"/>
      <c r="C11" s="97"/>
    </row>
    <row r="12" spans="1:101" ht="18">
      <c r="A12" s="12" t="s">
        <v>7</v>
      </c>
      <c r="B12" s="12" t="s">
        <v>8</v>
      </c>
      <c r="C12" s="12" t="s">
        <v>9</v>
      </c>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row>
    <row r="13" spans="1:101" ht="15.5">
      <c r="A13" s="96"/>
      <c r="B13" s="65"/>
      <c r="C13" s="97"/>
    </row>
    <row r="14" spans="1:101" ht="15.5">
      <c r="A14" s="96"/>
      <c r="B14" s="65"/>
      <c r="C14" s="97"/>
    </row>
    <row r="15" spans="1:101" ht="15.5">
      <c r="A15" s="96" t="str">
        <f>HYPERLINK("#TOCobxInputs", "1.Inputs")</f>
        <v>1.Inputs</v>
      </c>
      <c r="B15" s="65"/>
      <c r="C15" s="97"/>
    </row>
    <row r="16" spans="1:101" ht="15.5">
      <c r="A16" s="96"/>
      <c r="B16" s="65" t="str">
        <f>HYPERLINK("#TOCobxInputs.Dates", "1.1.Dates")</f>
        <v>1.1.Dates</v>
      </c>
      <c r="C16" s="97"/>
    </row>
    <row r="17" spans="1:3" ht="15.5">
      <c r="A17" s="96"/>
      <c r="B17" s="65" t="str">
        <f>HYPERLINK("#TOCobxInputs.Headers", "1.2.Headers")</f>
        <v>1.2.Headers</v>
      </c>
      <c r="C17" s="97"/>
    </row>
    <row r="18" spans="1:3" ht="15.5">
      <c r="A18" s="96"/>
      <c r="B18" s="65" t="str">
        <f>HYPERLINK("#TOCobxInputs.Model_Constants", "1.3.Model Constants")</f>
        <v>1.3.Model Constants</v>
      </c>
      <c r="C18" s="97"/>
    </row>
    <row r="19" spans="1:3" ht="15.5">
      <c r="A19" s="96"/>
      <c r="B19" s="65"/>
      <c r="C19" s="97" t="str">
        <f>HYPERLINK("#TOCobxInputs.Model_Constants.Model_Scenarios", "1.3.1.Model Scenarios")</f>
        <v>1.3.1.Model Scenarios</v>
      </c>
    </row>
    <row r="20" spans="1:3" ht="15.5">
      <c r="A20" s="96"/>
      <c r="B20" s="65"/>
      <c r="C20" s="97" t="str">
        <f>HYPERLINK("#TOCobxInputs.Model_Constants.Model_Scenarios.Time_based", "1.3.1.1.Time based")</f>
        <v>1.3.1.1.Time based</v>
      </c>
    </row>
    <row r="21" spans="1:3" ht="15.5">
      <c r="A21" s="96"/>
      <c r="B21" s="65"/>
      <c r="C21" s="97" t="str">
        <f>HYPERLINK("#TOCobxInputs.Model_Constants.Model_Scenarios.Time_based.RAB_Input", "1.3.1.1.1.RAB Input")</f>
        <v>1.3.1.1.1.RAB Input</v>
      </c>
    </row>
    <row r="22" spans="1:3" ht="15.5">
      <c r="A22" s="96"/>
      <c r="B22" s="65"/>
      <c r="C22" s="97"/>
    </row>
    <row r="23" spans="1:3" ht="15.5">
      <c r="A23" s="96"/>
      <c r="B23" s="65"/>
      <c r="C23" s="97"/>
    </row>
    <row r="24" spans="1:3" ht="15.5">
      <c r="A24" s="96"/>
      <c r="B24" s="65" t="str">
        <f>HYPERLINK("#TOCobxInputs.Results_from_preliminary_model", "1.4.Results from preliminary model")</f>
        <v>1.4.Results from preliminary model</v>
      </c>
      <c r="C24" s="97"/>
    </row>
    <row r="25" spans="1:3" ht="15.5">
      <c r="A25" s="96"/>
      <c r="B25" s="65"/>
      <c r="C25" s="97"/>
    </row>
    <row r="26" spans="1:3" ht="15.5">
      <c r="A26" s="96" t="str">
        <f>HYPERLINK("#TOCobxTime", "2.Time")</f>
        <v>2.Time</v>
      </c>
      <c r="B26" s="65"/>
      <c r="C26" s="97"/>
    </row>
    <row r="27" spans="1:3" ht="15.5">
      <c r="A27" s="96"/>
      <c r="B27" s="65" t="str">
        <f>HYPERLINK("#TOCobxTime.CPI_Calculations", "2.1.CPI Calculations")</f>
        <v>2.1.CPI Calculations</v>
      </c>
      <c r="C27" s="97"/>
    </row>
    <row r="28" spans="1:3" ht="15.5">
      <c r="A28" s="96"/>
      <c r="B28" s="65" t="str">
        <f>HYPERLINK("#TOCobxTime.Headers", "2.2.Headers")</f>
        <v>2.2.Headers</v>
      </c>
      <c r="C28" s="97"/>
    </row>
    <row r="29" spans="1:3" ht="15.5">
      <c r="A29" s="96"/>
      <c r="B29" s="65" t="str">
        <f>HYPERLINK("#TOCobxTime.CPI_Index_forecast_flag_1", "2.3.CPI Index forecast flag_1")</f>
        <v>2.3.CPI Index forecast flag_1</v>
      </c>
      <c r="C29" s="97"/>
    </row>
    <row r="30" spans="1:3" ht="15.5">
      <c r="A30" s="96"/>
      <c r="B30" s="65" t="str">
        <f>HYPERLINK("#TOCobxTime.NR23_flag_1", "2.4.NR23 flag_1")</f>
        <v>2.4.NR23 flag_1</v>
      </c>
      <c r="C30" s="97"/>
    </row>
    <row r="31" spans="1:3" ht="15.5">
      <c r="A31" s="96"/>
      <c r="B31" s="65" t="str">
        <f>HYPERLINK("#TOCobxTime.2025_flag_1", "2.5.2025 flag_1")</f>
        <v>2.5.2025 flag_1</v>
      </c>
      <c r="C31" s="97"/>
    </row>
    <row r="32" spans="1:3" ht="15.5">
      <c r="A32" s="96"/>
      <c r="B32" s="65" t="str">
        <f>HYPERLINK("#TOCobxTime.2026_flag_1", "2.6.2026 flag_1")</f>
        <v>2.6.2026 flag_1</v>
      </c>
      <c r="C32" s="97"/>
    </row>
    <row r="33" spans="1:3" ht="15.5">
      <c r="A33" s="96"/>
      <c r="B33" s="65" t="str">
        <f>HYPERLINK("#TOCobxTime.NR33__Closing_RAB_end_date__flag_1", "2.7.NR33 (Closing RAB end date) flag_1")</f>
        <v>2.7.NR33 (Closing RAB end date) flag_1</v>
      </c>
      <c r="C33" s="97"/>
    </row>
    <row r="34" spans="1:3" ht="15.5">
      <c r="A34" s="96"/>
      <c r="B34" s="65" t="str">
        <f>HYPERLINK("#TOCobxTime.NR23_specific_date_flag_1", "2.8.NR23 specific date flag_1")</f>
        <v>2.8.NR23 specific date flag_1</v>
      </c>
      <c r="C34" s="97"/>
    </row>
    <row r="35" spans="1:3" ht="15.5">
      <c r="A35" s="96"/>
      <c r="B35" s="65"/>
      <c r="C35" s="97"/>
    </row>
    <row r="36" spans="1:3" ht="15.5">
      <c r="A36" s="96" t="str">
        <f>HYPERLINK("#TOCobxRAB", "3.RAB")</f>
        <v>3.RAB</v>
      </c>
      <c r="B36" s="65"/>
      <c r="C36" s="97"/>
    </row>
    <row r="37" spans="1:3" ht="15.5">
      <c r="A37" s="96"/>
      <c r="B37" s="65" t="str">
        <f>HYPERLINK("#TOCobxRAB.RAB_calculations", "3.1.RAB calculations")</f>
        <v>3.1.RAB calculations</v>
      </c>
      <c r="C37" s="97"/>
    </row>
    <row r="38" spans="1:3" ht="15.5">
      <c r="A38" s="96"/>
      <c r="B38" s="65" t="str">
        <f>HYPERLINK("#TOCobxRAB.Calculations_for_Final_reporting", "3.2.Calculations for Final reporting")</f>
        <v>3.2.Calculations for Final reporting</v>
      </c>
      <c r="C38" s="97"/>
    </row>
    <row r="39" spans="1:3" ht="15.5">
      <c r="A39" s="96"/>
      <c r="B39" s="65"/>
      <c r="C39" s="97" t="str">
        <f>HYPERLINK("#TOCobxRAB.Calculations_for_Final_reporting.NR23_period", "3.2.1.NR23 period")</f>
        <v>3.2.1.NR23 period</v>
      </c>
    </row>
    <row r="40" spans="1:3" ht="15.5">
      <c r="A40" s="96"/>
      <c r="B40" s="65"/>
      <c r="C40" s="97" t="str">
        <f>HYPERLINK("#TOCobxRAB.Calculations_for_Final_reporting.10_year_period", "3.2.2.10-year period")</f>
        <v>3.2.2.10-year period</v>
      </c>
    </row>
    <row r="41" spans="1:3" ht="15.5">
      <c r="A41" s="96"/>
      <c r="B41" s="65"/>
      <c r="C41" s="97"/>
    </row>
    <row r="42" spans="1:3" ht="15.5">
      <c r="A42" s="96" t="str">
        <f>HYPERLINK("#TOCobxCost__Operating_Margin", "4.Cost+ Operating Margin")</f>
        <v>4.Cost+ Operating Margin</v>
      </c>
      <c r="B42" s="65"/>
      <c r="C42" s="97"/>
    </row>
    <row r="43" spans="1:3" ht="15.5">
      <c r="A43" s="96"/>
      <c r="B43" s="65" t="str">
        <f>HYPERLINK("#TOCobxCost__Operating_Margin.Calculations_for_Final_reporting", "4.1.Calculations for Final reporting")</f>
        <v>4.1.Calculations for Final reporting</v>
      </c>
      <c r="C43" s="97"/>
    </row>
    <row r="44" spans="1:3" ht="15.5">
      <c r="A44" s="96"/>
      <c r="B44" s="65"/>
      <c r="C44" s="97" t="str">
        <f>HYPERLINK("#TOCobxCost__Operating_Margin.Calculations_for_Final_reporting.NR23_period", "4.1.1.NR23 period")</f>
        <v>4.1.1.NR23 period</v>
      </c>
    </row>
    <row r="45" spans="1:3" ht="15.5">
      <c r="A45" s="96"/>
      <c r="B45" s="65"/>
      <c r="C45" s="97" t="str">
        <f>HYPERLINK("#TOCobxCost__Operating_Margin.Calculations_for_Final_reporting.10_year_period", "4.1.2.10-year period")</f>
        <v>4.1.2.10-year period</v>
      </c>
    </row>
    <row r="46" spans="1:3" ht="15.5">
      <c r="A46" s="96"/>
      <c r="B46" s="65"/>
      <c r="C46" s="97"/>
    </row>
    <row r="47" spans="1:3" ht="15.5">
      <c r="A47" s="96" t="str">
        <f>HYPERLINK("#TOCobxScenarios_Chosen", "5.Scenarios Chosen")</f>
        <v>5.Scenarios Chosen</v>
      </c>
      <c r="B47" s="65"/>
      <c r="C47" s="97"/>
    </row>
    <row r="48" spans="1:3" ht="15.5">
      <c r="A48" s="96"/>
      <c r="B48" s="65" t="str">
        <f>HYPERLINK("#TOCobxScenarios_Chosen.Calculations_for_Final_reporting", "5.1.Calculations for Final reporting")</f>
        <v>5.1.Calculations for Final reporting</v>
      </c>
      <c r="C48" s="97"/>
    </row>
    <row r="49" spans="1:3" ht="15.5">
      <c r="A49" s="96"/>
      <c r="B49" s="65"/>
      <c r="C49" s="97" t="str">
        <f>HYPERLINK("#TOCobxScenarios_Chosen.Calculations_for_Final_reporting.NR23_period", "5.1.1.NR23 period")</f>
        <v>5.1.1.NR23 period</v>
      </c>
    </row>
    <row r="50" spans="1:3" ht="15.5">
      <c r="A50" s="96"/>
      <c r="B50" s="65"/>
      <c r="C50" s="97" t="str">
        <f>HYPERLINK("#TOCobxScenarios_Chosen.Calculations_for_Final_reporting.10_year_period", "5.1.2.10-year period")</f>
        <v>5.1.2.10-year period</v>
      </c>
    </row>
    <row r="51" spans="1:3" ht="15.5">
      <c r="A51" s="96"/>
      <c r="B51" s="65"/>
      <c r="C51" s="97"/>
    </row>
    <row r="52" spans="1:3" ht="15.5">
      <c r="A52" s="96"/>
      <c r="B52" s="65"/>
      <c r="C52" s="97"/>
    </row>
    <row r="53" spans="1:3" ht="15.5">
      <c r="A53" s="96"/>
      <c r="B53" s="65"/>
      <c r="C53" s="97"/>
    </row>
    <row r="54" spans="1:3" ht="15.5">
      <c r="A54" s="96"/>
      <c r="B54" s="65"/>
      <c r="C54" s="97"/>
    </row>
    <row r="55" spans="1:3" ht="15.5">
      <c r="A55" s="96"/>
      <c r="B55" s="65"/>
      <c r="C55" s="97"/>
    </row>
    <row r="56" spans="1:3" ht="15.5">
      <c r="A56" s="96"/>
      <c r="B56" s="65"/>
      <c r="C56" s="97"/>
    </row>
    <row r="57" spans="1:3" ht="15.5">
      <c r="A57" s="96"/>
      <c r="B57" s="65"/>
      <c r="C57" s="97"/>
    </row>
    <row r="58" spans="1:3" ht="15.5">
      <c r="A58" s="96"/>
      <c r="B58" s="65"/>
      <c r="C58" s="97"/>
    </row>
    <row r="59" spans="1:3" ht="15.5">
      <c r="A59" s="96"/>
      <c r="B59" s="65"/>
      <c r="C59" s="97"/>
    </row>
    <row r="60" spans="1:3" ht="15.5">
      <c r="A60" s="96"/>
      <c r="B60" s="65"/>
      <c r="C60" s="97"/>
    </row>
    <row r="61" spans="1:3" ht="15.5">
      <c r="A61" s="96"/>
      <c r="B61" s="65"/>
      <c r="C61" s="97"/>
    </row>
    <row r="62" spans="1:3" ht="15.5">
      <c r="A62" s="96"/>
      <c r="B62" s="65"/>
      <c r="C62" s="97"/>
    </row>
    <row r="63" spans="1:3" ht="15.5">
      <c r="A63" s="96"/>
      <c r="B63" s="65"/>
      <c r="C63" s="97"/>
    </row>
    <row r="64" spans="1:3" ht="15.5">
      <c r="A64" s="96"/>
      <c r="B64" s="65"/>
      <c r="C64" s="97"/>
    </row>
    <row r="65" spans="1:3" ht="15.5">
      <c r="A65" s="96"/>
      <c r="B65" s="65"/>
      <c r="C65" s="97"/>
    </row>
    <row r="66" spans="1:3" ht="15.5">
      <c r="A66" s="96"/>
      <c r="B66" s="65"/>
      <c r="C66" s="97"/>
    </row>
    <row r="67" spans="1:3" ht="15.5">
      <c r="A67" s="96"/>
      <c r="B67" s="65"/>
      <c r="C67" s="97"/>
    </row>
    <row r="68" spans="1:3" ht="15.5">
      <c r="A68" s="96"/>
      <c r="B68" s="65"/>
      <c r="C68" s="97"/>
    </row>
    <row r="69" spans="1:3" ht="15.5">
      <c r="A69" s="96"/>
      <c r="B69" s="65"/>
      <c r="C69" s="97"/>
    </row>
    <row r="70" spans="1:3" ht="15.5">
      <c r="A70" s="96"/>
      <c r="B70" s="65"/>
      <c r="C70" s="97"/>
    </row>
    <row r="71" spans="1:3" ht="15.5">
      <c r="A71" s="96"/>
      <c r="B71" s="65"/>
      <c r="C71" s="97"/>
    </row>
    <row r="72" spans="1:3" ht="15.5">
      <c r="A72" s="96"/>
      <c r="B72" s="65"/>
      <c r="C72" s="97"/>
    </row>
    <row r="73" spans="1:3" ht="15.5">
      <c r="A73" s="96"/>
      <c r="B73" s="65"/>
      <c r="C73" s="97"/>
    </row>
    <row r="74" spans="1:3" ht="15.5">
      <c r="A74" s="96"/>
      <c r="B74" s="65"/>
      <c r="C74" s="97"/>
    </row>
    <row r="75" spans="1:3" ht="15.5">
      <c r="A75" s="96"/>
      <c r="B75" s="65"/>
      <c r="C75" s="97"/>
    </row>
    <row r="76" spans="1:3" ht="15.5">
      <c r="A76" s="96"/>
      <c r="B76" s="65"/>
      <c r="C76" s="97"/>
    </row>
    <row r="77" spans="1:3" ht="15.5">
      <c r="A77" s="96"/>
      <c r="B77" s="65"/>
      <c r="C77" s="97"/>
    </row>
    <row r="78" spans="1:3" ht="15.5">
      <c r="A78" s="96"/>
      <c r="B78" s="65"/>
      <c r="C78" s="97"/>
    </row>
    <row r="79" spans="1:3" ht="15.5">
      <c r="A79" s="96"/>
      <c r="B79" s="65"/>
      <c r="C79" s="97"/>
    </row>
    <row r="80" spans="1:3" ht="15.5">
      <c r="A80" s="96"/>
      <c r="B80" s="65"/>
      <c r="C80" s="97"/>
    </row>
    <row r="81" spans="1:3" ht="15.5">
      <c r="A81" s="96"/>
      <c r="B81" s="65"/>
      <c r="C81" s="97"/>
    </row>
    <row r="82" spans="1:3" ht="15.5">
      <c r="A82" s="96"/>
      <c r="B82" s="65"/>
      <c r="C82" s="97"/>
    </row>
    <row r="83" spans="1:3" ht="15.5">
      <c r="A83" s="96"/>
      <c r="B83" s="65"/>
      <c r="C83" s="97"/>
    </row>
    <row r="84" spans="1:3" ht="15.5">
      <c r="A84" s="96"/>
      <c r="B84" s="65"/>
      <c r="C84" s="97"/>
    </row>
    <row r="85" spans="1:3" ht="15.5">
      <c r="A85" s="96"/>
      <c r="B85" s="65"/>
      <c r="C85" s="97"/>
    </row>
    <row r="86" spans="1:3" ht="15.5">
      <c r="A86" s="96"/>
      <c r="B86" s="65"/>
      <c r="C86" s="97"/>
    </row>
    <row r="87" spans="1:3" ht="15.5">
      <c r="A87" s="106"/>
      <c r="B87" s="65"/>
      <c r="C87" s="97"/>
    </row>
    <row r="88" spans="1:3" ht="15.5">
      <c r="A88" s="106"/>
      <c r="B88" s="65"/>
      <c r="C88" s="97"/>
    </row>
    <row r="89" spans="1:3" ht="15.5">
      <c r="A89" s="106"/>
      <c r="B89" s="65"/>
      <c r="C89" s="97"/>
    </row>
    <row r="90" spans="1:3" ht="15.5">
      <c r="A90" s="106"/>
      <c r="B90" s="65"/>
      <c r="C90" s="97"/>
    </row>
    <row r="91" spans="1:3" ht="15.5">
      <c r="A91" s="106"/>
      <c r="B91" s="65"/>
      <c r="C91" s="97"/>
    </row>
    <row r="92" spans="1:3" ht="15.5">
      <c r="A92" s="106"/>
      <c r="B92" s="65"/>
      <c r="C92" s="97"/>
    </row>
    <row r="93" spans="1:3" ht="15.5">
      <c r="A93" s="106"/>
      <c r="B93" s="65"/>
      <c r="C93" s="97"/>
    </row>
    <row r="94" spans="1:3" ht="15.5">
      <c r="A94" s="106"/>
      <c r="B94" s="65"/>
      <c r="C94" s="97"/>
    </row>
    <row r="95" spans="1:3" ht="15.5">
      <c r="A95" s="106"/>
      <c r="B95" s="65"/>
      <c r="C95" s="97"/>
    </row>
    <row r="96" spans="1:3" ht="15.5">
      <c r="A96" s="106"/>
      <c r="B96" s="65"/>
      <c r="C96" s="97"/>
    </row>
    <row r="97" spans="1:3" ht="15.5">
      <c r="A97" s="106"/>
      <c r="B97" s="65"/>
      <c r="C97" s="97"/>
    </row>
    <row r="98" spans="1:3" ht="15.5">
      <c r="A98" s="106"/>
      <c r="B98" s="65"/>
      <c r="C98" s="97"/>
    </row>
    <row r="99" spans="1:3" ht="15.5">
      <c r="A99" s="106"/>
      <c r="B99" s="65"/>
      <c r="C99" s="97"/>
    </row>
    <row r="100" spans="1:3" ht="15.5">
      <c r="A100" s="106"/>
      <c r="B100" s="65"/>
      <c r="C100" s="97"/>
    </row>
    <row r="101" spans="1:3" ht="15.5">
      <c r="A101" s="106"/>
      <c r="B101" s="65"/>
      <c r="C101" s="97"/>
    </row>
    <row r="102" spans="1:3" ht="15.5">
      <c r="A102" s="106"/>
      <c r="B102" s="65"/>
      <c r="C102" s="97"/>
    </row>
    <row r="103" spans="1:3" ht="15.5">
      <c r="A103" s="106"/>
      <c r="B103" s="65"/>
      <c r="C103" s="97"/>
    </row>
    <row r="104" spans="1:3" ht="15.5">
      <c r="A104" s="106"/>
      <c r="B104" s="65"/>
      <c r="C104" s="97"/>
    </row>
    <row r="105" spans="1:3" ht="15.5">
      <c r="A105" s="106"/>
      <c r="B105" s="65"/>
      <c r="C105" s="97"/>
    </row>
    <row r="106" spans="1:3" ht="15.5">
      <c r="A106" s="106"/>
      <c r="B106" s="65"/>
      <c r="C106" s="97"/>
    </row>
    <row r="107" spans="1:3" ht="15.5">
      <c r="A107" s="106"/>
      <c r="B107" s="65"/>
      <c r="C107" s="97"/>
    </row>
    <row r="108" spans="1:3" ht="15.5">
      <c r="A108" s="106"/>
      <c r="B108" s="65"/>
      <c r="C108" s="97"/>
    </row>
    <row r="109" spans="1:3" ht="15.5">
      <c r="A109" s="106"/>
      <c r="B109" s="65"/>
      <c r="C109" s="97"/>
    </row>
    <row r="110" spans="1:3" ht="15.5">
      <c r="A110" s="106"/>
      <c r="B110" s="65"/>
      <c r="C110" s="97"/>
    </row>
    <row r="111" spans="1:3" ht="15.5">
      <c r="A111" s="106"/>
      <c r="B111" s="65"/>
      <c r="C111" s="97"/>
    </row>
    <row r="112" spans="1:3" ht="15.5">
      <c r="A112" s="106"/>
      <c r="B112" s="65"/>
      <c r="C112" s="97"/>
    </row>
    <row r="113" spans="1:3" ht="15.5">
      <c r="A113" s="106"/>
      <c r="B113" s="65"/>
      <c r="C113" s="97"/>
    </row>
    <row r="114" spans="1:3" ht="15.5">
      <c r="A114" s="106"/>
      <c r="B114" s="65"/>
      <c r="C114" s="97"/>
    </row>
    <row r="115" spans="1:3" ht="15.5">
      <c r="A115" s="106"/>
      <c r="B115" s="65"/>
      <c r="C115" s="97"/>
    </row>
    <row r="116" spans="1:3" ht="15.5">
      <c r="A116" s="106"/>
      <c r="B116" s="65"/>
      <c r="C116" s="97"/>
    </row>
    <row r="117" spans="1:3" ht="15.5">
      <c r="A117" s="106"/>
      <c r="B117" s="65"/>
      <c r="C117" s="97"/>
    </row>
    <row r="118" spans="1:3" ht="15.5">
      <c r="A118" s="106"/>
      <c r="B118" s="65"/>
      <c r="C118" s="97"/>
    </row>
    <row r="119" spans="1:3" ht="15.5">
      <c r="A119" s="106"/>
      <c r="B119" s="65"/>
      <c r="C119" s="97"/>
    </row>
    <row r="120" spans="1:3" ht="15.5">
      <c r="A120" s="106"/>
      <c r="B120" s="65"/>
      <c r="C120" s="97"/>
    </row>
    <row r="121" spans="1:3" ht="15.5">
      <c r="A121" s="106"/>
      <c r="B121" s="65"/>
      <c r="C121" s="97"/>
    </row>
    <row r="122" spans="1:3" ht="15.5">
      <c r="A122" s="106"/>
      <c r="B122" s="65"/>
      <c r="C122" s="97"/>
    </row>
    <row r="123" spans="1:3" ht="15.5">
      <c r="A123" s="106"/>
      <c r="B123" s="65"/>
      <c r="C123" s="97"/>
    </row>
    <row r="124" spans="1:3" ht="15.5">
      <c r="A124" s="106"/>
      <c r="B124" s="65"/>
      <c r="C124" s="97"/>
    </row>
    <row r="125" spans="1:3" ht="15.5">
      <c r="A125" s="106"/>
      <c r="B125" s="65"/>
      <c r="C125" s="97"/>
    </row>
    <row r="126" spans="1:3" ht="15.5">
      <c r="A126" s="106"/>
      <c r="B126" s="65"/>
      <c r="C126" s="97"/>
    </row>
    <row r="127" spans="1:3" ht="15.5">
      <c r="A127" s="106"/>
      <c r="B127" s="65"/>
      <c r="C127" s="97"/>
    </row>
    <row r="128" spans="1:3" ht="15.5">
      <c r="A128" s="106"/>
      <c r="B128" s="65"/>
      <c r="C128" s="97"/>
    </row>
    <row r="129" spans="1:3" ht="15.5">
      <c r="A129" s="106"/>
      <c r="B129" s="65"/>
      <c r="C129" s="97"/>
    </row>
    <row r="130" spans="1:3" ht="15.5">
      <c r="A130" s="106"/>
      <c r="B130" s="65"/>
      <c r="C130" s="97"/>
    </row>
    <row r="131" spans="1:3" ht="15.5">
      <c r="A131" s="106"/>
      <c r="B131" s="65"/>
      <c r="C131" s="97"/>
    </row>
    <row r="132" spans="1:3" ht="15.5">
      <c r="A132" s="106"/>
      <c r="B132" s="65"/>
      <c r="C132" s="97"/>
    </row>
    <row r="133" spans="1:3" ht="15.5">
      <c r="A133" s="106"/>
      <c r="B133" s="65"/>
      <c r="C133" s="97"/>
    </row>
    <row r="134" spans="1:3" ht="15.5">
      <c r="A134" s="106"/>
      <c r="B134" s="65"/>
      <c r="C134" s="97"/>
    </row>
    <row r="135" spans="1:3" ht="15.5">
      <c r="A135" s="106"/>
      <c r="B135" s="65"/>
      <c r="C135" s="97"/>
    </row>
    <row r="136" spans="1:3" ht="15.5">
      <c r="A136" s="106"/>
      <c r="B136" s="65"/>
      <c r="C136" s="97"/>
    </row>
    <row r="137" spans="1:3" ht="15.5">
      <c r="A137" s="106"/>
      <c r="B137" s="65"/>
      <c r="C137" s="65"/>
    </row>
    <row r="138" spans="1:3" ht="15.5">
      <c r="A138" s="106"/>
      <c r="B138" s="65"/>
      <c r="C138" s="65"/>
    </row>
  </sheetData>
  <pageMargins left="0.7" right="0.7" top="0.75" bottom="0.75" header="0.3" footer="0.3"/>
  <pageSetup orientation="portrait"/>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outlinePr summaryBelow="0" summaryRight="0"/>
  </sheetPr>
  <dimension ref="A1:X79"/>
  <sheetViews>
    <sheetView showGridLines="0" defaultGridColor="0" colorId="22" zoomScale="80" workbookViewId="0">
      <pane xSplit="13" ySplit="5" topLeftCell="N6" activePane="bottomRight" state="frozen"/>
      <selection pane="topRight" activeCell="J6" sqref="J6"/>
      <selection pane="bottomLeft" activeCell="J6" sqref="J6"/>
      <selection pane="bottomRight"/>
    </sheetView>
  </sheetViews>
  <sheetFormatPr defaultColWidth="0" defaultRowHeight="13" outlineLevelRow="2"/>
  <cols>
    <col min="1" max="2" width="1.44140625" style="23" customWidth="1"/>
    <col min="3" max="3" width="1.44140625" style="51" customWidth="1"/>
    <col min="4" max="4" width="1.44140625" style="105" customWidth="1"/>
    <col min="5" max="5" width="71.44140625" style="46" customWidth="1"/>
    <col min="6" max="6" width="16.33203125" style="46" customWidth="1"/>
    <col min="7" max="7" width="15.109375" style="46" customWidth="1"/>
    <col min="8" max="8" width="15.109375" customWidth="1"/>
    <col min="9" max="9" width="59.44140625" style="46" customWidth="1"/>
    <col min="10" max="10" width="15.109375" customWidth="1"/>
    <col min="11" max="11" width="22.33203125" customWidth="1"/>
    <col min="12" max="12" width="15.109375" style="46" customWidth="1"/>
    <col min="13" max="13" width="3.44140625" style="46" customWidth="1"/>
    <col min="14" max="24" width="15.109375" style="46" customWidth="1"/>
    <col min="25" max="25" width="15.109375" style="46" hidden="1" customWidth="1"/>
    <col min="26" max="16384" width="15.109375" style="46" hidden="1"/>
  </cols>
  <sheetData>
    <row r="1" spans="1:24" s="55" customFormat="1" ht="25">
      <c r="A1" s="50" t="str">
        <f ca="1" xml:space="preserve"> RIGHT(CELL("filename", A1), LEN(CELL("filename", A1)) - SEARCH("]", CELL("filename", A1)))</f>
        <v>Inputs</v>
      </c>
      <c r="B1" s="66"/>
      <c r="C1" s="70"/>
      <c r="D1" s="114"/>
      <c r="F1" s="57" t="str">
        <f>HYPERLINK("#Contents!A1","Go to contents")</f>
        <v>Go to contents</v>
      </c>
      <c r="H1" s="89"/>
      <c r="J1" s="89"/>
      <c r="K1" s="89"/>
      <c r="L1" s="43"/>
      <c r="N1" s="43"/>
    </row>
    <row r="2" spans="1:24" s="56" customFormat="1">
      <c r="A2" s="48"/>
      <c r="B2" s="48"/>
      <c r="C2" s="71"/>
      <c r="D2" s="121"/>
      <c r="E2" s="120" t="s">
        <v>10</v>
      </c>
      <c r="F2" s="37"/>
      <c r="G2" s="37"/>
      <c r="H2" s="37"/>
      <c r="I2" s="37"/>
      <c r="J2" s="37"/>
      <c r="K2" s="37"/>
      <c r="L2" s="15"/>
      <c r="M2" s="15"/>
      <c r="N2" s="26">
        <f xml:space="preserve"> Time!N$29</f>
        <v>46022</v>
      </c>
      <c r="O2" s="26">
        <f xml:space="preserve"> Time!O$29</f>
        <v>46387</v>
      </c>
      <c r="P2" s="26">
        <f xml:space="preserve"> Time!P$29</f>
        <v>46752</v>
      </c>
      <c r="Q2" s="26">
        <f xml:space="preserve"> Time!Q$29</f>
        <v>47118</v>
      </c>
      <c r="R2" s="26">
        <f xml:space="preserve"> Time!R$29</f>
        <v>47483</v>
      </c>
      <c r="S2" s="26">
        <f xml:space="preserve"> Time!S$29</f>
        <v>47848</v>
      </c>
      <c r="T2" s="26">
        <f xml:space="preserve"> Time!T$29</f>
        <v>48213</v>
      </c>
      <c r="U2" s="26">
        <f xml:space="preserve"> Time!U$29</f>
        <v>48579</v>
      </c>
      <c r="V2" s="26">
        <f xml:space="preserve"> Time!V$29</f>
        <v>48944</v>
      </c>
      <c r="W2" s="26">
        <f xml:space="preserve"> Time!W$29</f>
        <v>49309</v>
      </c>
      <c r="X2" s="26">
        <f xml:space="preserve"> Time!X$29</f>
        <v>49674</v>
      </c>
    </row>
    <row r="3" spans="1:24" s="56" customFormat="1">
      <c r="A3" s="48"/>
      <c r="B3" s="48"/>
      <c r="C3" s="71"/>
      <c r="D3" s="121"/>
      <c r="E3" s="20" t="s">
        <v>11</v>
      </c>
      <c r="F3" s="37"/>
      <c r="G3" s="37"/>
      <c r="H3" s="37"/>
      <c r="I3" s="37"/>
      <c r="J3" s="37"/>
      <c r="K3" s="37"/>
      <c r="L3" s="15"/>
      <c r="M3" s="15"/>
      <c r="N3" s="24" t="str">
        <f t="shared" ref="N3:X3" si="0" xml:space="preserve"> N$76</f>
        <v>NR23</v>
      </c>
      <c r="O3" s="24" t="str">
        <f t="shared" si="0"/>
        <v>NR23</v>
      </c>
      <c r="P3" s="24" t="str">
        <f t="shared" si="0"/>
        <v>NR23</v>
      </c>
      <c r="Q3" s="24" t="str">
        <f t="shared" si="0"/>
        <v>NR28</v>
      </c>
      <c r="R3" s="24" t="str">
        <f t="shared" si="0"/>
        <v>NR28</v>
      </c>
      <c r="S3" s="24" t="str">
        <f t="shared" si="0"/>
        <v>NR28</v>
      </c>
      <c r="T3" s="24" t="str">
        <f t="shared" si="0"/>
        <v>NR28</v>
      </c>
      <c r="U3" s="24" t="str">
        <f t="shared" si="0"/>
        <v>NR28</v>
      </c>
      <c r="V3" s="24" t="str">
        <f t="shared" si="0"/>
        <v>NR33</v>
      </c>
      <c r="W3" s="24" t="str">
        <f t="shared" si="0"/>
        <v>NR33</v>
      </c>
      <c r="X3" s="24" t="str">
        <f t="shared" si="0"/>
        <v>NR33</v>
      </c>
    </row>
    <row r="4" spans="1:24" s="56" customFormat="1">
      <c r="A4" s="48"/>
      <c r="B4" s="48"/>
      <c r="C4" s="71"/>
      <c r="D4" s="121"/>
      <c r="E4" s="36" t="s">
        <v>12</v>
      </c>
      <c r="F4" s="46"/>
      <c r="G4" s="46"/>
      <c r="H4"/>
      <c r="I4" s="31"/>
      <c r="J4"/>
      <c r="K4"/>
      <c r="L4" s="15"/>
      <c r="M4" s="15"/>
      <c r="N4" s="36">
        <f xml:space="preserve"> Time!N$33</f>
        <v>1</v>
      </c>
      <c r="O4" s="36">
        <f xml:space="preserve"> Time!O$33</f>
        <v>2</v>
      </c>
      <c r="P4" s="36">
        <f xml:space="preserve"> Time!P$33</f>
        <v>3</v>
      </c>
      <c r="Q4" s="36">
        <f xml:space="preserve"> Time!Q$33</f>
        <v>4</v>
      </c>
      <c r="R4" s="36">
        <f xml:space="preserve"> Time!R$33</f>
        <v>5</v>
      </c>
      <c r="S4" s="36">
        <f xml:space="preserve"> Time!S$33</f>
        <v>6</v>
      </c>
      <c r="T4" s="36">
        <f xml:space="preserve"> Time!T$33</f>
        <v>7</v>
      </c>
      <c r="U4" s="36">
        <f xml:space="preserve"> Time!U$33</f>
        <v>8</v>
      </c>
      <c r="V4" s="36">
        <f xml:space="preserve"> Time!V$33</f>
        <v>9</v>
      </c>
      <c r="W4" s="36">
        <f xml:space="preserve"> Time!W$33</f>
        <v>10</v>
      </c>
      <c r="X4" s="36">
        <f xml:space="preserve"> Time!X$33</f>
        <v>11</v>
      </c>
    </row>
    <row r="5" spans="1:24" s="56" customFormat="1">
      <c r="A5" s="48"/>
      <c r="B5" s="48"/>
      <c r="C5" s="71"/>
      <c r="D5" s="121"/>
      <c r="E5" s="20" t="s">
        <v>13</v>
      </c>
      <c r="F5" s="23" t="s">
        <v>14</v>
      </c>
      <c r="G5" s="23" t="s">
        <v>15</v>
      </c>
      <c r="H5" s="38" t="s">
        <v>16</v>
      </c>
      <c r="I5" s="23" t="s">
        <v>17</v>
      </c>
      <c r="J5" s="38" t="s">
        <v>18</v>
      </c>
      <c r="K5" s="38"/>
      <c r="L5" s="23" t="s">
        <v>19</v>
      </c>
      <c r="M5" s="15"/>
      <c r="N5" s="20"/>
      <c r="O5" s="20"/>
      <c r="P5" s="20"/>
      <c r="Q5" s="20"/>
      <c r="R5" s="20"/>
      <c r="S5" s="20"/>
    </row>
    <row r="6" spans="1:24">
      <c r="H6" s="38"/>
      <c r="I6" s="23"/>
      <c r="J6" s="38"/>
      <c r="K6" s="38"/>
    </row>
    <row r="7" spans="1:24">
      <c r="I7" s="23"/>
    </row>
    <row r="8" spans="1:24">
      <c r="A8" s="23" t="s">
        <v>20</v>
      </c>
      <c r="H8" s="33"/>
      <c r="I8" s="31"/>
      <c r="J8" s="33"/>
      <c r="K8" s="33"/>
    </row>
    <row r="9" spans="1:24">
      <c r="H9" s="33"/>
      <c r="I9" s="31"/>
      <c r="J9" s="33"/>
      <c r="K9" s="33"/>
    </row>
    <row r="10" spans="1:24" outlineLevel="1">
      <c r="A10" s="23" t="s">
        <v>21</v>
      </c>
      <c r="H10" s="33"/>
      <c r="I10" s="31"/>
      <c r="J10" s="33"/>
      <c r="K10" s="33"/>
    </row>
    <row r="11" spans="1:24" outlineLevel="1">
      <c r="E11" s="31" t="s">
        <v>22</v>
      </c>
      <c r="F11" s="91">
        <v>46022</v>
      </c>
      <c r="G11" s="31" t="s">
        <v>23</v>
      </c>
      <c r="H11" s="33"/>
      <c r="I11" s="31"/>
      <c r="J11" s="33"/>
      <c r="K11" s="33"/>
    </row>
    <row r="12" spans="1:24" outlineLevel="1">
      <c r="E12" s="31" t="s">
        <v>24</v>
      </c>
      <c r="F12" s="91">
        <v>46387</v>
      </c>
      <c r="G12" s="31" t="s">
        <v>23</v>
      </c>
      <c r="H12" s="33"/>
      <c r="I12" s="31"/>
      <c r="J12" s="33"/>
      <c r="K12" s="33"/>
    </row>
    <row r="13" spans="1:24" outlineLevel="1">
      <c r="E13" s="31" t="s">
        <v>25</v>
      </c>
      <c r="F13" s="91">
        <v>47483</v>
      </c>
      <c r="G13" s="31" t="s">
        <v>23</v>
      </c>
      <c r="H13" s="33"/>
      <c r="I13" s="31"/>
      <c r="J13" s="33"/>
      <c r="K13" s="33"/>
    </row>
    <row r="14" spans="1:24">
      <c r="E14" s="31" t="s">
        <v>26</v>
      </c>
      <c r="F14" s="91">
        <v>46722</v>
      </c>
      <c r="G14" s="31" t="s">
        <v>23</v>
      </c>
      <c r="H14" s="33"/>
      <c r="I14" s="31"/>
      <c r="J14" s="33"/>
      <c r="K14" s="33"/>
    </row>
    <row r="15" spans="1:24">
      <c r="E15" s="31" t="s">
        <v>27</v>
      </c>
      <c r="F15" s="91">
        <v>46752</v>
      </c>
      <c r="G15" s="31" t="s">
        <v>23</v>
      </c>
      <c r="H15" s="34"/>
      <c r="I15" s="31"/>
      <c r="J15" s="34"/>
      <c r="K15" s="34"/>
    </row>
    <row r="16" spans="1:24">
      <c r="E16" s="31" t="s">
        <v>28</v>
      </c>
      <c r="F16" s="91">
        <v>49674</v>
      </c>
      <c r="G16" s="31" t="s">
        <v>23</v>
      </c>
      <c r="H16" s="33"/>
      <c r="I16" s="31"/>
      <c r="J16" s="33"/>
      <c r="K16" s="33"/>
    </row>
    <row r="17" spans="1:11">
      <c r="H17" s="33"/>
      <c r="I17" s="31"/>
      <c r="J17" s="33"/>
      <c r="K17" s="33"/>
    </row>
    <row r="18" spans="1:11" outlineLevel="1">
      <c r="A18" s="23" t="s">
        <v>29</v>
      </c>
      <c r="H18" s="33"/>
      <c r="I18" s="31"/>
      <c r="J18" s="33"/>
      <c r="K18" s="33"/>
    </row>
    <row r="19" spans="1:11" outlineLevel="1">
      <c r="E19" s="31" t="s">
        <v>30</v>
      </c>
      <c r="F19" s="91">
        <v>45658</v>
      </c>
      <c r="G19" s="31" t="s">
        <v>23</v>
      </c>
      <c r="H19" s="33"/>
      <c r="I19" s="31"/>
      <c r="J19" s="33"/>
      <c r="K19" s="33"/>
    </row>
    <row r="20" spans="1:11" outlineLevel="1">
      <c r="E20" s="31" t="s">
        <v>31</v>
      </c>
      <c r="F20" s="25">
        <v>12</v>
      </c>
      <c r="G20" s="31" t="s">
        <v>32</v>
      </c>
      <c r="H20" s="33"/>
      <c r="I20" s="31"/>
      <c r="J20" s="33"/>
      <c r="K20" s="33"/>
    </row>
    <row r="21" spans="1:11" outlineLevel="1">
      <c r="E21" s="31" t="s">
        <v>33</v>
      </c>
      <c r="F21" s="25">
        <v>12</v>
      </c>
      <c r="G21" s="31"/>
      <c r="H21" s="33"/>
      <c r="I21" s="31"/>
      <c r="J21" s="33"/>
      <c r="K21" s="33"/>
    </row>
    <row r="22" spans="1:11">
      <c r="H22" s="33"/>
      <c r="I22" s="31"/>
      <c r="J22" s="33"/>
      <c r="K22" s="33"/>
    </row>
    <row r="23" spans="1:11" outlineLevel="1">
      <c r="A23" s="23" t="s">
        <v>34</v>
      </c>
      <c r="H23" s="41"/>
      <c r="I23" s="31"/>
      <c r="J23" s="41"/>
      <c r="K23" s="41"/>
    </row>
    <row r="24" spans="1:11" ht="13.5" customHeight="1" outlineLevel="1">
      <c r="E24" s="58" t="s">
        <v>35</v>
      </c>
      <c r="F24" s="86">
        <v>1.24E-2</v>
      </c>
      <c r="G24" s="31" t="s">
        <v>36</v>
      </c>
      <c r="H24" s="41"/>
      <c r="I24" s="31"/>
      <c r="J24" s="31" t="s">
        <v>37</v>
      </c>
      <c r="K24" s="41"/>
    </row>
    <row r="25" spans="1:11" ht="13.5" customHeight="1" outlineLevel="1">
      <c r="E25" s="58" t="s">
        <v>38</v>
      </c>
      <c r="F25" s="86">
        <v>0.03</v>
      </c>
      <c r="G25" s="31" t="s">
        <v>36</v>
      </c>
      <c r="H25" s="41"/>
      <c r="I25" s="31"/>
      <c r="J25" s="31" t="s">
        <v>37</v>
      </c>
      <c r="K25" s="41"/>
    </row>
    <row r="26" spans="1:11" outlineLevel="1">
      <c r="E26" s="31" t="s">
        <v>39</v>
      </c>
      <c r="F26" s="91">
        <v>46022</v>
      </c>
      <c r="G26" s="31" t="s">
        <v>23</v>
      </c>
      <c r="H26" s="41"/>
      <c r="I26" s="31"/>
      <c r="J26" s="31" t="s">
        <v>40</v>
      </c>
      <c r="K26" s="41"/>
    </row>
    <row r="27" spans="1:11" outlineLevel="1">
      <c r="E27" s="31" t="s">
        <v>41</v>
      </c>
      <c r="F27" s="102">
        <v>2</v>
      </c>
      <c r="G27" s="31" t="s">
        <v>42</v>
      </c>
      <c r="H27" s="34"/>
      <c r="I27" s="31"/>
      <c r="J27" s="31" t="s">
        <v>37</v>
      </c>
      <c r="K27" s="34"/>
    </row>
    <row r="28" spans="1:11" outlineLevel="1">
      <c r="E28" s="31" t="s">
        <v>43</v>
      </c>
      <c r="F28" s="94">
        <v>0.25</v>
      </c>
      <c r="G28" s="31"/>
      <c r="H28" s="33"/>
      <c r="I28" s="31" t="s">
        <v>44</v>
      </c>
      <c r="J28" s="31" t="s">
        <v>37</v>
      </c>
      <c r="K28" s="33"/>
    </row>
    <row r="29" spans="1:11" outlineLevel="1">
      <c r="E29" s="31" t="s">
        <v>45</v>
      </c>
      <c r="F29" s="25">
        <v>10</v>
      </c>
      <c r="G29" s="31" t="s">
        <v>46</v>
      </c>
      <c r="H29" s="33"/>
      <c r="I29" s="31" t="s">
        <v>47</v>
      </c>
      <c r="J29" s="31" t="s">
        <v>37</v>
      </c>
      <c r="K29" s="33"/>
    </row>
    <row r="30" spans="1:11" outlineLevel="1">
      <c r="E30" s="31" t="s">
        <v>48</v>
      </c>
      <c r="F30" s="94">
        <v>1</v>
      </c>
      <c r="G30" s="31" t="s">
        <v>36</v>
      </c>
      <c r="H30" s="33"/>
      <c r="I30" s="31" t="s">
        <v>47</v>
      </c>
      <c r="J30" s="31" t="s">
        <v>37</v>
      </c>
      <c r="K30" s="33"/>
    </row>
    <row r="31" spans="1:11" outlineLevel="1">
      <c r="E31" s="31" t="s">
        <v>49</v>
      </c>
      <c r="F31" s="102">
        <v>1.02</v>
      </c>
      <c r="G31" s="31" t="s">
        <v>42</v>
      </c>
      <c r="H31" s="33"/>
      <c r="I31" s="31" t="s">
        <v>47</v>
      </c>
      <c r="J31" s="31" t="s">
        <v>37</v>
      </c>
      <c r="K31" s="33"/>
    </row>
    <row r="32" spans="1:11" outlineLevel="1">
      <c r="E32" s="31" t="s">
        <v>50</v>
      </c>
      <c r="F32" s="25">
        <v>133.85316666666699</v>
      </c>
      <c r="G32" s="31" t="s">
        <v>51</v>
      </c>
      <c r="H32" s="41"/>
      <c r="I32" s="31" t="s">
        <v>52</v>
      </c>
      <c r="J32" s="31" t="s">
        <v>40</v>
      </c>
      <c r="K32" s="41"/>
    </row>
    <row r="33" spans="2:24" outlineLevel="1">
      <c r="E33" s="58" t="s">
        <v>53</v>
      </c>
      <c r="F33" s="86">
        <v>0.01</v>
      </c>
      <c r="G33" s="31" t="s">
        <v>36</v>
      </c>
      <c r="H33" s="41"/>
      <c r="I33" s="31" t="s">
        <v>47</v>
      </c>
      <c r="J33" s="31" t="s">
        <v>37</v>
      </c>
      <c r="K33" s="41"/>
    </row>
    <row r="34" spans="2:24" outlineLevel="1">
      <c r="E34" s="58" t="s">
        <v>54</v>
      </c>
      <c r="F34" s="86">
        <v>0</v>
      </c>
      <c r="G34" s="31" t="s">
        <v>36</v>
      </c>
      <c r="H34" s="41"/>
      <c r="I34" s="31" t="s">
        <v>47</v>
      </c>
      <c r="J34" s="31" t="s">
        <v>37</v>
      </c>
      <c r="K34" s="41"/>
    </row>
    <row r="35" spans="2:24" ht="25" outlineLevel="1">
      <c r="E35" s="31" t="s">
        <v>55</v>
      </c>
      <c r="F35" s="25">
        <v>130</v>
      </c>
      <c r="G35" s="31"/>
      <c r="H35" s="34"/>
      <c r="I35" s="134" t="s">
        <v>56</v>
      </c>
      <c r="J35" s="31" t="s">
        <v>40</v>
      </c>
      <c r="K35" s="34"/>
    </row>
    <row r="36" spans="2:24" outlineLevel="1">
      <c r="E36" s="31" t="s">
        <v>57</v>
      </c>
      <c r="F36" s="25">
        <v>75.2</v>
      </c>
      <c r="G36" s="31" t="s">
        <v>58</v>
      </c>
      <c r="I36" s="31" t="s">
        <v>59</v>
      </c>
      <c r="J36" s="31" t="s">
        <v>40</v>
      </c>
    </row>
    <row r="37" spans="2:24" outlineLevel="1">
      <c r="I37" s="31"/>
      <c r="L37" s="133"/>
    </row>
    <row r="38" spans="2:24" outlineLevel="2">
      <c r="B38" s="23" t="s">
        <v>60</v>
      </c>
      <c r="I38" s="31"/>
    </row>
    <row r="39" spans="2:24" outlineLevel="2">
      <c r="E39" s="31" t="s">
        <v>61</v>
      </c>
      <c r="G39" s="31" t="s">
        <v>62</v>
      </c>
      <c r="I39" s="31" t="s">
        <v>63</v>
      </c>
      <c r="J39" s="31" t="s">
        <v>37</v>
      </c>
      <c r="L39" s="46">
        <f t="shared" ref="L39:L41" si="1" xml:space="preserve"> SUM( N39:X39 )</f>
        <v>83623.945717984461</v>
      </c>
      <c r="N39" s="25">
        <v>2650.5001220490235</v>
      </c>
      <c r="O39" s="25">
        <v>10893.158942652908</v>
      </c>
      <c r="P39" s="25">
        <v>9866.2664723040889</v>
      </c>
      <c r="Q39" s="25">
        <v>9700.9676942234419</v>
      </c>
      <c r="R39" s="25">
        <v>10476.354493357156</v>
      </c>
      <c r="S39" s="25">
        <v>7861.8510280492073</v>
      </c>
      <c r="T39" s="25">
        <v>6434.9693930697294</v>
      </c>
      <c r="U39" s="25">
        <v>6434.9693930697294</v>
      </c>
      <c r="V39" s="25">
        <v>6434.9693930697294</v>
      </c>
      <c r="W39" s="25">
        <v>6434.9693930697294</v>
      </c>
      <c r="X39" s="25">
        <v>6434.9693930697294</v>
      </c>
    </row>
    <row r="40" spans="2:24" outlineLevel="2">
      <c r="E40" s="31" t="s">
        <v>64</v>
      </c>
      <c r="G40" s="31" t="s">
        <v>62</v>
      </c>
      <c r="I40" s="31" t="s">
        <v>63</v>
      </c>
      <c r="J40" s="31" t="s">
        <v>37</v>
      </c>
      <c r="L40" s="46">
        <f t="shared" si="1"/>
        <v>61191.630034469679</v>
      </c>
      <c r="N40" s="25">
        <v>2120.400097639219</v>
      </c>
      <c r="O40" s="25">
        <v>7573.021846138744</v>
      </c>
      <c r="P40" s="25">
        <v>6751.5078698596899</v>
      </c>
      <c r="Q40" s="25">
        <v>6619.2688473951703</v>
      </c>
      <c r="R40" s="25">
        <v>7239.5782867021426</v>
      </c>
      <c r="S40" s="25">
        <v>5147.975514455783</v>
      </c>
      <c r="T40" s="25">
        <v>5147.975514455783</v>
      </c>
      <c r="U40" s="25">
        <v>5147.975514455783</v>
      </c>
      <c r="V40" s="25">
        <v>5147.975514455783</v>
      </c>
      <c r="W40" s="25">
        <v>5147.975514455783</v>
      </c>
      <c r="X40" s="25">
        <v>5147.975514455783</v>
      </c>
    </row>
    <row r="41" spans="2:24" outlineLevel="2">
      <c r="E41" s="31" t="s">
        <v>65</v>
      </c>
      <c r="G41" s="31" t="s">
        <v>62</v>
      </c>
      <c r="I41" s="31" t="s">
        <v>63</v>
      </c>
      <c r="J41" s="31" t="s">
        <v>37</v>
      </c>
      <c r="L41" s="46">
        <f t="shared" si="1"/>
        <v>74380.773437852215</v>
      </c>
      <c r="N41" s="25">
        <v>2438.4601122851013</v>
      </c>
      <c r="O41" s="25">
        <v>9511.0549027019752</v>
      </c>
      <c r="P41" s="25">
        <v>8566.3138299810635</v>
      </c>
      <c r="Q41" s="25">
        <v>8414.2389541468656</v>
      </c>
      <c r="R41" s="25">
        <v>9127.5948093498828</v>
      </c>
      <c r="S41" s="25">
        <v>6722.2516212665705</v>
      </c>
      <c r="T41" s="25">
        <v>5920.1718416241501</v>
      </c>
      <c r="U41" s="25">
        <v>5920.1718416241501</v>
      </c>
      <c r="V41" s="25">
        <v>5920.1718416241501</v>
      </c>
      <c r="W41" s="25">
        <v>5920.1718416241501</v>
      </c>
      <c r="X41" s="25">
        <v>5920.1718416241501</v>
      </c>
    </row>
    <row r="42" spans="2:24" outlineLevel="2">
      <c r="I42" s="31"/>
    </row>
    <row r="43" spans="2:24" outlineLevel="2">
      <c r="E43" s="31" t="s">
        <v>66</v>
      </c>
      <c r="G43" s="31" t="s">
        <v>62</v>
      </c>
      <c r="I43" s="31" t="s">
        <v>63</v>
      </c>
      <c r="J43" s="31" t="s">
        <v>37</v>
      </c>
      <c r="L43" s="46">
        <f t="shared" ref="L43:L45" si="2" xml:space="preserve"> SUM( N43:X43 )</f>
        <v>166815.25</v>
      </c>
      <c r="N43" s="25">
        <v>9593.375</v>
      </c>
      <c r="O43" s="25">
        <v>11026.25</v>
      </c>
      <c r="P43" s="25">
        <v>21126.25</v>
      </c>
      <c r="Q43" s="25">
        <v>12582.5</v>
      </c>
      <c r="R43" s="25">
        <v>21126.25</v>
      </c>
      <c r="S43" s="25">
        <v>12582.5</v>
      </c>
      <c r="T43" s="25">
        <v>21126.25</v>
      </c>
      <c r="U43" s="25">
        <v>12582.5</v>
      </c>
      <c r="V43" s="25">
        <v>19904.375</v>
      </c>
      <c r="W43" s="25">
        <v>12582.5</v>
      </c>
      <c r="X43" s="25">
        <v>12582.5</v>
      </c>
    </row>
    <row r="44" spans="2:24" outlineLevel="2">
      <c r="E44" s="31" t="s">
        <v>67</v>
      </c>
      <c r="G44" s="31" t="s">
        <v>62</v>
      </c>
      <c r="I44" s="31" t="s">
        <v>63</v>
      </c>
      <c r="J44" s="31" t="s">
        <v>37</v>
      </c>
      <c r="L44" s="46">
        <f t="shared" si="2"/>
        <v>104556.39999999998</v>
      </c>
      <c r="N44" s="25">
        <v>6167.4</v>
      </c>
      <c r="O44" s="25">
        <v>7302.15</v>
      </c>
      <c r="P44" s="25">
        <v>12332.15</v>
      </c>
      <c r="Q44" s="25">
        <v>8547.15</v>
      </c>
      <c r="R44" s="25">
        <v>12332.15</v>
      </c>
      <c r="S44" s="25">
        <v>8547.15</v>
      </c>
      <c r="T44" s="25">
        <v>12332.15</v>
      </c>
      <c r="U44" s="25">
        <v>8547.15</v>
      </c>
      <c r="V44" s="25">
        <v>11354.65</v>
      </c>
      <c r="W44" s="25">
        <v>8547.15</v>
      </c>
      <c r="X44" s="25">
        <v>8547.15</v>
      </c>
    </row>
    <row r="45" spans="2:24" outlineLevel="2">
      <c r="E45" s="31" t="s">
        <v>68</v>
      </c>
      <c r="G45" s="31" t="s">
        <v>62</v>
      </c>
      <c r="I45" s="31" t="s">
        <v>63</v>
      </c>
      <c r="J45" s="31" t="s">
        <v>37</v>
      </c>
      <c r="L45" s="46">
        <f t="shared" si="2"/>
        <v>127391.93999999996</v>
      </c>
      <c r="N45" s="25">
        <v>7484.3149999999987</v>
      </c>
      <c r="O45" s="25">
        <v>8792.9</v>
      </c>
      <c r="P45" s="25">
        <v>15278.899999999998</v>
      </c>
      <c r="Q45" s="25">
        <v>10224.65</v>
      </c>
      <c r="R45" s="25">
        <v>15278.899999999998</v>
      </c>
      <c r="S45" s="25">
        <v>10224.65</v>
      </c>
      <c r="T45" s="25">
        <v>15278.899999999998</v>
      </c>
      <c r="U45" s="25">
        <v>10224.65</v>
      </c>
      <c r="V45" s="25">
        <v>14154.774999999998</v>
      </c>
      <c r="W45" s="25">
        <v>10224.65</v>
      </c>
      <c r="X45" s="25">
        <v>10224.65</v>
      </c>
    </row>
    <row r="46" spans="2:24" outlineLevel="2">
      <c r="I46" s="31"/>
    </row>
    <row r="47" spans="2:24" outlineLevel="2">
      <c r="E47" s="31" t="s">
        <v>69</v>
      </c>
      <c r="F47" s="25" t="s">
        <v>70</v>
      </c>
      <c r="G47" s="31"/>
      <c r="I47" s="31"/>
    </row>
    <row r="48" spans="2:24" outlineLevel="2">
      <c r="E48" s="31" t="s">
        <v>71</v>
      </c>
      <c r="F48" s="25" t="s">
        <v>70</v>
      </c>
      <c r="G48" s="31"/>
      <c r="I48" s="31"/>
    </row>
    <row r="49" spans="3:24" outlineLevel="2">
      <c r="I49" s="31"/>
    </row>
    <row r="50" spans="3:24" outlineLevel="2">
      <c r="C50" s="119" t="s">
        <v>72</v>
      </c>
      <c r="I50" s="31"/>
    </row>
    <row r="51" spans="3:24" outlineLevel="2">
      <c r="E51" s="31" t="s">
        <v>73</v>
      </c>
      <c r="G51" s="31" t="s">
        <v>51</v>
      </c>
      <c r="I51" s="31" t="s">
        <v>52</v>
      </c>
      <c r="J51" s="31" t="s">
        <v>40</v>
      </c>
      <c r="L51" s="46">
        <f t="shared" ref="L51:L53" si="3" xml:space="preserve"> SUM( N51:X51 )</f>
        <v>719.39454688976309</v>
      </c>
      <c r="N51" s="25">
        <v>138.153850729889</v>
      </c>
      <c r="O51" s="25">
        <v>141.033957438817</v>
      </c>
      <c r="P51" s="25">
        <v>143.83924602398201</v>
      </c>
      <c r="Q51" s="25">
        <v>146.71663933540901</v>
      </c>
      <c r="R51" s="25">
        <v>149.65085336166601</v>
      </c>
      <c r="S51" s="25"/>
      <c r="T51" s="25"/>
      <c r="U51" s="25"/>
      <c r="V51" s="25"/>
      <c r="W51" s="25"/>
      <c r="X51" s="25"/>
    </row>
    <row r="52" spans="3:24" ht="25" outlineLevel="2">
      <c r="E52" s="31" t="s">
        <v>74</v>
      </c>
      <c r="G52" s="113" t="s">
        <v>75</v>
      </c>
      <c r="I52" s="135" t="s">
        <v>76</v>
      </c>
      <c r="J52" s="31" t="s">
        <v>37</v>
      </c>
      <c r="L52" s="46">
        <f t="shared" si="3"/>
        <v>29269</v>
      </c>
      <c r="N52" s="25">
        <v>2510</v>
      </c>
      <c r="O52" s="25">
        <v>2536</v>
      </c>
      <c r="P52" s="25">
        <v>2568</v>
      </c>
      <c r="Q52" s="25">
        <v>2606</v>
      </c>
      <c r="R52" s="25">
        <v>2630</v>
      </c>
      <c r="S52" s="25">
        <v>2661</v>
      </c>
      <c r="T52" s="25">
        <v>2689</v>
      </c>
      <c r="U52" s="25">
        <v>2720</v>
      </c>
      <c r="V52" s="25">
        <v>2751</v>
      </c>
      <c r="W52" s="25">
        <v>2783</v>
      </c>
      <c r="X52" s="25">
        <v>2815</v>
      </c>
    </row>
    <row r="53" spans="3:24" ht="25" outlineLevel="2">
      <c r="E53" s="31" t="s">
        <v>77</v>
      </c>
      <c r="G53" s="113" t="s">
        <v>75</v>
      </c>
      <c r="I53" s="135" t="s">
        <v>76</v>
      </c>
      <c r="J53" s="31" t="s">
        <v>37</v>
      </c>
      <c r="L53" s="46">
        <f t="shared" si="3"/>
        <v>148622</v>
      </c>
      <c r="N53" s="25">
        <v>12392</v>
      </c>
      <c r="O53" s="25">
        <v>12580</v>
      </c>
      <c r="P53" s="25">
        <v>12818</v>
      </c>
      <c r="Q53" s="25">
        <v>13082</v>
      </c>
      <c r="R53" s="25">
        <v>13278</v>
      </c>
      <c r="S53" s="25">
        <v>13507</v>
      </c>
      <c r="T53" s="25">
        <v>13717</v>
      </c>
      <c r="U53" s="25">
        <v>13951</v>
      </c>
      <c r="V53" s="25">
        <v>14189</v>
      </c>
      <c r="W53" s="25">
        <v>14431</v>
      </c>
      <c r="X53" s="25">
        <v>14677</v>
      </c>
    </row>
    <row r="54" spans="3:24" outlineLevel="2">
      <c r="I54" s="31"/>
    </row>
    <row r="55" spans="3:24" outlineLevel="2">
      <c r="D55" s="123" t="s">
        <v>78</v>
      </c>
      <c r="I55" s="31"/>
    </row>
    <row r="56" spans="3:24" outlineLevel="2">
      <c r="E56" s="31" t="s">
        <v>79</v>
      </c>
      <c r="F56" s="25">
        <v>1</v>
      </c>
      <c r="G56" s="31"/>
      <c r="I56" s="31"/>
    </row>
    <row r="57" spans="3:24" outlineLevel="2">
      <c r="E57" s="31" t="s">
        <v>80</v>
      </c>
      <c r="F57" s="25">
        <v>2</v>
      </c>
      <c r="G57" s="31"/>
      <c r="I57" s="31"/>
    </row>
    <row r="58" spans="3:24" outlineLevel="2">
      <c r="E58" s="31" t="s">
        <v>81</v>
      </c>
      <c r="F58" s="25">
        <v>3</v>
      </c>
      <c r="G58" s="31"/>
      <c r="I58" s="31"/>
    </row>
    <row r="59" spans="3:24" outlineLevel="2">
      <c r="E59" s="31" t="s">
        <v>82</v>
      </c>
      <c r="F59" s="25">
        <v>4</v>
      </c>
      <c r="G59" s="31"/>
      <c r="I59" s="31"/>
    </row>
    <row r="60" spans="3:24" outlineLevel="2">
      <c r="E60" s="31" t="s">
        <v>83</v>
      </c>
      <c r="F60" s="25">
        <v>5</v>
      </c>
      <c r="G60" s="31"/>
      <c r="I60" s="31"/>
    </row>
    <row r="61" spans="3:24" outlineLevel="2">
      <c r="E61" s="31" t="s">
        <v>84</v>
      </c>
      <c r="F61" s="25">
        <v>6</v>
      </c>
      <c r="G61" s="31"/>
      <c r="I61" s="31"/>
    </row>
    <row r="62" spans="3:24" outlineLevel="2">
      <c r="E62" s="31" t="s">
        <v>85</v>
      </c>
      <c r="F62" s="25">
        <v>7</v>
      </c>
      <c r="G62" s="31"/>
      <c r="I62" s="31"/>
    </row>
    <row r="63" spans="3:24" outlineLevel="2">
      <c r="E63" s="31" t="s">
        <v>86</v>
      </c>
      <c r="F63" s="25">
        <v>8</v>
      </c>
      <c r="G63" s="31"/>
      <c r="I63" s="31"/>
    </row>
    <row r="64" spans="3:24" outlineLevel="2">
      <c r="E64" s="31" t="s">
        <v>87</v>
      </c>
      <c r="F64" s="25">
        <v>9</v>
      </c>
      <c r="G64" s="31"/>
      <c r="I64" s="31"/>
    </row>
    <row r="65" spans="1:24" outlineLevel="2">
      <c r="E65" s="31" t="s">
        <v>88</v>
      </c>
      <c r="F65" s="25">
        <v>10</v>
      </c>
      <c r="G65" s="31"/>
      <c r="I65" s="31"/>
    </row>
    <row r="66" spans="1:24" outlineLevel="2">
      <c r="E66" s="31" t="s">
        <v>89</v>
      </c>
      <c r="F66" s="25">
        <v>11</v>
      </c>
      <c r="G66" s="31"/>
      <c r="I66" s="31"/>
    </row>
    <row r="67" spans="1:24" outlineLevel="2">
      <c r="I67" s="31"/>
    </row>
    <row r="68" spans="1:24" outlineLevel="2">
      <c r="E68" s="58" t="s">
        <v>90</v>
      </c>
      <c r="F68" s="94">
        <v>1</v>
      </c>
      <c r="G68" s="31" t="s">
        <v>36</v>
      </c>
      <c r="I68" s="31" t="s">
        <v>47</v>
      </c>
      <c r="J68" s="31" t="s">
        <v>91</v>
      </c>
    </row>
    <row r="69" spans="1:24" outlineLevel="2">
      <c r="E69" s="58" t="s">
        <v>92</v>
      </c>
      <c r="F69" s="94">
        <v>1</v>
      </c>
      <c r="G69" s="31" t="s">
        <v>36</v>
      </c>
      <c r="I69" s="31" t="s">
        <v>47</v>
      </c>
      <c r="J69" s="31" t="s">
        <v>91</v>
      </c>
    </row>
    <row r="70" spans="1:24" outlineLevel="1">
      <c r="E70" s="31" t="s">
        <v>93</v>
      </c>
      <c r="F70" s="86">
        <v>3.5000000000000003E-2</v>
      </c>
      <c r="G70" s="31" t="s">
        <v>36</v>
      </c>
      <c r="I70" s="137" t="s">
        <v>94</v>
      </c>
      <c r="J70" s="31" t="s">
        <v>40</v>
      </c>
    </row>
    <row r="71" spans="1:24">
      <c r="I71" s="31"/>
    </row>
    <row r="72" spans="1:24">
      <c r="I72" s="31"/>
    </row>
    <row r="73" spans="1:24" outlineLevel="1">
      <c r="A73" s="23" t="s">
        <v>95</v>
      </c>
      <c r="I73" s="31"/>
    </row>
    <row r="74" spans="1:24" outlineLevel="1" collapsed="1">
      <c r="I74" s="31"/>
    </row>
    <row r="75" spans="1:24" hidden="1" outlineLevel="2">
      <c r="A75" s="23" t="s">
        <v>29</v>
      </c>
      <c r="I75" s="31"/>
    </row>
    <row r="76" spans="1:24" s="107" customFormat="1" hidden="1" outlineLevel="2">
      <c r="A76" s="104"/>
      <c r="B76" s="104"/>
      <c r="C76" s="108"/>
      <c r="D76" s="117"/>
      <c r="E76" s="77" t="s">
        <v>96</v>
      </c>
      <c r="F76" s="77"/>
      <c r="G76" s="77"/>
      <c r="H76" s="77"/>
      <c r="I76" s="77"/>
      <c r="J76" s="77"/>
      <c r="K76" s="77"/>
      <c r="L76" s="77">
        <f xml:space="preserve"> SUM( N76:X76 )</f>
        <v>0</v>
      </c>
      <c r="M76" s="77"/>
      <c r="N76" s="54" t="s">
        <v>97</v>
      </c>
      <c r="O76" s="54" t="s">
        <v>97</v>
      </c>
      <c r="P76" s="54" t="s">
        <v>97</v>
      </c>
      <c r="Q76" s="54" t="s">
        <v>98</v>
      </c>
      <c r="R76" s="54" t="s">
        <v>98</v>
      </c>
      <c r="S76" s="54" t="s">
        <v>98</v>
      </c>
      <c r="T76" s="54" t="s">
        <v>98</v>
      </c>
      <c r="U76" s="54" t="s">
        <v>98</v>
      </c>
      <c r="V76" s="54" t="s">
        <v>99</v>
      </c>
      <c r="W76" s="54" t="s">
        <v>99</v>
      </c>
      <c r="X76" s="54" t="s">
        <v>99</v>
      </c>
    </row>
    <row r="77" spans="1:24">
      <c r="I77" s="31"/>
    </row>
    <row r="78" spans="1:24">
      <c r="I78" s="31"/>
    </row>
    <row r="79" spans="1:24">
      <c r="A79" s="23" t="s">
        <v>100</v>
      </c>
      <c r="I79" s="31"/>
    </row>
  </sheetData>
  <conditionalFormatting sqref="N3:X3">
    <cfRule type="cellIs" dxfId="4" priority="3" operator="equal">
      <formula>"PPA ext."</formula>
    </cfRule>
    <cfRule type="cellIs" dxfId="3" priority="4" operator="equal">
      <formula>"Delay"</formula>
    </cfRule>
    <cfRule type="cellIs" dxfId="2" priority="5" operator="equal">
      <formula>"Fin Close"</formula>
    </cfRule>
    <cfRule type="cellIs" dxfId="1" priority="6" stopIfTrue="1" operator="equal">
      <formula>"Construction"</formula>
    </cfRule>
    <cfRule type="cellIs" dxfId="0" priority="7" stopIfTrue="1" operator="equal">
      <formula>"Operations"</formula>
    </cfRule>
  </conditionalFormatting>
  <hyperlinks>
    <hyperlink ref="I35" r:id="rId1" tooltip="https://ansperformance.eu/economics/cba/standard-inputs/chapters/average_number_of_passengers.html" display="https://ansperformance.eu/economics/cba/standard-inputs/chapters/average_number_of_passengers.html" xr:uid="{504477DC-2FCC-472B-8C6B-7A90083319A7}"/>
    <hyperlink ref="I70" r:id="rId2" xr:uid="{EEAA8C74-9F69-4EB1-B5C9-C1AEB30821EC}"/>
  </hyperlinks>
  <printOptions headings="1"/>
  <pageMargins left="0.75" right="0.75" top="1" bottom="1" header="0.5" footer="0.5"/>
  <pageSetup paperSize="9" scale="55" orientation="landscape" blackAndWhite="1" r:id="rId3"/>
  <headerFooter>
    <oddHeader>&amp;LPROJECT [XXX]&amp;C&amp;"Calibri"&amp;8&amp;K000000 OFFICIAL - Public. This information has been cleared for unrestricted distribution. &amp;1#_x000D_&amp;"Tahomai"&amp;8&amp;K000000&amp;"Tahomai"&amp;8&amp;K000000&amp;"Tahomai"&amp;8&amp;K000000Sheet:&amp;A&amp;RSTRICTLY CONFIDENTIAL</oddHeader>
    <oddFooter>&amp;L&amp;F ( Printed on &amp;D at &amp;T )&amp;C_x000D_&amp;1#&amp;"Calibri"&amp;8&amp;K000000 OFFICIAL - Public&amp;RPage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X98"/>
  <sheetViews>
    <sheetView defaultGridColor="0" colorId="22" zoomScale="80" workbookViewId="0">
      <pane xSplit="13" ySplit="5" topLeftCell="N6" activePane="bottomRight" state="frozen"/>
      <selection pane="topRight" activeCell="J6" sqref="J6"/>
      <selection pane="bottomLeft" activeCell="J6" sqref="J6"/>
      <selection pane="bottomRight"/>
    </sheetView>
  </sheetViews>
  <sheetFormatPr defaultColWidth="0" defaultRowHeight="13" outlineLevelRow="1"/>
  <cols>
    <col min="1" max="2" width="1.44140625" style="23" customWidth="1"/>
    <col min="3" max="3" width="1.44140625" style="51" customWidth="1"/>
    <col min="4" max="4" width="1.44140625" style="75" customWidth="1"/>
    <col min="5" max="5" width="71.44140625" style="46" customWidth="1"/>
    <col min="6" max="6" width="16.33203125" style="46" customWidth="1"/>
    <col min="7" max="7" width="15.109375" style="46" customWidth="1"/>
    <col min="8" max="11" width="15.109375" customWidth="1"/>
    <col min="12" max="12" width="15.109375" style="46" customWidth="1"/>
    <col min="13" max="13" width="3.6640625" style="46" customWidth="1"/>
    <col min="14" max="14" width="15.109375" style="46" customWidth="1"/>
    <col min="15" max="15" width="12.109375" style="46" bestFit="1" customWidth="1"/>
    <col min="16" max="24" width="15.109375" style="46" customWidth="1"/>
    <col min="25" max="25" width="15.109375" style="46" hidden="1" customWidth="1"/>
    <col min="26" max="16384" width="15.109375" style="46" hidden="1"/>
  </cols>
  <sheetData>
    <row r="1" spans="1:24" s="55" customFormat="1" ht="25">
      <c r="A1" s="50" t="str">
        <f ca="1" xml:space="preserve"> RIGHT(CELL("filename", A1), LEN(CELL("filename", A1)) - SEARCH("]", CELL("filename", A1)))</f>
        <v>Time</v>
      </c>
      <c r="B1" s="66"/>
      <c r="C1" s="70"/>
      <c r="D1" s="76"/>
      <c r="F1" s="57" t="str">
        <f>HYPERLINK("#Contents!A1","Go to contents")</f>
        <v>Go to contents</v>
      </c>
      <c r="H1" s="89"/>
      <c r="I1" s="89"/>
      <c r="J1" s="89"/>
      <c r="K1" s="89"/>
      <c r="N1" s="43"/>
      <c r="P1" s="43"/>
    </row>
    <row r="2" spans="1:24" s="9" customFormat="1">
      <c r="A2" s="48"/>
      <c r="B2" s="48"/>
      <c r="C2" s="71"/>
      <c r="D2" s="68"/>
      <c r="E2" s="15" t="s">
        <v>10</v>
      </c>
      <c r="F2" s="37"/>
      <c r="G2" s="37"/>
      <c r="H2" s="37"/>
      <c r="I2" s="37"/>
      <c r="J2" s="37"/>
      <c r="K2" s="37"/>
      <c r="L2" s="37"/>
      <c r="M2" s="37"/>
      <c r="N2" s="9">
        <f t="shared" ref="N2:X2" si="0" xml:space="preserve"> N$29</f>
        <v>46022</v>
      </c>
      <c r="O2" s="9">
        <f t="shared" si="0"/>
        <v>46387</v>
      </c>
      <c r="P2" s="9">
        <f t="shared" si="0"/>
        <v>46752</v>
      </c>
      <c r="Q2" s="9">
        <f t="shared" si="0"/>
        <v>47118</v>
      </c>
      <c r="R2" s="9">
        <f t="shared" si="0"/>
        <v>47483</v>
      </c>
      <c r="S2" s="9">
        <f t="shared" si="0"/>
        <v>47848</v>
      </c>
      <c r="T2" s="9">
        <f t="shared" si="0"/>
        <v>48213</v>
      </c>
      <c r="U2" s="9">
        <f t="shared" si="0"/>
        <v>48579</v>
      </c>
      <c r="V2" s="9">
        <f t="shared" si="0"/>
        <v>48944</v>
      </c>
      <c r="W2" s="9">
        <f t="shared" si="0"/>
        <v>49309</v>
      </c>
      <c r="X2" s="9">
        <f t="shared" si="0"/>
        <v>49674</v>
      </c>
    </row>
    <row r="3" spans="1:24" s="40" customFormat="1">
      <c r="A3" s="48"/>
      <c r="B3" s="48"/>
      <c r="C3" s="71"/>
      <c r="D3" s="68"/>
      <c r="E3" s="31" t="s">
        <v>11</v>
      </c>
      <c r="F3" s="37"/>
      <c r="G3" s="37"/>
      <c r="H3" s="37"/>
      <c r="I3" s="37"/>
      <c r="J3" s="37"/>
      <c r="K3" s="37"/>
      <c r="L3" s="37"/>
      <c r="M3" s="37"/>
      <c r="N3" s="15" t="str">
        <f xml:space="preserve"> Inputs!N$76</f>
        <v>NR23</v>
      </c>
      <c r="O3" s="15" t="str">
        <f xml:space="preserve"> Inputs!O$76</f>
        <v>NR23</v>
      </c>
      <c r="P3" s="15" t="str">
        <f xml:space="preserve"> Inputs!P$76</f>
        <v>NR23</v>
      </c>
      <c r="Q3" s="15" t="str">
        <f xml:space="preserve"> Inputs!Q$76</f>
        <v>NR28</v>
      </c>
      <c r="R3" s="15" t="str">
        <f xml:space="preserve"> Inputs!R$76</f>
        <v>NR28</v>
      </c>
      <c r="S3" s="15" t="str">
        <f xml:space="preserve"> Inputs!S$76</f>
        <v>NR28</v>
      </c>
      <c r="T3" s="15" t="str">
        <f xml:space="preserve"> Inputs!T$76</f>
        <v>NR28</v>
      </c>
      <c r="U3" s="15" t="str">
        <f xml:space="preserve"> Inputs!U$76</f>
        <v>NR28</v>
      </c>
      <c r="V3" s="15" t="str">
        <f xml:space="preserve"> Inputs!V$76</f>
        <v>NR33</v>
      </c>
      <c r="W3" s="15" t="str">
        <f xml:space="preserve"> Inputs!W$76</f>
        <v>NR33</v>
      </c>
      <c r="X3" s="15" t="str">
        <f xml:space="preserve"> Inputs!X$76</f>
        <v>NR33</v>
      </c>
    </row>
    <row r="4" spans="1:24" s="36" customFormat="1">
      <c r="A4" s="48"/>
      <c r="B4" s="48"/>
      <c r="C4" s="71"/>
      <c r="D4" s="68"/>
      <c r="E4" s="15" t="s">
        <v>12</v>
      </c>
      <c r="F4" s="23"/>
      <c r="G4" s="15"/>
      <c r="H4"/>
      <c r="I4"/>
      <c r="J4"/>
      <c r="K4"/>
      <c r="L4" s="15"/>
      <c r="M4" s="15"/>
      <c r="N4" s="15">
        <f t="shared" ref="N4:X4" si="1" xml:space="preserve"> N$33</f>
        <v>1</v>
      </c>
      <c r="O4" s="15">
        <f t="shared" si="1"/>
        <v>2</v>
      </c>
      <c r="P4" s="15">
        <f t="shared" si="1"/>
        <v>3</v>
      </c>
      <c r="Q4" s="15">
        <f t="shared" si="1"/>
        <v>4</v>
      </c>
      <c r="R4" s="15">
        <f t="shared" si="1"/>
        <v>5</v>
      </c>
      <c r="S4" s="15">
        <f t="shared" si="1"/>
        <v>6</v>
      </c>
      <c r="T4" s="15">
        <f t="shared" si="1"/>
        <v>7</v>
      </c>
      <c r="U4" s="15">
        <f t="shared" si="1"/>
        <v>8</v>
      </c>
      <c r="V4" s="15">
        <f t="shared" si="1"/>
        <v>9</v>
      </c>
      <c r="W4" s="15">
        <f t="shared" si="1"/>
        <v>10</v>
      </c>
      <c r="X4" s="15">
        <f t="shared" si="1"/>
        <v>11</v>
      </c>
    </row>
    <row r="5" spans="1:24" s="40" customFormat="1">
      <c r="A5" s="48"/>
      <c r="B5" s="48"/>
      <c r="C5" s="71"/>
      <c r="D5" s="68"/>
      <c r="E5" s="15" t="s">
        <v>13</v>
      </c>
      <c r="F5" s="23" t="s">
        <v>14</v>
      </c>
      <c r="G5" s="23" t="s">
        <v>15</v>
      </c>
      <c r="H5" s="38" t="s">
        <v>16</v>
      </c>
      <c r="I5" s="38" t="s">
        <v>17</v>
      </c>
      <c r="J5" s="38" t="s">
        <v>18</v>
      </c>
      <c r="K5" s="38"/>
      <c r="L5" s="23" t="s">
        <v>19</v>
      </c>
      <c r="M5" s="23"/>
      <c r="O5" s="15"/>
      <c r="P5" s="20"/>
      <c r="Q5" s="20"/>
      <c r="R5" s="20"/>
      <c r="S5" s="20"/>
      <c r="T5" s="20"/>
      <c r="U5" s="20"/>
    </row>
    <row r="6" spans="1:24" s="31" customFormat="1">
      <c r="A6" s="23"/>
      <c r="B6" s="23"/>
      <c r="C6" s="51"/>
      <c r="D6" s="72"/>
      <c r="F6" s="23"/>
      <c r="G6" s="23"/>
      <c r="H6" s="38"/>
      <c r="I6" s="38"/>
      <c r="J6" s="38"/>
      <c r="K6" s="38"/>
      <c r="L6" s="23"/>
      <c r="M6" s="23"/>
      <c r="N6" s="23"/>
    </row>
    <row r="8" spans="1:24">
      <c r="A8" s="23" t="s">
        <v>101</v>
      </c>
      <c r="H8" s="33"/>
      <c r="I8" s="33"/>
      <c r="J8" s="33"/>
      <c r="K8" s="33"/>
    </row>
    <row r="9" spans="1:24">
      <c r="H9" s="33"/>
      <c r="I9" s="33"/>
      <c r="J9" s="33"/>
      <c r="K9" s="33"/>
    </row>
    <row r="10" spans="1:24" outlineLevel="1">
      <c r="B10" s="23" t="s">
        <v>102</v>
      </c>
      <c r="H10" s="33"/>
      <c r="I10" s="33"/>
      <c r="J10" s="33"/>
      <c r="K10" s="33"/>
    </row>
    <row r="11" spans="1:24" outlineLevel="1">
      <c r="A11" s="5"/>
      <c r="B11" s="5"/>
      <c r="C11" s="10"/>
      <c r="D11" s="11"/>
      <c r="E11" s="7" t="str">
        <f xml:space="preserve">  Inputs!E$31</f>
        <v>Forecast CPI  growth from 2030</v>
      </c>
      <c r="F11" s="74">
        <f xml:space="preserve">  Inputs!F$31</f>
        <v>1.02</v>
      </c>
      <c r="G11" s="7" t="str">
        <f xml:space="preserve">  Inputs!G$31</f>
        <v>factor</v>
      </c>
      <c r="H11" s="33"/>
      <c r="I11" s="33"/>
      <c r="J11" s="33"/>
      <c r="K11" s="33"/>
      <c r="L11" s="73"/>
    </row>
    <row r="12" spans="1:24" outlineLevel="1">
      <c r="A12" s="5"/>
      <c r="B12" s="5"/>
      <c r="C12" s="10"/>
      <c r="D12" s="11"/>
      <c r="E12" s="7" t="str">
        <f xml:space="preserve">  Inputs!E$51</f>
        <v>CPI Index Forecast</v>
      </c>
      <c r="F12" s="2">
        <f xml:space="preserve">  Inputs!F$51</f>
        <v>0</v>
      </c>
      <c r="G12" s="2" t="str">
        <f xml:space="preserve">  Inputs!G$51</f>
        <v>index (2015=100)</v>
      </c>
      <c r="H12" s="33"/>
      <c r="I12" s="33"/>
      <c r="J12" s="33"/>
      <c r="K12" s="33"/>
      <c r="L12" s="2">
        <f xml:space="preserve">  Inputs!L$51</f>
        <v>719.39454688976309</v>
      </c>
      <c r="M12" s="2">
        <f xml:space="preserve">  Inputs!M$51</f>
        <v>0</v>
      </c>
      <c r="N12" s="2">
        <f xml:space="preserve">  Inputs!N$51</f>
        <v>138.153850729889</v>
      </c>
      <c r="O12" s="2">
        <f xml:space="preserve">  Inputs!O$51</f>
        <v>141.033957438817</v>
      </c>
      <c r="P12" s="2">
        <f xml:space="preserve">  Inputs!P$51</f>
        <v>143.83924602398201</v>
      </c>
      <c r="Q12" s="2">
        <f xml:space="preserve">  Inputs!Q$51</f>
        <v>146.71663933540901</v>
      </c>
      <c r="R12" s="2">
        <f xml:space="preserve">  Inputs!R$51</f>
        <v>149.65085336166601</v>
      </c>
      <c r="S12" s="2">
        <f xml:space="preserve">  Inputs!S$51</f>
        <v>0</v>
      </c>
      <c r="T12" s="2">
        <f xml:space="preserve">  Inputs!T$51</f>
        <v>0</v>
      </c>
      <c r="U12" s="2">
        <f xml:space="preserve">  Inputs!U$51</f>
        <v>0</v>
      </c>
      <c r="V12" s="2">
        <f xml:space="preserve">  Inputs!V$51</f>
        <v>0</v>
      </c>
      <c r="W12" s="2">
        <f xml:space="preserve">  Inputs!W$51</f>
        <v>0</v>
      </c>
      <c r="X12" s="2">
        <f xml:space="preserve">  Inputs!X$51</f>
        <v>0</v>
      </c>
    </row>
    <row r="13" spans="1:24" outlineLevel="1">
      <c r="E13" s="46" t="str">
        <f t="shared" ref="E13:X13" si="2" xml:space="preserve">  E$48</f>
        <v>CPI Index forecast flag</v>
      </c>
      <c r="F13" s="3">
        <f t="shared" si="2"/>
        <v>0</v>
      </c>
      <c r="G13" s="3" t="str">
        <f t="shared" si="2"/>
        <v>flag</v>
      </c>
      <c r="H13" s="33"/>
      <c r="I13" s="33"/>
      <c r="J13" s="33"/>
      <c r="K13" s="33"/>
      <c r="L13" s="3">
        <f t="shared" si="2"/>
        <v>6</v>
      </c>
      <c r="M13" s="3">
        <f t="shared" si="2"/>
        <v>0</v>
      </c>
      <c r="N13" s="3">
        <f t="shared" si="2"/>
        <v>0</v>
      </c>
      <c r="O13" s="3">
        <f t="shared" si="2"/>
        <v>0</v>
      </c>
      <c r="P13" s="3">
        <f t="shared" si="2"/>
        <v>0</v>
      </c>
      <c r="Q13" s="3">
        <f t="shared" si="2"/>
        <v>0</v>
      </c>
      <c r="R13" s="3">
        <f t="shared" si="2"/>
        <v>0</v>
      </c>
      <c r="S13" s="3">
        <f t="shared" si="2"/>
        <v>1</v>
      </c>
      <c r="T13" s="3">
        <f t="shared" si="2"/>
        <v>1</v>
      </c>
      <c r="U13" s="3">
        <f t="shared" si="2"/>
        <v>1</v>
      </c>
      <c r="V13" s="3">
        <f t="shared" si="2"/>
        <v>1</v>
      </c>
      <c r="W13" s="3">
        <f t="shared" si="2"/>
        <v>1</v>
      </c>
      <c r="X13" s="3">
        <f t="shared" si="2"/>
        <v>1</v>
      </c>
    </row>
    <row r="14" spans="1:24" outlineLevel="1">
      <c r="A14" s="17"/>
      <c r="B14" s="17"/>
      <c r="C14" s="28"/>
      <c r="D14" s="27"/>
      <c r="E14" s="16" t="s">
        <v>102</v>
      </c>
      <c r="F14" s="16"/>
      <c r="G14" s="16"/>
      <c r="H14" s="33"/>
      <c r="I14" s="33"/>
      <c r="J14" s="33"/>
      <c r="K14" s="33"/>
      <c r="L14" s="18">
        <f xml:space="preserve"> SUM( N14:X14 )</f>
        <v>1682.2905458462872</v>
      </c>
      <c r="M14" s="16"/>
      <c r="N14" s="18">
        <f t="shared" ref="N14:X14" si="3" xml:space="preserve">  IF( N13, ( M14 * $F11 ), N12 )</f>
        <v>138.153850729889</v>
      </c>
      <c r="O14" s="18">
        <f t="shared" si="3"/>
        <v>141.033957438817</v>
      </c>
      <c r="P14" s="18">
        <f t="shared" si="3"/>
        <v>143.83924602398201</v>
      </c>
      <c r="Q14" s="18">
        <f t="shared" si="3"/>
        <v>146.71663933540901</v>
      </c>
      <c r="R14" s="18">
        <f t="shared" si="3"/>
        <v>149.65085336166601</v>
      </c>
      <c r="S14" s="18">
        <f t="shared" si="3"/>
        <v>152.64387042889933</v>
      </c>
      <c r="T14" s="18">
        <f t="shared" si="3"/>
        <v>155.69674783747732</v>
      </c>
      <c r="U14" s="18">
        <f t="shared" si="3"/>
        <v>158.81068279422686</v>
      </c>
      <c r="V14" s="18">
        <f t="shared" si="3"/>
        <v>161.9868964501114</v>
      </c>
      <c r="W14" s="18">
        <f t="shared" si="3"/>
        <v>165.22663437911362</v>
      </c>
      <c r="X14" s="18">
        <f t="shared" si="3"/>
        <v>168.5311670666959</v>
      </c>
    </row>
    <row r="15" spans="1:24" outlineLevel="1">
      <c r="H15" s="34"/>
      <c r="I15" s="34"/>
      <c r="J15" s="34"/>
      <c r="K15" s="34"/>
    </row>
    <row r="16" spans="1:24" outlineLevel="1">
      <c r="H16" s="33"/>
      <c r="I16" s="33"/>
      <c r="J16" s="33"/>
      <c r="K16" s="33"/>
    </row>
    <row r="17" spans="1:24" outlineLevel="1">
      <c r="B17" s="23" t="s">
        <v>103</v>
      </c>
      <c r="H17" s="33"/>
      <c r="I17" s="33"/>
      <c r="J17" s="33"/>
      <c r="K17" s="33"/>
    </row>
    <row r="18" spans="1:24" outlineLevel="1">
      <c r="A18" s="5"/>
      <c r="B18" s="5"/>
      <c r="C18" s="10"/>
      <c r="D18" s="11"/>
      <c r="E18" s="7" t="str">
        <f xml:space="preserve">  Inputs!E$32</f>
        <v>CPI Index 2024</v>
      </c>
      <c r="F18" s="2">
        <f xml:space="preserve">  Inputs!F$32</f>
        <v>133.85316666666699</v>
      </c>
      <c r="G18" s="7" t="str">
        <f xml:space="preserve">  Inputs!G$32</f>
        <v>index (2015=100)</v>
      </c>
      <c r="H18" s="33"/>
      <c r="I18" s="33"/>
      <c r="J18" s="33"/>
      <c r="K18" s="33"/>
      <c r="L18" s="3"/>
    </row>
    <row r="19" spans="1:24" outlineLevel="1">
      <c r="E19" s="46" t="str">
        <f t="shared" ref="E19:X19" si="4" xml:space="preserve">  E$33</f>
        <v>Period number</v>
      </c>
      <c r="F19" s="30">
        <f t="shared" si="4"/>
        <v>0</v>
      </c>
      <c r="G19" s="30" t="str">
        <f t="shared" si="4"/>
        <v>Counter</v>
      </c>
      <c r="H19" s="33"/>
      <c r="I19" s="33"/>
      <c r="J19" s="33"/>
      <c r="K19" s="33"/>
      <c r="L19" s="30">
        <f t="shared" si="4"/>
        <v>0</v>
      </c>
      <c r="M19" s="30">
        <f t="shared" si="4"/>
        <v>0</v>
      </c>
      <c r="N19" s="30">
        <f t="shared" si="4"/>
        <v>1</v>
      </c>
      <c r="O19" s="30">
        <f t="shared" si="4"/>
        <v>2</v>
      </c>
      <c r="P19" s="30">
        <f t="shared" si="4"/>
        <v>3</v>
      </c>
      <c r="Q19" s="30">
        <f t="shared" si="4"/>
        <v>4</v>
      </c>
      <c r="R19" s="30">
        <f t="shared" si="4"/>
        <v>5</v>
      </c>
      <c r="S19" s="30">
        <f t="shared" si="4"/>
        <v>6</v>
      </c>
      <c r="T19" s="30">
        <f t="shared" si="4"/>
        <v>7</v>
      </c>
      <c r="U19" s="30">
        <f t="shared" si="4"/>
        <v>8</v>
      </c>
      <c r="V19" s="30">
        <f t="shared" si="4"/>
        <v>9</v>
      </c>
      <c r="W19" s="30">
        <f t="shared" si="4"/>
        <v>10</v>
      </c>
      <c r="X19" s="30">
        <f t="shared" si="4"/>
        <v>11</v>
      </c>
    </row>
    <row r="20" spans="1:24" outlineLevel="1">
      <c r="E20" s="46" t="str">
        <f t="shared" ref="E20:X20" si="5" xml:space="preserve">  E$14</f>
        <v>CPI Index Forecast (Calculations)</v>
      </c>
      <c r="F20" s="3">
        <f t="shared" si="5"/>
        <v>0</v>
      </c>
      <c r="G20" s="3">
        <f t="shared" si="5"/>
        <v>0</v>
      </c>
      <c r="H20" s="33"/>
      <c r="I20" s="33"/>
      <c r="J20" s="33"/>
      <c r="K20" s="33"/>
      <c r="L20" s="3">
        <f t="shared" si="5"/>
        <v>1682.2905458462872</v>
      </c>
      <c r="M20" s="3">
        <f t="shared" si="5"/>
        <v>0</v>
      </c>
      <c r="N20" s="3">
        <f t="shared" si="5"/>
        <v>138.153850729889</v>
      </c>
      <c r="O20" s="3">
        <f t="shared" si="5"/>
        <v>141.033957438817</v>
      </c>
      <c r="P20" s="3">
        <f t="shared" si="5"/>
        <v>143.83924602398201</v>
      </c>
      <c r="Q20" s="3">
        <f t="shared" si="5"/>
        <v>146.71663933540901</v>
      </c>
      <c r="R20" s="3">
        <f t="shared" si="5"/>
        <v>149.65085336166601</v>
      </c>
      <c r="S20" s="3">
        <f t="shared" si="5"/>
        <v>152.64387042889933</v>
      </c>
      <c r="T20" s="3">
        <f t="shared" si="5"/>
        <v>155.69674783747732</v>
      </c>
      <c r="U20" s="3">
        <f t="shared" si="5"/>
        <v>158.81068279422686</v>
      </c>
      <c r="V20" s="3">
        <f t="shared" si="5"/>
        <v>161.9868964501114</v>
      </c>
      <c r="W20" s="3">
        <f t="shared" si="5"/>
        <v>165.22663437911362</v>
      </c>
      <c r="X20" s="3">
        <f t="shared" si="5"/>
        <v>168.5311670666959</v>
      </c>
    </row>
    <row r="21" spans="1:24" outlineLevel="1">
      <c r="A21" s="17"/>
      <c r="B21" s="17"/>
      <c r="C21" s="28"/>
      <c r="D21" s="27"/>
      <c r="E21" s="16" t="s">
        <v>103</v>
      </c>
      <c r="F21" s="16"/>
      <c r="G21" s="16" t="s">
        <v>36</v>
      </c>
      <c r="H21" s="33"/>
      <c r="I21" s="33"/>
      <c r="J21" s="33"/>
      <c r="K21" s="33"/>
      <c r="L21" s="29"/>
      <c r="M21" s="16"/>
      <c r="N21" s="29">
        <f t="shared" ref="N21:X21" si="6" xml:space="preserve">  ( IF( N19 = 1, ( N20 / $F18 ) - 1, ( N20 / M20 - 1 ) ) )</f>
        <v>3.2129864166246858E-2</v>
      </c>
      <c r="O21" s="29">
        <f t="shared" si="6"/>
        <v>2.0847096868541248E-2</v>
      </c>
      <c r="P21" s="29">
        <f t="shared" si="6"/>
        <v>1.9890873347874427E-2</v>
      </c>
      <c r="Q21" s="29">
        <f t="shared" si="6"/>
        <v>2.0004229658901806E-2</v>
      </c>
      <c r="R21" s="29">
        <f t="shared" si="6"/>
        <v>1.9999190545450629E-2</v>
      </c>
      <c r="S21" s="29">
        <f t="shared" si="6"/>
        <v>2.0000000000000018E-2</v>
      </c>
      <c r="T21" s="29">
        <f t="shared" si="6"/>
        <v>2.0000000000000018E-2</v>
      </c>
      <c r="U21" s="29">
        <f t="shared" si="6"/>
        <v>2.0000000000000018E-2</v>
      </c>
      <c r="V21" s="29">
        <f t="shared" si="6"/>
        <v>2.0000000000000018E-2</v>
      </c>
      <c r="W21" s="29">
        <f t="shared" si="6"/>
        <v>2.0000000000000018E-2</v>
      </c>
      <c r="X21" s="29">
        <f t="shared" si="6"/>
        <v>2.0000000000000018E-2</v>
      </c>
    </row>
    <row r="22" spans="1:24" outlineLevel="1">
      <c r="H22" s="33"/>
      <c r="I22" s="33"/>
      <c r="J22" s="33"/>
      <c r="K22" s="33"/>
    </row>
    <row r="23" spans="1:24">
      <c r="H23" s="41"/>
      <c r="I23" s="41"/>
      <c r="J23" s="41"/>
      <c r="K23" s="41"/>
    </row>
    <row r="24" spans="1:24">
      <c r="A24" s="23" t="s">
        <v>29</v>
      </c>
      <c r="H24" s="41"/>
      <c r="I24" s="41"/>
      <c r="J24" s="41"/>
      <c r="K24" s="41"/>
    </row>
    <row r="25" spans="1:24">
      <c r="H25" s="41"/>
      <c r="I25" s="41"/>
      <c r="J25" s="41"/>
      <c r="K25" s="41"/>
    </row>
    <row r="26" spans="1:24" outlineLevel="1">
      <c r="B26" s="23" t="s">
        <v>10</v>
      </c>
      <c r="H26" s="34"/>
      <c r="I26" s="34"/>
      <c r="J26" s="34"/>
      <c r="K26" s="34"/>
    </row>
    <row r="27" spans="1:24" outlineLevel="1">
      <c r="A27" s="5"/>
      <c r="B27" s="5"/>
      <c r="C27" s="10"/>
      <c r="D27" s="11"/>
      <c r="E27" s="7" t="str">
        <f xml:space="preserve">  Inputs!E$20</f>
        <v>Months per period (Primary)</v>
      </c>
      <c r="F27" s="2">
        <f xml:space="preserve">  Inputs!F$20</f>
        <v>12</v>
      </c>
      <c r="G27" s="7" t="str">
        <f xml:space="preserve">  Inputs!G$20</f>
        <v>Months</v>
      </c>
      <c r="H27" s="33"/>
      <c r="I27" s="33"/>
      <c r="J27" s="33"/>
      <c r="K27" s="33"/>
      <c r="L27" s="3"/>
    </row>
    <row r="28" spans="1:24" outlineLevel="1">
      <c r="E28" s="46" t="str">
        <f t="shared" ref="E28:X28" si="7" xml:space="preserve">  E$40</f>
        <v>Model period start</v>
      </c>
      <c r="F28" s="9">
        <f t="shared" si="7"/>
        <v>0</v>
      </c>
      <c r="G28" s="9" t="str">
        <f t="shared" si="7"/>
        <v>date</v>
      </c>
      <c r="H28" s="33"/>
      <c r="I28" s="33"/>
      <c r="J28" s="33"/>
      <c r="K28" s="33"/>
      <c r="L28" s="9">
        <f t="shared" si="7"/>
        <v>0</v>
      </c>
      <c r="M28" s="9">
        <f t="shared" si="7"/>
        <v>0</v>
      </c>
      <c r="N28" s="9">
        <f t="shared" si="7"/>
        <v>45658</v>
      </c>
      <c r="O28" s="9">
        <f t="shared" si="7"/>
        <v>46023</v>
      </c>
      <c r="P28" s="9">
        <f t="shared" si="7"/>
        <v>46388</v>
      </c>
      <c r="Q28" s="9">
        <f t="shared" si="7"/>
        <v>46753</v>
      </c>
      <c r="R28" s="9">
        <f t="shared" si="7"/>
        <v>47119</v>
      </c>
      <c r="S28" s="9">
        <f t="shared" si="7"/>
        <v>47484</v>
      </c>
      <c r="T28" s="9">
        <f t="shared" si="7"/>
        <v>47849</v>
      </c>
      <c r="U28" s="9">
        <f t="shared" si="7"/>
        <v>48214</v>
      </c>
      <c r="V28" s="9">
        <f t="shared" si="7"/>
        <v>48580</v>
      </c>
      <c r="W28" s="9">
        <f t="shared" si="7"/>
        <v>48945</v>
      </c>
      <c r="X28" s="9">
        <f t="shared" si="7"/>
        <v>49310</v>
      </c>
    </row>
    <row r="29" spans="1:24" outlineLevel="1">
      <c r="A29" s="17"/>
      <c r="B29" s="17"/>
      <c r="C29" s="28"/>
      <c r="D29" s="27"/>
      <c r="E29" s="16" t="s">
        <v>10</v>
      </c>
      <c r="F29" s="16"/>
      <c r="G29" s="16" t="s">
        <v>23</v>
      </c>
      <c r="H29" s="33"/>
      <c r="I29" s="33"/>
      <c r="J29" s="33"/>
      <c r="K29" s="33"/>
      <c r="L29" s="47"/>
      <c r="M29" s="16"/>
      <c r="N29" s="47">
        <f t="shared" ref="N29:X29" si="8" xml:space="preserve">  EDATE( N28, $F27 ) - 1</f>
        <v>46022</v>
      </c>
      <c r="O29" s="47">
        <f t="shared" si="8"/>
        <v>46387</v>
      </c>
      <c r="P29" s="47">
        <f t="shared" si="8"/>
        <v>46752</v>
      </c>
      <c r="Q29" s="47">
        <f t="shared" si="8"/>
        <v>47118</v>
      </c>
      <c r="R29" s="47">
        <f t="shared" si="8"/>
        <v>47483</v>
      </c>
      <c r="S29" s="47">
        <f t="shared" si="8"/>
        <v>47848</v>
      </c>
      <c r="T29" s="47">
        <f t="shared" si="8"/>
        <v>48213</v>
      </c>
      <c r="U29" s="47">
        <f t="shared" si="8"/>
        <v>48579</v>
      </c>
      <c r="V29" s="47">
        <f t="shared" si="8"/>
        <v>48944</v>
      </c>
      <c r="W29" s="47">
        <f t="shared" si="8"/>
        <v>49309</v>
      </c>
      <c r="X29" s="47">
        <f t="shared" si="8"/>
        <v>49674</v>
      </c>
    </row>
    <row r="30" spans="1:24" outlineLevel="1">
      <c r="H30" s="33"/>
      <c r="I30" s="33"/>
      <c r="J30" s="33"/>
      <c r="K30" s="33"/>
    </row>
    <row r="31" spans="1:24" outlineLevel="1">
      <c r="H31" s="41"/>
      <c r="I31" s="41"/>
      <c r="J31" s="41"/>
      <c r="K31" s="41"/>
    </row>
    <row r="32" spans="1:24" outlineLevel="1">
      <c r="B32" s="23" t="s">
        <v>13</v>
      </c>
      <c r="H32" s="41"/>
      <c r="I32" s="41"/>
      <c r="J32" s="41"/>
      <c r="K32" s="41"/>
    </row>
    <row r="33" spans="1:24" outlineLevel="1">
      <c r="A33" s="17"/>
      <c r="B33" s="17"/>
      <c r="C33" s="28"/>
      <c r="D33" s="27"/>
      <c r="E33" s="16" t="s">
        <v>13</v>
      </c>
      <c r="F33" s="16"/>
      <c r="G33" s="16" t="s">
        <v>104</v>
      </c>
      <c r="H33" s="41"/>
      <c r="I33" s="41"/>
      <c r="J33" s="41"/>
      <c r="K33" s="41"/>
      <c r="L33" s="44"/>
      <c r="M33" s="16"/>
      <c r="N33" s="44">
        <f t="shared" ref="N33:X33" si="9" xml:space="preserve">  M33 + 1</f>
        <v>1</v>
      </c>
      <c r="O33" s="44">
        <f t="shared" si="9"/>
        <v>2</v>
      </c>
      <c r="P33" s="44">
        <f t="shared" si="9"/>
        <v>3</v>
      </c>
      <c r="Q33" s="44">
        <f t="shared" si="9"/>
        <v>4</v>
      </c>
      <c r="R33" s="44">
        <f t="shared" si="9"/>
        <v>5</v>
      </c>
      <c r="S33" s="44">
        <f t="shared" si="9"/>
        <v>6</v>
      </c>
      <c r="T33" s="44">
        <f t="shared" si="9"/>
        <v>7</v>
      </c>
      <c r="U33" s="44">
        <f t="shared" si="9"/>
        <v>8</v>
      </c>
      <c r="V33" s="44">
        <f t="shared" si="9"/>
        <v>9</v>
      </c>
      <c r="W33" s="44">
        <f t="shared" si="9"/>
        <v>10</v>
      </c>
      <c r="X33" s="44">
        <f t="shared" si="9"/>
        <v>11</v>
      </c>
    </row>
    <row r="34" spans="1:24" outlineLevel="1">
      <c r="H34" s="34"/>
      <c r="I34" s="34"/>
      <c r="J34" s="34"/>
      <c r="K34" s="34"/>
    </row>
    <row r="36" spans="1:24">
      <c r="B36" s="23" t="s">
        <v>105</v>
      </c>
    </row>
    <row r="37" spans="1:24">
      <c r="A37" s="5"/>
      <c r="B37" s="5"/>
      <c r="C37" s="10"/>
      <c r="D37" s="11"/>
      <c r="E37" s="7" t="str">
        <f xml:space="preserve">  Inputs!E$19</f>
        <v>Start date</v>
      </c>
      <c r="F37" s="59">
        <f xml:space="preserve">  Inputs!F$19</f>
        <v>45658</v>
      </c>
      <c r="G37" s="7" t="str">
        <f xml:space="preserve">  Inputs!G$19</f>
        <v>date</v>
      </c>
      <c r="L37" s="9"/>
    </row>
    <row r="38" spans="1:24">
      <c r="A38" s="5"/>
      <c r="B38" s="5"/>
      <c r="C38" s="10"/>
      <c r="D38" s="11"/>
      <c r="E38" s="7" t="str">
        <f xml:space="preserve">  Inputs!E$20</f>
        <v>Months per period (Primary)</v>
      </c>
      <c r="F38" s="2">
        <f xml:space="preserve">  Inputs!F$20</f>
        <v>12</v>
      </c>
      <c r="G38" s="7" t="str">
        <f xml:space="preserve">  Inputs!G$20</f>
        <v>Months</v>
      </c>
      <c r="L38" s="3"/>
    </row>
    <row r="39" spans="1:24">
      <c r="E39" s="46" t="str">
        <f t="shared" ref="E39:X39" si="10" xml:space="preserve">  E$33</f>
        <v>Period number</v>
      </c>
      <c r="F39" s="30">
        <f t="shared" si="10"/>
        <v>0</v>
      </c>
      <c r="G39" s="30" t="str">
        <f t="shared" si="10"/>
        <v>Counter</v>
      </c>
      <c r="L39" s="30">
        <f t="shared" si="10"/>
        <v>0</v>
      </c>
      <c r="M39" s="30">
        <f t="shared" si="10"/>
        <v>0</v>
      </c>
      <c r="N39" s="30">
        <f t="shared" si="10"/>
        <v>1</v>
      </c>
      <c r="O39" s="30">
        <f t="shared" si="10"/>
        <v>2</v>
      </c>
      <c r="P39" s="30">
        <f t="shared" si="10"/>
        <v>3</v>
      </c>
      <c r="Q39" s="30">
        <f t="shared" si="10"/>
        <v>4</v>
      </c>
      <c r="R39" s="30">
        <f t="shared" si="10"/>
        <v>5</v>
      </c>
      <c r="S39" s="30">
        <f t="shared" si="10"/>
        <v>6</v>
      </c>
      <c r="T39" s="30">
        <f t="shared" si="10"/>
        <v>7</v>
      </c>
      <c r="U39" s="30">
        <f t="shared" si="10"/>
        <v>8</v>
      </c>
      <c r="V39" s="30">
        <f t="shared" si="10"/>
        <v>9</v>
      </c>
      <c r="W39" s="30">
        <f t="shared" si="10"/>
        <v>10</v>
      </c>
      <c r="X39" s="30">
        <f t="shared" si="10"/>
        <v>11</v>
      </c>
    </row>
    <row r="40" spans="1:24">
      <c r="E40" s="46" t="s">
        <v>105</v>
      </c>
      <c r="G40" s="46" t="s">
        <v>23</v>
      </c>
      <c r="L40" s="9"/>
      <c r="N40" s="9">
        <f t="shared" ref="N40:X40" si="11" xml:space="preserve">  IF( N39 = 1, $F37, EDATE( M40, $F38 ) )</f>
        <v>45658</v>
      </c>
      <c r="O40" s="9">
        <f t="shared" si="11"/>
        <v>46023</v>
      </c>
      <c r="P40" s="9">
        <f t="shared" si="11"/>
        <v>46388</v>
      </c>
      <c r="Q40" s="9">
        <f t="shared" si="11"/>
        <v>46753</v>
      </c>
      <c r="R40" s="9">
        <f t="shared" si="11"/>
        <v>47119</v>
      </c>
      <c r="S40" s="9">
        <f t="shared" si="11"/>
        <v>47484</v>
      </c>
      <c r="T40" s="9">
        <f t="shared" si="11"/>
        <v>47849</v>
      </c>
      <c r="U40" s="9">
        <f t="shared" si="11"/>
        <v>48214</v>
      </c>
      <c r="V40" s="9">
        <f t="shared" si="11"/>
        <v>48580</v>
      </c>
      <c r="W40" s="9">
        <f t="shared" si="11"/>
        <v>48945</v>
      </c>
      <c r="X40" s="9">
        <f t="shared" si="11"/>
        <v>49310</v>
      </c>
    </row>
    <row r="43" spans="1:24">
      <c r="A43" s="23" t="s">
        <v>106</v>
      </c>
    </row>
    <row r="45" spans="1:24" outlineLevel="1">
      <c r="B45" s="23" t="s">
        <v>107</v>
      </c>
    </row>
    <row r="46" spans="1:24" outlineLevel="1">
      <c r="A46" s="5"/>
      <c r="B46" s="5"/>
      <c r="C46" s="10"/>
      <c r="D46" s="11"/>
      <c r="E46" s="7" t="str">
        <f xml:space="preserve">  Inputs!E$13</f>
        <v>CPI Index forecast beginning date</v>
      </c>
      <c r="F46" s="59">
        <f xml:space="preserve">  Inputs!F$13</f>
        <v>47483</v>
      </c>
      <c r="G46" s="7" t="str">
        <f xml:space="preserve">  Inputs!G$13</f>
        <v>date</v>
      </c>
      <c r="L46" s="9"/>
    </row>
    <row r="47" spans="1:24" outlineLevel="1">
      <c r="E47" s="46" t="str">
        <f t="shared" ref="E47:X47" si="12" xml:space="preserve">  E$29</f>
        <v>Model period end</v>
      </c>
      <c r="F47" s="9">
        <f t="shared" si="12"/>
        <v>0</v>
      </c>
      <c r="G47" s="9" t="str">
        <f t="shared" si="12"/>
        <v>date</v>
      </c>
      <c r="L47" s="9">
        <f t="shared" si="12"/>
        <v>0</v>
      </c>
      <c r="M47" s="9">
        <f t="shared" si="12"/>
        <v>0</v>
      </c>
      <c r="N47" s="9">
        <f t="shared" si="12"/>
        <v>46022</v>
      </c>
      <c r="O47" s="9">
        <f t="shared" si="12"/>
        <v>46387</v>
      </c>
      <c r="P47" s="9">
        <f t="shared" si="12"/>
        <v>46752</v>
      </c>
      <c r="Q47" s="9">
        <f t="shared" si="12"/>
        <v>47118</v>
      </c>
      <c r="R47" s="9">
        <f t="shared" si="12"/>
        <v>47483</v>
      </c>
      <c r="S47" s="9">
        <f t="shared" si="12"/>
        <v>47848</v>
      </c>
      <c r="T47" s="9">
        <f t="shared" si="12"/>
        <v>48213</v>
      </c>
      <c r="U47" s="9">
        <f t="shared" si="12"/>
        <v>48579</v>
      </c>
      <c r="V47" s="9">
        <f t="shared" si="12"/>
        <v>48944</v>
      </c>
      <c r="W47" s="9">
        <f t="shared" si="12"/>
        <v>49309</v>
      </c>
      <c r="X47" s="9">
        <f t="shared" si="12"/>
        <v>49674</v>
      </c>
    </row>
    <row r="48" spans="1:24" outlineLevel="1">
      <c r="E48" s="46" t="s">
        <v>107</v>
      </c>
      <c r="G48" s="46" t="s">
        <v>108</v>
      </c>
      <c r="L48" s="3">
        <f xml:space="preserve"> SUM( N48:X48 )</f>
        <v>6</v>
      </c>
      <c r="N48" s="3">
        <f t="shared" ref="N48:X48" si="13" xml:space="preserve">  IF( N47 &gt; $F46, 1, 0 )</f>
        <v>0</v>
      </c>
      <c r="O48" s="3">
        <f t="shared" si="13"/>
        <v>0</v>
      </c>
      <c r="P48" s="3">
        <f t="shared" si="13"/>
        <v>0</v>
      </c>
      <c r="Q48" s="3">
        <f t="shared" si="13"/>
        <v>0</v>
      </c>
      <c r="R48" s="3">
        <f t="shared" si="13"/>
        <v>0</v>
      </c>
      <c r="S48" s="3">
        <f t="shared" si="13"/>
        <v>1</v>
      </c>
      <c r="T48" s="3">
        <f t="shared" si="13"/>
        <v>1</v>
      </c>
      <c r="U48" s="3">
        <f t="shared" si="13"/>
        <v>1</v>
      </c>
      <c r="V48" s="3">
        <f t="shared" si="13"/>
        <v>1</v>
      </c>
      <c r="W48" s="3">
        <f t="shared" si="13"/>
        <v>1</v>
      </c>
      <c r="X48" s="3">
        <f t="shared" si="13"/>
        <v>1</v>
      </c>
    </row>
    <row r="49" spans="1:24" outlineLevel="1"/>
    <row r="51" spans="1:24">
      <c r="A51" s="23" t="s">
        <v>109</v>
      </c>
    </row>
    <row r="53" spans="1:24" outlineLevel="1">
      <c r="B53" s="23" t="s">
        <v>110</v>
      </c>
    </row>
    <row r="54" spans="1:24" outlineLevel="1">
      <c r="A54" s="5"/>
      <c r="B54" s="5"/>
      <c r="C54" s="10"/>
      <c r="D54" s="11"/>
      <c r="E54" s="7" t="str">
        <f xml:space="preserve">  Inputs!E$26</f>
        <v>NR23 end date</v>
      </c>
      <c r="F54" s="59">
        <f xml:space="preserve">  Inputs!F$26</f>
        <v>46022</v>
      </c>
      <c r="G54" s="7" t="str">
        <f xml:space="preserve">  Inputs!G$26</f>
        <v>date</v>
      </c>
      <c r="L54" s="9"/>
    </row>
    <row r="55" spans="1:24" outlineLevel="1">
      <c r="A55" s="5"/>
      <c r="B55" s="5"/>
      <c r="C55" s="10"/>
      <c r="D55" s="11"/>
      <c r="E55" s="7" t="str">
        <f xml:space="preserve">  Inputs!E$14</f>
        <v>NR23 beginning date</v>
      </c>
      <c r="F55" s="59">
        <f xml:space="preserve">  Inputs!F$14</f>
        <v>46722</v>
      </c>
      <c r="G55" s="7" t="str">
        <f xml:space="preserve">  Inputs!G$14</f>
        <v>date</v>
      </c>
      <c r="L55" s="9"/>
    </row>
    <row r="56" spans="1:24" outlineLevel="1">
      <c r="E56" s="46" t="str">
        <f t="shared" ref="E56:X56" si="14" xml:space="preserve">  E$29</f>
        <v>Model period end</v>
      </c>
      <c r="F56" s="9">
        <f t="shared" si="14"/>
        <v>0</v>
      </c>
      <c r="G56" s="9" t="str">
        <f t="shared" si="14"/>
        <v>date</v>
      </c>
      <c r="L56" s="9">
        <f t="shared" si="14"/>
        <v>0</v>
      </c>
      <c r="M56" s="9">
        <f t="shared" si="14"/>
        <v>0</v>
      </c>
      <c r="N56" s="9">
        <f t="shared" si="14"/>
        <v>46022</v>
      </c>
      <c r="O56" s="9">
        <f t="shared" si="14"/>
        <v>46387</v>
      </c>
      <c r="P56" s="9">
        <f t="shared" si="14"/>
        <v>46752</v>
      </c>
      <c r="Q56" s="9">
        <f t="shared" si="14"/>
        <v>47118</v>
      </c>
      <c r="R56" s="9">
        <f t="shared" si="14"/>
        <v>47483</v>
      </c>
      <c r="S56" s="9">
        <f t="shared" si="14"/>
        <v>47848</v>
      </c>
      <c r="T56" s="9">
        <f t="shared" si="14"/>
        <v>48213</v>
      </c>
      <c r="U56" s="9">
        <f t="shared" si="14"/>
        <v>48579</v>
      </c>
      <c r="V56" s="9">
        <f t="shared" si="14"/>
        <v>48944</v>
      </c>
      <c r="W56" s="9">
        <f t="shared" si="14"/>
        <v>49309</v>
      </c>
      <c r="X56" s="9">
        <f t="shared" si="14"/>
        <v>49674</v>
      </c>
    </row>
    <row r="57" spans="1:24" outlineLevel="1">
      <c r="E57" s="46" t="str">
        <f t="shared" ref="E57:X57" si="15" xml:space="preserve">  E$40</f>
        <v>Model period start</v>
      </c>
      <c r="F57" s="9">
        <f t="shared" si="15"/>
        <v>0</v>
      </c>
      <c r="G57" s="9" t="str">
        <f t="shared" si="15"/>
        <v>date</v>
      </c>
      <c r="L57" s="9">
        <f t="shared" si="15"/>
        <v>0</v>
      </c>
      <c r="M57" s="9">
        <f t="shared" si="15"/>
        <v>0</v>
      </c>
      <c r="N57" s="9">
        <f t="shared" si="15"/>
        <v>45658</v>
      </c>
      <c r="O57" s="9">
        <f t="shared" si="15"/>
        <v>46023</v>
      </c>
      <c r="P57" s="9">
        <f t="shared" si="15"/>
        <v>46388</v>
      </c>
      <c r="Q57" s="9">
        <f t="shared" si="15"/>
        <v>46753</v>
      </c>
      <c r="R57" s="9">
        <f t="shared" si="15"/>
        <v>47119</v>
      </c>
      <c r="S57" s="9">
        <f t="shared" si="15"/>
        <v>47484</v>
      </c>
      <c r="T57" s="9">
        <f t="shared" si="15"/>
        <v>47849</v>
      </c>
      <c r="U57" s="9">
        <f t="shared" si="15"/>
        <v>48214</v>
      </c>
      <c r="V57" s="9">
        <f t="shared" si="15"/>
        <v>48580</v>
      </c>
      <c r="W57" s="9">
        <f t="shared" si="15"/>
        <v>48945</v>
      </c>
      <c r="X57" s="9">
        <f t="shared" si="15"/>
        <v>49310</v>
      </c>
    </row>
    <row r="58" spans="1:24" outlineLevel="1">
      <c r="A58" s="17"/>
      <c r="B58" s="17"/>
      <c r="C58" s="28"/>
      <c r="D58" s="27"/>
      <c r="E58" s="16" t="s">
        <v>110</v>
      </c>
      <c r="F58" s="16"/>
      <c r="G58" s="16" t="s">
        <v>108</v>
      </c>
      <c r="L58" s="18">
        <f xml:space="preserve"> SUM( N58:X58 )</f>
        <v>3</v>
      </c>
      <c r="M58" s="16"/>
      <c r="N58" s="18">
        <f t="shared" ref="N58:X58" si="16" xml:space="preserve">  IF( AND( N56 &gt;= $F54, N57 &lt;= $F55 ), 1, 0 )</f>
        <v>1</v>
      </c>
      <c r="O58" s="18">
        <f t="shared" si="16"/>
        <v>1</v>
      </c>
      <c r="P58" s="18">
        <f t="shared" si="16"/>
        <v>1</v>
      </c>
      <c r="Q58" s="18">
        <f t="shared" si="16"/>
        <v>0</v>
      </c>
      <c r="R58" s="18">
        <f t="shared" si="16"/>
        <v>0</v>
      </c>
      <c r="S58" s="18">
        <f t="shared" si="16"/>
        <v>0</v>
      </c>
      <c r="T58" s="18">
        <f t="shared" si="16"/>
        <v>0</v>
      </c>
      <c r="U58" s="18">
        <f t="shared" si="16"/>
        <v>0</v>
      </c>
      <c r="V58" s="18">
        <f t="shared" si="16"/>
        <v>0</v>
      </c>
      <c r="W58" s="18">
        <f t="shared" si="16"/>
        <v>0</v>
      </c>
      <c r="X58" s="18">
        <f t="shared" si="16"/>
        <v>0</v>
      </c>
    </row>
    <row r="59" spans="1:24" outlineLevel="1"/>
    <row r="61" spans="1:24">
      <c r="A61" s="23" t="s">
        <v>111</v>
      </c>
    </row>
    <row r="63" spans="1:24" outlineLevel="1">
      <c r="B63" s="23" t="s">
        <v>112</v>
      </c>
    </row>
    <row r="64" spans="1:24" outlineLevel="1">
      <c r="A64" s="5"/>
      <c r="B64" s="5"/>
      <c r="C64" s="10"/>
      <c r="D64" s="11"/>
      <c r="E64" s="7" t="str">
        <f xml:space="preserve">  Inputs!E$11</f>
        <v>2025 date</v>
      </c>
      <c r="F64" s="59">
        <f xml:space="preserve">  Inputs!F$11</f>
        <v>46022</v>
      </c>
      <c r="G64" s="7" t="str">
        <f xml:space="preserve">  Inputs!G$11</f>
        <v>date</v>
      </c>
      <c r="L64" s="9"/>
    </row>
    <row r="65" spans="1:24" outlineLevel="1">
      <c r="E65" s="46" t="str">
        <f t="shared" ref="E65:X65" si="17" xml:space="preserve">  E$40</f>
        <v>Model period start</v>
      </c>
      <c r="F65" s="9">
        <f t="shared" si="17"/>
        <v>0</v>
      </c>
      <c r="G65" s="9" t="str">
        <f t="shared" si="17"/>
        <v>date</v>
      </c>
      <c r="L65" s="9">
        <f t="shared" si="17"/>
        <v>0</v>
      </c>
      <c r="M65" s="9">
        <f t="shared" si="17"/>
        <v>0</v>
      </c>
      <c r="N65" s="9">
        <f t="shared" si="17"/>
        <v>45658</v>
      </c>
      <c r="O65" s="9">
        <f t="shared" si="17"/>
        <v>46023</v>
      </c>
      <c r="P65" s="9">
        <f t="shared" si="17"/>
        <v>46388</v>
      </c>
      <c r="Q65" s="9">
        <f t="shared" si="17"/>
        <v>46753</v>
      </c>
      <c r="R65" s="9">
        <f t="shared" si="17"/>
        <v>47119</v>
      </c>
      <c r="S65" s="9">
        <f t="shared" si="17"/>
        <v>47484</v>
      </c>
      <c r="T65" s="9">
        <f t="shared" si="17"/>
        <v>47849</v>
      </c>
      <c r="U65" s="9">
        <f t="shared" si="17"/>
        <v>48214</v>
      </c>
      <c r="V65" s="9">
        <f t="shared" si="17"/>
        <v>48580</v>
      </c>
      <c r="W65" s="9">
        <f t="shared" si="17"/>
        <v>48945</v>
      </c>
      <c r="X65" s="9">
        <f t="shared" si="17"/>
        <v>49310</v>
      </c>
    </row>
    <row r="66" spans="1:24" outlineLevel="1">
      <c r="E66" s="46" t="str">
        <f t="shared" ref="E66:X66" si="18" xml:space="preserve">  E$29</f>
        <v>Model period end</v>
      </c>
      <c r="F66" s="9">
        <f t="shared" si="18"/>
        <v>0</v>
      </c>
      <c r="G66" s="9" t="str">
        <f t="shared" si="18"/>
        <v>date</v>
      </c>
      <c r="L66" s="9">
        <f t="shared" si="18"/>
        <v>0</v>
      </c>
      <c r="M66" s="9">
        <f t="shared" si="18"/>
        <v>0</v>
      </c>
      <c r="N66" s="9">
        <f t="shared" si="18"/>
        <v>46022</v>
      </c>
      <c r="O66" s="9">
        <f t="shared" si="18"/>
        <v>46387</v>
      </c>
      <c r="P66" s="9">
        <f t="shared" si="18"/>
        <v>46752</v>
      </c>
      <c r="Q66" s="9">
        <f t="shared" si="18"/>
        <v>47118</v>
      </c>
      <c r="R66" s="9">
        <f t="shared" si="18"/>
        <v>47483</v>
      </c>
      <c r="S66" s="9">
        <f t="shared" si="18"/>
        <v>47848</v>
      </c>
      <c r="T66" s="9">
        <f t="shared" si="18"/>
        <v>48213</v>
      </c>
      <c r="U66" s="9">
        <f t="shared" si="18"/>
        <v>48579</v>
      </c>
      <c r="V66" s="9">
        <f t="shared" si="18"/>
        <v>48944</v>
      </c>
      <c r="W66" s="9">
        <f t="shared" si="18"/>
        <v>49309</v>
      </c>
      <c r="X66" s="9">
        <f t="shared" si="18"/>
        <v>49674</v>
      </c>
    </row>
    <row r="67" spans="1:24" outlineLevel="1">
      <c r="A67" s="17"/>
      <c r="B67" s="17"/>
      <c r="C67" s="28"/>
      <c r="D67" s="27"/>
      <c r="E67" s="16" t="s">
        <v>112</v>
      </c>
      <c r="F67" s="16"/>
      <c r="G67" s="16" t="s">
        <v>108</v>
      </c>
      <c r="L67" s="18">
        <f xml:space="preserve"> SUM( N67:X67 )</f>
        <v>1</v>
      </c>
      <c r="M67" s="16"/>
      <c r="N67" s="18">
        <f t="shared" ref="N67:X67" si="19" xml:space="preserve">  IF( AND( N65 &lt;= $F64, N66 &gt;= $F64 ), 1, 0 )</f>
        <v>1</v>
      </c>
      <c r="O67" s="18">
        <f t="shared" si="19"/>
        <v>0</v>
      </c>
      <c r="P67" s="18">
        <f t="shared" si="19"/>
        <v>0</v>
      </c>
      <c r="Q67" s="18">
        <f t="shared" si="19"/>
        <v>0</v>
      </c>
      <c r="R67" s="18">
        <f t="shared" si="19"/>
        <v>0</v>
      </c>
      <c r="S67" s="18">
        <f t="shared" si="19"/>
        <v>0</v>
      </c>
      <c r="T67" s="18">
        <f t="shared" si="19"/>
        <v>0</v>
      </c>
      <c r="U67" s="18">
        <f t="shared" si="19"/>
        <v>0</v>
      </c>
      <c r="V67" s="18">
        <f t="shared" si="19"/>
        <v>0</v>
      </c>
      <c r="W67" s="18">
        <f t="shared" si="19"/>
        <v>0</v>
      </c>
      <c r="X67" s="18">
        <f t="shared" si="19"/>
        <v>0</v>
      </c>
    </row>
    <row r="68" spans="1:24" outlineLevel="1"/>
    <row r="70" spans="1:24">
      <c r="A70" s="23" t="s">
        <v>113</v>
      </c>
    </row>
    <row r="72" spans="1:24" outlineLevel="1">
      <c r="B72" s="23" t="s">
        <v>114</v>
      </c>
    </row>
    <row r="73" spans="1:24" outlineLevel="1">
      <c r="A73" s="5"/>
      <c r="B73" s="5"/>
      <c r="C73" s="10"/>
      <c r="D73" s="11"/>
      <c r="E73" s="7" t="str">
        <f xml:space="preserve">  Inputs!E$12</f>
        <v>2026 date</v>
      </c>
      <c r="F73" s="59">
        <f xml:space="preserve">  Inputs!F$12</f>
        <v>46387</v>
      </c>
      <c r="G73" s="7" t="str">
        <f xml:space="preserve">  Inputs!G$12</f>
        <v>date</v>
      </c>
      <c r="L73" s="9"/>
    </row>
    <row r="74" spans="1:24" outlineLevel="1">
      <c r="E74" s="46" t="str">
        <f t="shared" ref="E74:X74" si="20" xml:space="preserve">  E$40</f>
        <v>Model period start</v>
      </c>
      <c r="F74" s="9">
        <f t="shared" si="20"/>
        <v>0</v>
      </c>
      <c r="G74" s="9" t="str">
        <f t="shared" si="20"/>
        <v>date</v>
      </c>
      <c r="L74" s="9">
        <f t="shared" si="20"/>
        <v>0</v>
      </c>
      <c r="M74" s="9">
        <f t="shared" si="20"/>
        <v>0</v>
      </c>
      <c r="N74" s="9">
        <f t="shared" si="20"/>
        <v>45658</v>
      </c>
      <c r="O74" s="9">
        <f t="shared" si="20"/>
        <v>46023</v>
      </c>
      <c r="P74" s="9">
        <f t="shared" si="20"/>
        <v>46388</v>
      </c>
      <c r="Q74" s="9">
        <f t="shared" si="20"/>
        <v>46753</v>
      </c>
      <c r="R74" s="9">
        <f t="shared" si="20"/>
        <v>47119</v>
      </c>
      <c r="S74" s="9">
        <f t="shared" si="20"/>
        <v>47484</v>
      </c>
      <c r="T74" s="9">
        <f t="shared" si="20"/>
        <v>47849</v>
      </c>
      <c r="U74" s="9">
        <f t="shared" si="20"/>
        <v>48214</v>
      </c>
      <c r="V74" s="9">
        <f t="shared" si="20"/>
        <v>48580</v>
      </c>
      <c r="W74" s="9">
        <f t="shared" si="20"/>
        <v>48945</v>
      </c>
      <c r="X74" s="9">
        <f t="shared" si="20"/>
        <v>49310</v>
      </c>
    </row>
    <row r="75" spans="1:24" outlineLevel="1">
      <c r="E75" s="46" t="str">
        <f t="shared" ref="E75:X75" si="21" xml:space="preserve">  E$29</f>
        <v>Model period end</v>
      </c>
      <c r="F75" s="9">
        <f t="shared" si="21"/>
        <v>0</v>
      </c>
      <c r="G75" s="9" t="str">
        <f t="shared" si="21"/>
        <v>date</v>
      </c>
      <c r="L75" s="9">
        <f t="shared" si="21"/>
        <v>0</v>
      </c>
      <c r="M75" s="9">
        <f t="shared" si="21"/>
        <v>0</v>
      </c>
      <c r="N75" s="9">
        <f t="shared" si="21"/>
        <v>46022</v>
      </c>
      <c r="O75" s="9">
        <f t="shared" si="21"/>
        <v>46387</v>
      </c>
      <c r="P75" s="9">
        <f t="shared" si="21"/>
        <v>46752</v>
      </c>
      <c r="Q75" s="9">
        <f t="shared" si="21"/>
        <v>47118</v>
      </c>
      <c r="R75" s="9">
        <f t="shared" si="21"/>
        <v>47483</v>
      </c>
      <c r="S75" s="9">
        <f t="shared" si="21"/>
        <v>47848</v>
      </c>
      <c r="T75" s="9">
        <f t="shared" si="21"/>
        <v>48213</v>
      </c>
      <c r="U75" s="9">
        <f t="shared" si="21"/>
        <v>48579</v>
      </c>
      <c r="V75" s="9">
        <f t="shared" si="21"/>
        <v>48944</v>
      </c>
      <c r="W75" s="9">
        <f t="shared" si="21"/>
        <v>49309</v>
      </c>
      <c r="X75" s="9">
        <f t="shared" si="21"/>
        <v>49674</v>
      </c>
    </row>
    <row r="76" spans="1:24" outlineLevel="1">
      <c r="A76" s="17"/>
      <c r="B76" s="17"/>
      <c r="C76" s="28"/>
      <c r="D76" s="27"/>
      <c r="E76" s="16" t="s">
        <v>114</v>
      </c>
      <c r="F76" s="16"/>
      <c r="G76" s="16" t="s">
        <v>108</v>
      </c>
      <c r="L76" s="18">
        <f xml:space="preserve"> SUM( N76:X76 )</f>
        <v>1</v>
      </c>
      <c r="M76" s="16"/>
      <c r="N76" s="18">
        <f t="shared" ref="N76:X76" si="22" xml:space="preserve">  IF( AND( N74 &lt;= $F73, N75 &gt;= $F73 ), 1, 0 )</f>
        <v>0</v>
      </c>
      <c r="O76" s="18">
        <f t="shared" si="22"/>
        <v>1</v>
      </c>
      <c r="P76" s="18">
        <f t="shared" si="22"/>
        <v>0</v>
      </c>
      <c r="Q76" s="18">
        <f t="shared" si="22"/>
        <v>0</v>
      </c>
      <c r="R76" s="18">
        <f t="shared" si="22"/>
        <v>0</v>
      </c>
      <c r="S76" s="18">
        <f t="shared" si="22"/>
        <v>0</v>
      </c>
      <c r="T76" s="18">
        <f t="shared" si="22"/>
        <v>0</v>
      </c>
      <c r="U76" s="18">
        <f t="shared" si="22"/>
        <v>0</v>
      </c>
      <c r="V76" s="18">
        <f t="shared" si="22"/>
        <v>0</v>
      </c>
      <c r="W76" s="18">
        <f t="shared" si="22"/>
        <v>0</v>
      </c>
      <c r="X76" s="18">
        <f t="shared" si="22"/>
        <v>0</v>
      </c>
    </row>
    <row r="77" spans="1:24" outlineLevel="1"/>
    <row r="79" spans="1:24">
      <c r="A79" s="23" t="s">
        <v>115</v>
      </c>
    </row>
    <row r="81" spans="1:24" outlineLevel="1">
      <c r="B81" s="23" t="s">
        <v>116</v>
      </c>
    </row>
    <row r="82" spans="1:24" outlineLevel="1">
      <c r="A82" s="5"/>
      <c r="B82" s="5"/>
      <c r="C82" s="10"/>
      <c r="D82" s="11"/>
      <c r="E82" s="7" t="str">
        <f xml:space="preserve">  Inputs!E$16</f>
        <v>NR33 (Closing RAB end date) date</v>
      </c>
      <c r="F82" s="59">
        <f xml:space="preserve">  Inputs!F$16</f>
        <v>49674</v>
      </c>
      <c r="G82" s="7" t="str">
        <f xml:space="preserve">  Inputs!G$16</f>
        <v>date</v>
      </c>
      <c r="L82" s="9"/>
    </row>
    <row r="83" spans="1:24" outlineLevel="1">
      <c r="E83" s="46" t="str">
        <f t="shared" ref="E83:X83" si="23" xml:space="preserve">  E$40</f>
        <v>Model period start</v>
      </c>
      <c r="F83" s="9">
        <f t="shared" si="23"/>
        <v>0</v>
      </c>
      <c r="G83" s="9" t="str">
        <f t="shared" si="23"/>
        <v>date</v>
      </c>
      <c r="L83" s="9">
        <f t="shared" si="23"/>
        <v>0</v>
      </c>
      <c r="M83" s="9">
        <f t="shared" si="23"/>
        <v>0</v>
      </c>
      <c r="N83" s="9">
        <f t="shared" si="23"/>
        <v>45658</v>
      </c>
      <c r="O83" s="9">
        <f t="shared" si="23"/>
        <v>46023</v>
      </c>
      <c r="P83" s="9">
        <f t="shared" si="23"/>
        <v>46388</v>
      </c>
      <c r="Q83" s="9">
        <f t="shared" si="23"/>
        <v>46753</v>
      </c>
      <c r="R83" s="9">
        <f t="shared" si="23"/>
        <v>47119</v>
      </c>
      <c r="S83" s="9">
        <f t="shared" si="23"/>
        <v>47484</v>
      </c>
      <c r="T83" s="9">
        <f t="shared" si="23"/>
        <v>47849</v>
      </c>
      <c r="U83" s="9">
        <f t="shared" si="23"/>
        <v>48214</v>
      </c>
      <c r="V83" s="9">
        <f t="shared" si="23"/>
        <v>48580</v>
      </c>
      <c r="W83" s="9">
        <f t="shared" si="23"/>
        <v>48945</v>
      </c>
      <c r="X83" s="9">
        <f t="shared" si="23"/>
        <v>49310</v>
      </c>
    </row>
    <row r="84" spans="1:24" outlineLevel="1">
      <c r="E84" s="46" t="str">
        <f t="shared" ref="E84:X84" si="24" xml:space="preserve">  E$29</f>
        <v>Model period end</v>
      </c>
      <c r="F84" s="9">
        <f t="shared" si="24"/>
        <v>0</v>
      </c>
      <c r="G84" s="9" t="str">
        <f t="shared" si="24"/>
        <v>date</v>
      </c>
      <c r="L84" s="9">
        <f t="shared" si="24"/>
        <v>0</v>
      </c>
      <c r="M84" s="9">
        <f t="shared" si="24"/>
        <v>0</v>
      </c>
      <c r="N84" s="9">
        <f t="shared" si="24"/>
        <v>46022</v>
      </c>
      <c r="O84" s="9">
        <f t="shared" si="24"/>
        <v>46387</v>
      </c>
      <c r="P84" s="9">
        <f t="shared" si="24"/>
        <v>46752</v>
      </c>
      <c r="Q84" s="9">
        <f t="shared" si="24"/>
        <v>47118</v>
      </c>
      <c r="R84" s="9">
        <f t="shared" si="24"/>
        <v>47483</v>
      </c>
      <c r="S84" s="9">
        <f t="shared" si="24"/>
        <v>47848</v>
      </c>
      <c r="T84" s="9">
        <f t="shared" si="24"/>
        <v>48213</v>
      </c>
      <c r="U84" s="9">
        <f t="shared" si="24"/>
        <v>48579</v>
      </c>
      <c r="V84" s="9">
        <f t="shared" si="24"/>
        <v>48944</v>
      </c>
      <c r="W84" s="9">
        <f t="shared" si="24"/>
        <v>49309</v>
      </c>
      <c r="X84" s="9">
        <f t="shared" si="24"/>
        <v>49674</v>
      </c>
    </row>
    <row r="85" spans="1:24" outlineLevel="1">
      <c r="A85" s="17"/>
      <c r="B85" s="17"/>
      <c r="C85" s="28"/>
      <c r="D85" s="27"/>
      <c r="E85" s="16" t="s">
        <v>116</v>
      </c>
      <c r="F85" s="16"/>
      <c r="G85" s="16" t="s">
        <v>108</v>
      </c>
      <c r="L85" s="18">
        <f xml:space="preserve"> SUM( N85:X85 )</f>
        <v>1</v>
      </c>
      <c r="M85" s="16"/>
      <c r="N85" s="18">
        <f t="shared" ref="N85:X85" si="25" xml:space="preserve">  IF( AND( N83 &lt;= $F82, N84 &gt;= $F82 ), 1, 0 )</f>
        <v>0</v>
      </c>
      <c r="O85" s="18">
        <f t="shared" si="25"/>
        <v>0</v>
      </c>
      <c r="P85" s="18">
        <f t="shared" si="25"/>
        <v>0</v>
      </c>
      <c r="Q85" s="18">
        <f t="shared" si="25"/>
        <v>0</v>
      </c>
      <c r="R85" s="18">
        <f t="shared" si="25"/>
        <v>0</v>
      </c>
      <c r="S85" s="18">
        <f t="shared" si="25"/>
        <v>0</v>
      </c>
      <c r="T85" s="18">
        <f t="shared" si="25"/>
        <v>0</v>
      </c>
      <c r="U85" s="18">
        <f t="shared" si="25"/>
        <v>0</v>
      </c>
      <c r="V85" s="18">
        <f t="shared" si="25"/>
        <v>0</v>
      </c>
      <c r="W85" s="18">
        <f t="shared" si="25"/>
        <v>0</v>
      </c>
      <c r="X85" s="18">
        <f t="shared" si="25"/>
        <v>1</v>
      </c>
    </row>
    <row r="86" spans="1:24" outlineLevel="1"/>
    <row r="88" spans="1:24">
      <c r="A88" s="23" t="s">
        <v>117</v>
      </c>
    </row>
    <row r="90" spans="1:24" outlineLevel="1">
      <c r="B90" s="23" t="s">
        <v>118</v>
      </c>
    </row>
    <row r="91" spans="1:24" outlineLevel="1">
      <c r="A91" s="5"/>
      <c r="B91" s="5"/>
      <c r="C91" s="10"/>
      <c r="D91" s="11"/>
      <c r="E91" s="7" t="str">
        <f xml:space="preserve">  Inputs!E$15</f>
        <v>NR23 specific date date</v>
      </c>
      <c r="F91" s="59">
        <f xml:space="preserve">  Inputs!F$15</f>
        <v>46752</v>
      </c>
      <c r="G91" s="7" t="str">
        <f xml:space="preserve">  Inputs!G$15</f>
        <v>date</v>
      </c>
      <c r="L91" s="9"/>
    </row>
    <row r="92" spans="1:24" outlineLevel="1">
      <c r="E92" s="46" t="str">
        <f t="shared" ref="E92:X92" si="26" xml:space="preserve">  E$40</f>
        <v>Model period start</v>
      </c>
      <c r="F92" s="9">
        <f t="shared" si="26"/>
        <v>0</v>
      </c>
      <c r="G92" s="9" t="str">
        <f t="shared" si="26"/>
        <v>date</v>
      </c>
      <c r="L92" s="9">
        <f t="shared" si="26"/>
        <v>0</v>
      </c>
      <c r="M92" s="9">
        <f t="shared" si="26"/>
        <v>0</v>
      </c>
      <c r="N92" s="9">
        <f t="shared" si="26"/>
        <v>45658</v>
      </c>
      <c r="O92" s="9">
        <f t="shared" si="26"/>
        <v>46023</v>
      </c>
      <c r="P92" s="9">
        <f t="shared" si="26"/>
        <v>46388</v>
      </c>
      <c r="Q92" s="9">
        <f t="shared" si="26"/>
        <v>46753</v>
      </c>
      <c r="R92" s="9">
        <f t="shared" si="26"/>
        <v>47119</v>
      </c>
      <c r="S92" s="9">
        <f t="shared" si="26"/>
        <v>47484</v>
      </c>
      <c r="T92" s="9">
        <f t="shared" si="26"/>
        <v>47849</v>
      </c>
      <c r="U92" s="9">
        <f t="shared" si="26"/>
        <v>48214</v>
      </c>
      <c r="V92" s="9">
        <f t="shared" si="26"/>
        <v>48580</v>
      </c>
      <c r="W92" s="9">
        <f t="shared" si="26"/>
        <v>48945</v>
      </c>
      <c r="X92" s="9">
        <f t="shared" si="26"/>
        <v>49310</v>
      </c>
    </row>
    <row r="93" spans="1:24" outlineLevel="1">
      <c r="E93" s="46" t="str">
        <f t="shared" ref="E93:X93" si="27" xml:space="preserve">  E$29</f>
        <v>Model period end</v>
      </c>
      <c r="F93" s="9">
        <f t="shared" si="27"/>
        <v>0</v>
      </c>
      <c r="G93" s="9" t="str">
        <f t="shared" si="27"/>
        <v>date</v>
      </c>
      <c r="L93" s="9">
        <f t="shared" si="27"/>
        <v>0</v>
      </c>
      <c r="M93" s="9">
        <f t="shared" si="27"/>
        <v>0</v>
      </c>
      <c r="N93" s="9">
        <f t="shared" si="27"/>
        <v>46022</v>
      </c>
      <c r="O93" s="9">
        <f t="shared" si="27"/>
        <v>46387</v>
      </c>
      <c r="P93" s="9">
        <f t="shared" si="27"/>
        <v>46752</v>
      </c>
      <c r="Q93" s="9">
        <f t="shared" si="27"/>
        <v>47118</v>
      </c>
      <c r="R93" s="9">
        <f t="shared" si="27"/>
        <v>47483</v>
      </c>
      <c r="S93" s="9">
        <f t="shared" si="27"/>
        <v>47848</v>
      </c>
      <c r="T93" s="9">
        <f t="shared" si="27"/>
        <v>48213</v>
      </c>
      <c r="U93" s="9">
        <f t="shared" si="27"/>
        <v>48579</v>
      </c>
      <c r="V93" s="9">
        <f t="shared" si="27"/>
        <v>48944</v>
      </c>
      <c r="W93" s="9">
        <f t="shared" si="27"/>
        <v>49309</v>
      </c>
      <c r="X93" s="9">
        <f t="shared" si="27"/>
        <v>49674</v>
      </c>
    </row>
    <row r="94" spans="1:24" outlineLevel="1">
      <c r="A94" s="17"/>
      <c r="B94" s="17"/>
      <c r="C94" s="28"/>
      <c r="D94" s="27"/>
      <c r="E94" s="16" t="s">
        <v>118</v>
      </c>
      <c r="F94" s="16"/>
      <c r="G94" s="16" t="s">
        <v>108</v>
      </c>
      <c r="L94" s="18">
        <f xml:space="preserve"> SUM( N94:X94 )</f>
        <v>1</v>
      </c>
      <c r="M94" s="16"/>
      <c r="N94" s="18">
        <f t="shared" ref="N94:X94" si="28" xml:space="preserve">  IF( AND( N92 &lt;= $F91, N93 &gt;= $F91 ), 1, 0 )</f>
        <v>0</v>
      </c>
      <c r="O94" s="18">
        <f t="shared" si="28"/>
        <v>0</v>
      </c>
      <c r="P94" s="18">
        <f t="shared" si="28"/>
        <v>1</v>
      </c>
      <c r="Q94" s="18">
        <f t="shared" si="28"/>
        <v>0</v>
      </c>
      <c r="R94" s="18">
        <f t="shared" si="28"/>
        <v>0</v>
      </c>
      <c r="S94" s="18">
        <f t="shared" si="28"/>
        <v>0</v>
      </c>
      <c r="T94" s="18">
        <f t="shared" si="28"/>
        <v>0</v>
      </c>
      <c r="U94" s="18">
        <f t="shared" si="28"/>
        <v>0</v>
      </c>
      <c r="V94" s="18">
        <f t="shared" si="28"/>
        <v>0</v>
      </c>
      <c r="W94" s="18">
        <f t="shared" si="28"/>
        <v>0</v>
      </c>
      <c r="X94" s="18">
        <f t="shared" si="28"/>
        <v>0</v>
      </c>
    </row>
    <row r="95" spans="1:24" outlineLevel="1"/>
    <row r="98" spans="1:1">
      <c r="A98" s="23" t="s">
        <v>100</v>
      </c>
    </row>
  </sheetData>
  <printOptions headings="1"/>
  <pageMargins left="0.74803149606299213" right="0.74803149606299213" top="0.98425196850393704" bottom="0.98425196850393704" header="0.51181102362204722" footer="0.51181102362204722"/>
  <pageSetup paperSize="9" scale="49" orientation="landscape" blackAndWhite="1"/>
  <headerFooter>
    <oddHeader>&amp;LPROJECT [XXX]&amp;C&amp;"Calibri"&amp;8&amp;K000000 OFFICIAL - Public. This information has been cleared for unrestricted distribution. &amp;1#_x000D_&amp;"Tahomai"&amp;8&amp;K000000&amp;"Tahomai"&amp;8&amp;K000000&amp;"Tahomai"&amp;8&amp;K000000Sheet:&amp;A&amp;RSTRICTLY CONFIDENTIAL</oddHeader>
    <oddFooter>&amp;L&amp;F ( Printed on &amp;D at &amp;T )&amp;C_x000D_&amp;1#&amp;"Calibri"&amp;8&amp;K000000 OFFICIAL - Public&amp;RPage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X369"/>
  <sheetViews>
    <sheetView defaultGridColor="0" colorId="22" zoomScale="80" workbookViewId="0">
      <pane xSplit="13" ySplit="5" topLeftCell="N6" activePane="bottomRight" state="frozen"/>
      <selection pane="topRight" activeCell="J6" sqref="J6"/>
      <selection pane="bottomLeft" activeCell="J6" sqref="J6"/>
      <selection pane="bottomRight"/>
    </sheetView>
  </sheetViews>
  <sheetFormatPr defaultColWidth="0" defaultRowHeight="13" outlineLevelRow="2"/>
  <cols>
    <col min="1" max="2" width="1.44140625" style="23" customWidth="1"/>
    <col min="3" max="3" width="1.44140625" style="51" customWidth="1"/>
    <col min="4" max="4" width="1.44140625" style="75" customWidth="1"/>
    <col min="5" max="5" width="71.44140625" style="46" customWidth="1"/>
    <col min="6" max="6" width="16.33203125" style="46" customWidth="1"/>
    <col min="7" max="7" width="23.109375" style="46" customWidth="1"/>
    <col min="8" max="11" width="15.109375" customWidth="1"/>
    <col min="12" max="12" width="15.109375" style="46" customWidth="1"/>
    <col min="13" max="13" width="4.44140625" style="46" customWidth="1"/>
    <col min="14" max="14" width="15.109375" style="46" customWidth="1"/>
    <col min="15" max="15" width="12.109375" style="46" bestFit="1" customWidth="1"/>
    <col min="16" max="24" width="15.109375" style="46" customWidth="1"/>
    <col min="25" max="25" width="15.109375" style="46" hidden="1" customWidth="1"/>
    <col min="26" max="16384" width="15.109375" style="46" hidden="1"/>
  </cols>
  <sheetData>
    <row r="1" spans="1:24" s="55" customFormat="1" ht="25">
      <c r="A1" s="50" t="str">
        <f ca="1" xml:space="preserve"> RIGHT(CELL("filename", A1), LEN(CELL("filename", A1)) - SEARCH("]", CELL("filename", A1)))</f>
        <v>RAB</v>
      </c>
      <c r="B1" s="66"/>
      <c r="C1" s="70"/>
      <c r="D1" s="76"/>
      <c r="F1" s="57" t="str">
        <f>HYPERLINK("#Contents!A1","Go to contents")</f>
        <v>Go to contents</v>
      </c>
      <c r="H1" s="89"/>
      <c r="I1" s="89"/>
      <c r="J1" s="89"/>
      <c r="K1" s="89"/>
      <c r="N1" s="43"/>
      <c r="P1" s="43"/>
    </row>
    <row r="2" spans="1:24" s="9" customFormat="1">
      <c r="A2" s="48"/>
      <c r="B2" s="48"/>
      <c r="C2" s="71"/>
      <c r="D2" s="68"/>
      <c r="E2" s="15" t="s">
        <v>10</v>
      </c>
      <c r="F2" s="37"/>
      <c r="G2" s="37"/>
      <c r="H2" s="37"/>
      <c r="I2" s="37"/>
      <c r="J2" s="37"/>
      <c r="K2" s="37"/>
      <c r="L2" s="37"/>
      <c r="M2" s="37"/>
      <c r="N2" s="9">
        <f xml:space="preserve"> Time!N$29</f>
        <v>46022</v>
      </c>
      <c r="O2" s="9">
        <f xml:space="preserve"> Time!O$29</f>
        <v>46387</v>
      </c>
      <c r="P2" s="9">
        <f xml:space="preserve"> Time!P$29</f>
        <v>46752</v>
      </c>
      <c r="Q2" s="9">
        <f xml:space="preserve"> Time!Q$29</f>
        <v>47118</v>
      </c>
      <c r="R2" s="9">
        <f xml:space="preserve"> Time!R$29</f>
        <v>47483</v>
      </c>
      <c r="S2" s="9">
        <f xml:space="preserve"> Time!S$29</f>
        <v>47848</v>
      </c>
      <c r="T2" s="9">
        <f xml:space="preserve"> Time!T$29</f>
        <v>48213</v>
      </c>
      <c r="U2" s="9">
        <f xml:space="preserve"> Time!U$29</f>
        <v>48579</v>
      </c>
      <c r="V2" s="9">
        <f xml:space="preserve"> Time!V$29</f>
        <v>48944</v>
      </c>
      <c r="W2" s="9">
        <f xml:space="preserve"> Time!W$29</f>
        <v>49309</v>
      </c>
      <c r="X2" s="9">
        <f xml:space="preserve"> Time!X$29</f>
        <v>49674</v>
      </c>
    </row>
    <row r="3" spans="1:24" s="40" customFormat="1">
      <c r="A3" s="48"/>
      <c r="B3" s="48"/>
      <c r="C3" s="71"/>
      <c r="D3" s="68"/>
      <c r="E3" s="31" t="s">
        <v>11</v>
      </c>
      <c r="F3" s="37"/>
      <c r="G3" s="37"/>
      <c r="H3" s="37"/>
      <c r="I3" s="37"/>
      <c r="J3" s="37"/>
      <c r="K3" s="37"/>
      <c r="L3" s="37"/>
      <c r="M3" s="37"/>
      <c r="N3" s="15" t="str">
        <f xml:space="preserve"> Inputs!N$76</f>
        <v>NR23</v>
      </c>
      <c r="O3" s="15" t="str">
        <f xml:space="preserve"> Inputs!O$76</f>
        <v>NR23</v>
      </c>
      <c r="P3" s="15" t="str">
        <f xml:space="preserve"> Inputs!P$76</f>
        <v>NR23</v>
      </c>
      <c r="Q3" s="15" t="str">
        <f xml:space="preserve"> Inputs!Q$76</f>
        <v>NR28</v>
      </c>
      <c r="R3" s="15" t="str">
        <f xml:space="preserve"> Inputs!R$76</f>
        <v>NR28</v>
      </c>
      <c r="S3" s="15" t="str">
        <f xml:space="preserve"> Inputs!S$76</f>
        <v>NR28</v>
      </c>
      <c r="T3" s="15" t="str">
        <f xml:space="preserve"> Inputs!T$76</f>
        <v>NR28</v>
      </c>
      <c r="U3" s="15" t="str">
        <f xml:space="preserve"> Inputs!U$76</f>
        <v>NR28</v>
      </c>
      <c r="V3" s="15" t="str">
        <f xml:space="preserve"> Inputs!V$76</f>
        <v>NR33</v>
      </c>
      <c r="W3" s="15" t="str">
        <f xml:space="preserve"> Inputs!W$76</f>
        <v>NR33</v>
      </c>
      <c r="X3" s="15" t="str">
        <f xml:space="preserve"> Inputs!X$76</f>
        <v>NR33</v>
      </c>
    </row>
    <row r="4" spans="1:24" s="36" customFormat="1">
      <c r="A4" s="48"/>
      <c r="B4" s="48"/>
      <c r="C4" s="71"/>
      <c r="D4" s="68"/>
      <c r="E4" s="15" t="s">
        <v>12</v>
      </c>
      <c r="F4" s="23"/>
      <c r="G4" s="15"/>
      <c r="H4"/>
      <c r="I4"/>
      <c r="J4"/>
      <c r="K4"/>
      <c r="L4" s="15"/>
      <c r="M4" s="15"/>
      <c r="N4" s="15">
        <f xml:space="preserve"> Time!N$33</f>
        <v>1</v>
      </c>
      <c r="O4" s="15">
        <f xml:space="preserve"> Time!O$33</f>
        <v>2</v>
      </c>
      <c r="P4" s="15">
        <f xml:space="preserve"> Time!P$33</f>
        <v>3</v>
      </c>
      <c r="Q4" s="15">
        <f xml:space="preserve"> Time!Q$33</f>
        <v>4</v>
      </c>
      <c r="R4" s="15">
        <f xml:space="preserve"> Time!R$33</f>
        <v>5</v>
      </c>
      <c r="S4" s="15">
        <f xml:space="preserve"> Time!S$33</f>
        <v>6</v>
      </c>
      <c r="T4" s="15">
        <f xml:space="preserve"> Time!T$33</f>
        <v>7</v>
      </c>
      <c r="U4" s="15">
        <f xml:space="preserve"> Time!U$33</f>
        <v>8</v>
      </c>
      <c r="V4" s="15">
        <f xml:space="preserve"> Time!V$33</f>
        <v>9</v>
      </c>
      <c r="W4" s="15">
        <f xml:space="preserve"> Time!W$33</f>
        <v>10</v>
      </c>
      <c r="X4" s="15">
        <f xml:space="preserve"> Time!X$33</f>
        <v>11</v>
      </c>
    </row>
    <row r="5" spans="1:24" s="40" customFormat="1">
      <c r="A5" s="48"/>
      <c r="B5" s="48"/>
      <c r="C5" s="71"/>
      <c r="D5" s="68"/>
      <c r="E5" s="15" t="s">
        <v>13</v>
      </c>
      <c r="F5" s="23" t="s">
        <v>14</v>
      </c>
      <c r="G5" s="23" t="s">
        <v>15</v>
      </c>
      <c r="H5" s="38" t="s">
        <v>16</v>
      </c>
      <c r="I5" s="38" t="s">
        <v>17</v>
      </c>
      <c r="J5" s="38" t="s">
        <v>18</v>
      </c>
      <c r="K5" s="38"/>
      <c r="L5" s="23" t="s">
        <v>19</v>
      </c>
      <c r="M5" s="23"/>
      <c r="O5" s="15"/>
      <c r="P5" s="20"/>
      <c r="Q5" s="20"/>
      <c r="R5" s="20"/>
      <c r="S5" s="20"/>
      <c r="T5" s="20"/>
      <c r="U5" s="20"/>
    </row>
    <row r="6" spans="1:24" s="31" customFormat="1">
      <c r="A6" s="23"/>
      <c r="B6" s="23"/>
      <c r="C6" s="51"/>
      <c r="D6" s="72"/>
      <c r="F6" s="23"/>
      <c r="G6" s="23"/>
      <c r="H6" s="38"/>
      <c r="I6" s="38"/>
      <c r="J6" s="38"/>
      <c r="K6" s="38"/>
      <c r="L6" s="23"/>
      <c r="M6" s="23"/>
      <c r="N6" s="23"/>
    </row>
    <row r="8" spans="1:24">
      <c r="B8" s="23" t="s">
        <v>119</v>
      </c>
      <c r="H8" s="33"/>
      <c r="I8" s="33"/>
      <c r="J8" s="33"/>
      <c r="K8" s="33"/>
    </row>
    <row r="9" spans="1:24">
      <c r="A9" s="5"/>
      <c r="B9" s="5"/>
      <c r="C9" s="10"/>
      <c r="D9" s="11"/>
      <c r="E9" s="7" t="str">
        <f xml:space="preserve">  Inputs!E$69</f>
        <v>UKADS1 costs are capex (slow money) ratio</v>
      </c>
      <c r="F9" s="60">
        <f xml:space="preserve">  Inputs!F$69</f>
        <v>1</v>
      </c>
      <c r="G9" s="7" t="str">
        <f xml:space="preserve">  Inputs!G$69</f>
        <v>%</v>
      </c>
      <c r="H9" s="33"/>
      <c r="I9" s="33"/>
      <c r="J9" s="33"/>
      <c r="K9" s="33"/>
      <c r="L9" s="39"/>
    </row>
    <row r="10" spans="1:24">
      <c r="A10" s="5"/>
      <c r="B10" s="5"/>
      <c r="C10" s="10"/>
      <c r="D10" s="11"/>
      <c r="E10" s="7" t="str">
        <f xml:space="preserve">  Inputs!E$34</f>
        <v>Operating Margin for RAB</v>
      </c>
      <c r="F10" s="35">
        <f xml:space="preserve">  Inputs!F$34</f>
        <v>0</v>
      </c>
      <c r="G10" s="7" t="str">
        <f xml:space="preserve">  Inputs!G$34</f>
        <v>%</v>
      </c>
      <c r="H10" s="33"/>
      <c r="I10" s="33"/>
      <c r="J10" s="33"/>
      <c r="K10" s="33"/>
      <c r="L10" s="53"/>
    </row>
    <row r="11" spans="1:24">
      <c r="A11" s="5"/>
      <c r="B11" s="5"/>
      <c r="C11" s="10"/>
      <c r="D11" s="11"/>
      <c r="E11" s="7" t="str">
        <f xml:space="preserve">  Inputs!E$68</f>
        <v>UKADSF costs are capex (slow money) ratio</v>
      </c>
      <c r="F11" s="60">
        <f xml:space="preserve">  Inputs!F$68</f>
        <v>1</v>
      </c>
      <c r="G11" s="7" t="str">
        <f xml:space="preserve">  Inputs!G$68</f>
        <v>%</v>
      </c>
      <c r="H11" s="33"/>
      <c r="I11" s="33"/>
      <c r="J11" s="33"/>
      <c r="K11" s="33"/>
      <c r="L11" s="39"/>
    </row>
    <row r="12" spans="1:24">
      <c r="A12" s="5"/>
      <c r="B12" s="5"/>
      <c r="C12" s="10"/>
      <c r="D12" s="11"/>
      <c r="E12" s="7" t="str">
        <f xml:space="preserve">  'Scenarios Chosen'!E$21</f>
        <v>UKADS1 scenario chosen</v>
      </c>
      <c r="F12" s="4">
        <f xml:space="preserve">  'Scenarios Chosen'!F$21</f>
        <v>0</v>
      </c>
      <c r="G12" s="4" t="str">
        <f xml:space="preserve">  'Scenarios Chosen'!G$21</f>
        <v>£'000 (2024 prices)</v>
      </c>
      <c r="H12" s="33"/>
      <c r="I12" s="33"/>
      <c r="J12" s="33"/>
      <c r="K12" s="33"/>
      <c r="L12" s="4">
        <f xml:space="preserve">  'Scenarios Chosen'!L$21</f>
        <v>127391.93999999996</v>
      </c>
      <c r="M12" s="4">
        <f xml:space="preserve">  'Scenarios Chosen'!M$21</f>
        <v>0</v>
      </c>
      <c r="N12" s="4">
        <f xml:space="preserve">  'Scenarios Chosen'!N$21</f>
        <v>7484.3149999999987</v>
      </c>
      <c r="O12" s="4">
        <f xml:space="preserve">  'Scenarios Chosen'!O$21</f>
        <v>8792.9</v>
      </c>
      <c r="P12" s="4">
        <f xml:space="preserve">  'Scenarios Chosen'!P$21</f>
        <v>15278.899999999998</v>
      </c>
      <c r="Q12" s="4">
        <f xml:space="preserve">  'Scenarios Chosen'!Q$21</f>
        <v>10224.65</v>
      </c>
      <c r="R12" s="4">
        <f xml:space="preserve">  'Scenarios Chosen'!R$21</f>
        <v>15278.899999999998</v>
      </c>
      <c r="S12" s="4">
        <f xml:space="preserve">  'Scenarios Chosen'!S$21</f>
        <v>10224.65</v>
      </c>
      <c r="T12" s="4">
        <f xml:space="preserve">  'Scenarios Chosen'!T$21</f>
        <v>15278.899999999998</v>
      </c>
      <c r="U12" s="4">
        <f xml:space="preserve">  'Scenarios Chosen'!U$21</f>
        <v>10224.65</v>
      </c>
      <c r="V12" s="4">
        <f xml:space="preserve">  'Scenarios Chosen'!V$21</f>
        <v>14154.774999999998</v>
      </c>
      <c r="W12" s="4">
        <f xml:space="preserve">  'Scenarios Chosen'!W$21</f>
        <v>10224.65</v>
      </c>
      <c r="X12" s="4">
        <f xml:space="preserve">  'Scenarios Chosen'!X$21</f>
        <v>10224.65</v>
      </c>
    </row>
    <row r="13" spans="1:24">
      <c r="A13" s="5"/>
      <c r="B13" s="5"/>
      <c r="C13" s="10"/>
      <c r="D13" s="11"/>
      <c r="E13" s="7" t="str">
        <f xml:space="preserve">  'Scenarios Chosen'!E$13</f>
        <v>UKADSF scenarios chosen</v>
      </c>
      <c r="F13" s="4">
        <f xml:space="preserve">  'Scenarios Chosen'!F$13</f>
        <v>0</v>
      </c>
      <c r="G13" s="4" t="str">
        <f xml:space="preserve">  'Scenarios Chosen'!G$13</f>
        <v>£'000 (2024 prices)</v>
      </c>
      <c r="H13" s="33"/>
      <c r="I13" s="33"/>
      <c r="J13" s="33"/>
      <c r="K13" s="33"/>
      <c r="L13" s="4">
        <f xml:space="preserve">  'Scenarios Chosen'!L$13</f>
        <v>74380.773437852215</v>
      </c>
      <c r="M13" s="4">
        <f xml:space="preserve">  'Scenarios Chosen'!M$13</f>
        <v>0</v>
      </c>
      <c r="N13" s="4">
        <f xml:space="preserve">  'Scenarios Chosen'!N$13</f>
        <v>2438.4601122851013</v>
      </c>
      <c r="O13" s="4">
        <f xml:space="preserve">  'Scenarios Chosen'!O$13</f>
        <v>9511.0549027019752</v>
      </c>
      <c r="P13" s="4">
        <f xml:space="preserve">  'Scenarios Chosen'!P$13</f>
        <v>8566.3138299810635</v>
      </c>
      <c r="Q13" s="4">
        <f xml:space="preserve">  'Scenarios Chosen'!Q$13</f>
        <v>8414.2389541468656</v>
      </c>
      <c r="R13" s="4">
        <f xml:space="preserve">  'Scenarios Chosen'!R$13</f>
        <v>9127.5948093498828</v>
      </c>
      <c r="S13" s="4">
        <f xml:space="preserve">  'Scenarios Chosen'!S$13</f>
        <v>6722.2516212665705</v>
      </c>
      <c r="T13" s="4">
        <f xml:space="preserve">  'Scenarios Chosen'!T$13</f>
        <v>5920.1718416241501</v>
      </c>
      <c r="U13" s="4">
        <f xml:space="preserve">  'Scenarios Chosen'!U$13</f>
        <v>5920.1718416241501</v>
      </c>
      <c r="V13" s="4">
        <f xml:space="preserve">  'Scenarios Chosen'!V$13</f>
        <v>5920.1718416241501</v>
      </c>
      <c r="W13" s="4">
        <f xml:space="preserve">  'Scenarios Chosen'!W$13</f>
        <v>5920.1718416241501</v>
      </c>
      <c r="X13" s="4">
        <f xml:space="preserve">  'Scenarios Chosen'!X$13</f>
        <v>5920.1718416241501</v>
      </c>
    </row>
    <row r="14" spans="1:24">
      <c r="E14" s="46" t="s">
        <v>119</v>
      </c>
      <c r="G14" s="46" t="s">
        <v>62</v>
      </c>
      <c r="H14" s="33"/>
      <c r="I14" s="33"/>
      <c r="J14" s="33"/>
      <c r="K14" s="33"/>
      <c r="L14" s="1">
        <f xml:space="preserve"> SUM( N14:X14 )</f>
        <v>201772.71343785225</v>
      </c>
      <c r="N14" s="1">
        <f t="shared" ref="N14:X14" si="0" xml:space="preserve">  ( N12 * $F9 * ( 1 + $F10 ) ) + ( N13 * $F11 * ( 1 + $F10 ) )</f>
        <v>9922.7751122851005</v>
      </c>
      <c r="O14" s="1">
        <f t="shared" si="0"/>
        <v>18303.954902701975</v>
      </c>
      <c r="P14" s="1">
        <f t="shared" si="0"/>
        <v>23845.213829981061</v>
      </c>
      <c r="Q14" s="1">
        <f t="shared" si="0"/>
        <v>18638.888954146867</v>
      </c>
      <c r="R14" s="1">
        <f t="shared" si="0"/>
        <v>24406.494809349882</v>
      </c>
      <c r="S14" s="1">
        <f t="shared" si="0"/>
        <v>16946.90162126657</v>
      </c>
      <c r="T14" s="1">
        <f t="shared" si="0"/>
        <v>21199.071841624147</v>
      </c>
      <c r="U14" s="1">
        <f t="shared" si="0"/>
        <v>16144.821841624151</v>
      </c>
      <c r="V14" s="1">
        <f t="shared" si="0"/>
        <v>20074.946841624147</v>
      </c>
      <c r="W14" s="1">
        <f t="shared" si="0"/>
        <v>16144.821841624151</v>
      </c>
      <c r="X14" s="1">
        <f t="shared" si="0"/>
        <v>16144.821841624151</v>
      </c>
    </row>
    <row r="15" spans="1:24">
      <c r="H15" s="34"/>
      <c r="I15" s="34"/>
      <c r="J15" s="34"/>
      <c r="K15" s="34"/>
    </row>
    <row r="16" spans="1:24">
      <c r="H16" s="33"/>
      <c r="I16" s="33"/>
      <c r="J16" s="33"/>
      <c r="K16" s="33"/>
    </row>
    <row r="17" spans="1:24">
      <c r="B17" s="23" t="s">
        <v>120</v>
      </c>
      <c r="H17" s="33"/>
      <c r="I17" s="33"/>
      <c r="J17" s="33"/>
      <c r="K17" s="33"/>
    </row>
    <row r="18" spans="1:24">
      <c r="A18" s="5"/>
      <c r="B18" s="5"/>
      <c r="C18" s="10"/>
      <c r="D18" s="11"/>
      <c r="E18" s="7" t="str">
        <f xml:space="preserve">  Inputs!E$32</f>
        <v>CPI Index 2024</v>
      </c>
      <c r="F18" s="2">
        <f xml:space="preserve">  Inputs!F$32</f>
        <v>133.85316666666699</v>
      </c>
      <c r="G18" s="7" t="str">
        <f xml:space="preserve">  Inputs!G$32</f>
        <v>index (2015=100)</v>
      </c>
      <c r="H18" s="33"/>
      <c r="I18" s="33"/>
      <c r="J18" s="33"/>
      <c r="K18" s="33"/>
      <c r="L18" s="3"/>
    </row>
    <row r="19" spans="1:24">
      <c r="A19" s="5"/>
      <c r="B19" s="5"/>
      <c r="C19" s="10"/>
      <c r="D19" s="11"/>
      <c r="E19" s="7" t="str">
        <f xml:space="preserve">  Time!E$14</f>
        <v>CPI Index Forecast (Calculations)</v>
      </c>
      <c r="F19" s="2">
        <f xml:space="preserve">  Time!F$14</f>
        <v>0</v>
      </c>
      <c r="G19" s="2">
        <f xml:space="preserve">  Time!G$14</f>
        <v>0</v>
      </c>
      <c r="H19" s="33"/>
      <c r="I19" s="33"/>
      <c r="J19" s="33"/>
      <c r="K19" s="33"/>
      <c r="L19" s="2">
        <f xml:space="preserve">  Time!L$14</f>
        <v>1682.2905458462872</v>
      </c>
      <c r="M19" s="2">
        <f xml:space="preserve">  Time!M$14</f>
        <v>0</v>
      </c>
      <c r="N19" s="2">
        <f xml:space="preserve">  Time!N$14</f>
        <v>138.153850729889</v>
      </c>
      <c r="O19" s="2">
        <f xml:space="preserve">  Time!O$14</f>
        <v>141.033957438817</v>
      </c>
      <c r="P19" s="2">
        <f xml:space="preserve">  Time!P$14</f>
        <v>143.83924602398201</v>
      </c>
      <c r="Q19" s="2">
        <f xml:space="preserve">  Time!Q$14</f>
        <v>146.71663933540901</v>
      </c>
      <c r="R19" s="2">
        <f xml:space="preserve">  Time!R$14</f>
        <v>149.65085336166601</v>
      </c>
      <c r="S19" s="2">
        <f xml:space="preserve">  Time!S$14</f>
        <v>152.64387042889933</v>
      </c>
      <c r="T19" s="2">
        <f xml:space="preserve">  Time!T$14</f>
        <v>155.69674783747732</v>
      </c>
      <c r="U19" s="2">
        <f xml:space="preserve">  Time!U$14</f>
        <v>158.81068279422686</v>
      </c>
      <c r="V19" s="2">
        <f xml:space="preserve">  Time!V$14</f>
        <v>161.9868964501114</v>
      </c>
      <c r="W19" s="2">
        <f xml:space="preserve">  Time!W$14</f>
        <v>165.22663437911362</v>
      </c>
      <c r="X19" s="2">
        <f xml:space="preserve">  Time!X$14</f>
        <v>168.5311670666959</v>
      </c>
    </row>
    <row r="20" spans="1:24">
      <c r="E20" s="46" t="str">
        <f t="shared" ref="E20:X20" si="1" xml:space="preserve">  E$14</f>
        <v>Slow Money</v>
      </c>
      <c r="F20" s="1">
        <f t="shared" si="1"/>
        <v>0</v>
      </c>
      <c r="G20" s="1" t="str">
        <f t="shared" si="1"/>
        <v>£'000 (2024 prices)</v>
      </c>
      <c r="H20" s="33"/>
      <c r="I20" s="33"/>
      <c r="J20" s="33"/>
      <c r="K20" s="33"/>
      <c r="L20" s="1">
        <f t="shared" si="1"/>
        <v>201772.71343785225</v>
      </c>
      <c r="M20" s="1">
        <f t="shared" si="1"/>
        <v>0</v>
      </c>
      <c r="N20" s="1">
        <f t="shared" si="1"/>
        <v>9922.7751122851005</v>
      </c>
      <c r="O20" s="1">
        <f t="shared" si="1"/>
        <v>18303.954902701975</v>
      </c>
      <c r="P20" s="1">
        <f t="shared" si="1"/>
        <v>23845.213829981061</v>
      </c>
      <c r="Q20" s="1">
        <f t="shared" si="1"/>
        <v>18638.888954146867</v>
      </c>
      <c r="R20" s="1">
        <f t="shared" si="1"/>
        <v>24406.494809349882</v>
      </c>
      <c r="S20" s="1">
        <f t="shared" si="1"/>
        <v>16946.90162126657</v>
      </c>
      <c r="T20" s="1">
        <f t="shared" si="1"/>
        <v>21199.071841624147</v>
      </c>
      <c r="U20" s="1">
        <f t="shared" si="1"/>
        <v>16144.821841624151</v>
      </c>
      <c r="V20" s="1">
        <f t="shared" si="1"/>
        <v>20074.946841624147</v>
      </c>
      <c r="W20" s="1">
        <f t="shared" si="1"/>
        <v>16144.821841624151</v>
      </c>
      <c r="X20" s="1">
        <f t="shared" si="1"/>
        <v>16144.821841624151</v>
      </c>
    </row>
    <row r="21" spans="1:24">
      <c r="E21" s="46" t="s">
        <v>120</v>
      </c>
      <c r="G21" s="46" t="s">
        <v>121</v>
      </c>
      <c r="H21" s="33"/>
      <c r="I21" s="33"/>
      <c r="J21" s="33"/>
      <c r="K21" s="33"/>
      <c r="L21" s="1">
        <f xml:space="preserve"> SUM( N21:X21 )</f>
        <v>230559.28384729996</v>
      </c>
      <c r="N21" s="1">
        <f t="shared" ref="N21:X21" si="2" xml:space="preserve">  ( N19 / $F18 ) * N20</f>
        <v>10241.592528795036</v>
      </c>
      <c r="O21" s="1">
        <f t="shared" si="2"/>
        <v>19285.903060764518</v>
      </c>
      <c r="P21" s="1">
        <f t="shared" si="2"/>
        <v>25624.179569292442</v>
      </c>
      <c r="Q21" s="1">
        <f t="shared" si="2"/>
        <v>20430.111714191535</v>
      </c>
      <c r="R21" s="1">
        <f t="shared" si="2"/>
        <v>27287.010585875367</v>
      </c>
      <c r="S21" s="1">
        <f t="shared" si="2"/>
        <v>19325.957836245281</v>
      </c>
      <c r="T21" s="1">
        <f t="shared" si="2"/>
        <v>24658.561505186</v>
      </c>
      <c r="U21" s="1">
        <f t="shared" si="2"/>
        <v>19155.095423663035</v>
      </c>
      <c r="V21" s="1">
        <f t="shared" si="2"/>
        <v>24294.369840153107</v>
      </c>
      <c r="W21" s="1">
        <f t="shared" si="2"/>
        <v>19928.961278779021</v>
      </c>
      <c r="X21" s="1">
        <f t="shared" si="2"/>
        <v>20327.540504354602</v>
      </c>
    </row>
    <row r="22" spans="1:24">
      <c r="H22" s="33"/>
      <c r="I22" s="33"/>
      <c r="J22" s="33"/>
      <c r="K22" s="33"/>
    </row>
    <row r="23" spans="1:24">
      <c r="H23" s="41"/>
      <c r="I23" s="41"/>
      <c r="J23" s="41"/>
      <c r="K23" s="41"/>
    </row>
    <row r="24" spans="1:24">
      <c r="B24" s="23" t="s">
        <v>122</v>
      </c>
      <c r="H24" s="41"/>
      <c r="I24" s="41"/>
      <c r="J24" s="41"/>
      <c r="K24" s="41"/>
    </row>
    <row r="25" spans="1:24" s="118" customFormat="1">
      <c r="A25" s="101"/>
      <c r="B25" s="101"/>
      <c r="C25" s="111"/>
      <c r="D25" s="109"/>
      <c r="E25" s="118" t="s">
        <v>123</v>
      </c>
      <c r="G25" s="118" t="s">
        <v>121</v>
      </c>
      <c r="H25" s="41"/>
      <c r="I25" s="41"/>
      <c r="J25" s="41"/>
      <c r="K25" s="41"/>
      <c r="N25" s="52">
        <f t="shared" ref="N25:X25" si="3" xml:space="preserve">  M29</f>
        <v>0</v>
      </c>
      <c r="O25" s="52">
        <f t="shared" si="3"/>
        <v>9217.4332759155332</v>
      </c>
      <c r="P25" s="52">
        <f t="shared" si="3"/>
        <v>25742.743502106423</v>
      </c>
      <c r="Q25" s="52">
        <f t="shared" si="3"/>
        <v>46363.801206140881</v>
      </c>
      <c r="R25" s="52">
        <f t="shared" si="3"/>
        <v>60163.206360215372</v>
      </c>
      <c r="S25" s="52">
        <f t="shared" si="3"/>
        <v>78366.552628022066</v>
      </c>
      <c r="T25" s="52">
        <f t="shared" si="3"/>
        <v>87040.365987311365</v>
      </c>
      <c r="U25" s="52">
        <f t="shared" si="3"/>
        <v>98754.403132208565</v>
      </c>
      <c r="V25" s="52">
        <f t="shared" si="3"/>
        <v>103283.74539611445</v>
      </c>
      <c r="W25" s="52">
        <f t="shared" si="3"/>
        <v>110613.5119377732</v>
      </c>
      <c r="X25" s="52">
        <f t="shared" si="3"/>
        <v>111731.56912101313</v>
      </c>
    </row>
    <row r="26" spans="1:24">
      <c r="D26" s="75" t="s">
        <v>124</v>
      </c>
      <c r="E26" s="46" t="str">
        <f t="shared" ref="E26:X26" si="4" xml:space="preserve">  E$34</f>
        <v>RAB Indexation</v>
      </c>
      <c r="F26" s="1">
        <f t="shared" si="4"/>
        <v>0</v>
      </c>
      <c r="G26" s="1" t="str">
        <f t="shared" si="4"/>
        <v>£'000 nominal</v>
      </c>
      <c r="H26" s="34"/>
      <c r="I26" s="34"/>
      <c r="J26" s="34"/>
      <c r="K26" s="34"/>
      <c r="L26" s="1">
        <f t="shared" si="4"/>
        <v>14630.692894068934</v>
      </c>
      <c r="M26" s="1">
        <f t="shared" si="4"/>
        <v>0</v>
      </c>
      <c r="N26" s="1">
        <f t="shared" si="4"/>
        <v>0</v>
      </c>
      <c r="O26" s="1">
        <f t="shared" si="4"/>
        <v>192.15672438232662</v>
      </c>
      <c r="P26" s="1">
        <f t="shared" si="4"/>
        <v>512.04565062721622</v>
      </c>
      <c r="Q26" s="1">
        <f t="shared" si="4"/>
        <v>927.47212718731078</v>
      </c>
      <c r="R26" s="1">
        <f t="shared" si="4"/>
        <v>1203.2154278232144</v>
      </c>
      <c r="S26" s="1">
        <f t="shared" si="4"/>
        <v>1567.3310525604427</v>
      </c>
      <c r="T26" s="1">
        <f t="shared" si="4"/>
        <v>1740.8073197462288</v>
      </c>
      <c r="U26" s="1">
        <f t="shared" si="4"/>
        <v>1975.0880626441731</v>
      </c>
      <c r="V26" s="1">
        <f t="shared" si="4"/>
        <v>2065.6749079222909</v>
      </c>
      <c r="W26" s="1">
        <f t="shared" si="4"/>
        <v>2212.2702387554659</v>
      </c>
      <c r="X26" s="1">
        <f t="shared" si="4"/>
        <v>2234.6313824202648</v>
      </c>
    </row>
    <row r="27" spans="1:24">
      <c r="D27" s="75" t="s">
        <v>124</v>
      </c>
      <c r="E27" s="46" t="str">
        <f t="shared" ref="E27:X27" si="5" xml:space="preserve">  E$21</f>
        <v>Net Capex for the year</v>
      </c>
      <c r="F27" s="1">
        <f t="shared" si="5"/>
        <v>0</v>
      </c>
      <c r="G27" s="1" t="str">
        <f t="shared" si="5"/>
        <v>£'000 nominal</v>
      </c>
      <c r="H27" s="33"/>
      <c r="I27" s="33"/>
      <c r="J27" s="33"/>
      <c r="K27" s="33"/>
      <c r="L27" s="1">
        <f t="shared" si="5"/>
        <v>230559.28384729996</v>
      </c>
      <c r="M27" s="1">
        <f t="shared" si="5"/>
        <v>0</v>
      </c>
      <c r="N27" s="1">
        <f t="shared" si="5"/>
        <v>10241.592528795036</v>
      </c>
      <c r="O27" s="1">
        <f t="shared" si="5"/>
        <v>19285.903060764518</v>
      </c>
      <c r="P27" s="1">
        <f t="shared" si="5"/>
        <v>25624.179569292442</v>
      </c>
      <c r="Q27" s="1">
        <f t="shared" si="5"/>
        <v>20430.111714191535</v>
      </c>
      <c r="R27" s="1">
        <f t="shared" si="5"/>
        <v>27287.010585875367</v>
      </c>
      <c r="S27" s="1">
        <f t="shared" si="5"/>
        <v>19325.957836245281</v>
      </c>
      <c r="T27" s="1">
        <f t="shared" si="5"/>
        <v>24658.561505186</v>
      </c>
      <c r="U27" s="1">
        <f t="shared" si="5"/>
        <v>19155.095423663035</v>
      </c>
      <c r="V27" s="1">
        <f t="shared" si="5"/>
        <v>24294.369840153107</v>
      </c>
      <c r="W27" s="1">
        <f t="shared" si="5"/>
        <v>19928.961278779021</v>
      </c>
      <c r="X27" s="1">
        <f t="shared" si="5"/>
        <v>20327.540504354602</v>
      </c>
    </row>
    <row r="28" spans="1:24">
      <c r="D28" s="75" t="s">
        <v>125</v>
      </c>
      <c r="E28" s="46" t="str">
        <f t="shared" ref="E28:X28" si="6" xml:space="preserve">  E$177</f>
        <v>Total RAB depreciation</v>
      </c>
      <c r="F28" s="1">
        <f t="shared" si="6"/>
        <v>0</v>
      </c>
      <c r="G28" s="1" t="str">
        <f t="shared" si="6"/>
        <v>£'000 nominal</v>
      </c>
      <c r="H28" s="33"/>
      <c r="I28" s="33"/>
      <c r="J28" s="33"/>
      <c r="K28" s="33"/>
      <c r="L28" s="1">
        <f t="shared" si="6"/>
        <v>133952.16411831084</v>
      </c>
      <c r="M28" s="1">
        <f t="shared" si="6"/>
        <v>0</v>
      </c>
      <c r="N28" s="1">
        <f t="shared" si="6"/>
        <v>1024.1592528795036</v>
      </c>
      <c r="O28" s="1">
        <f t="shared" si="6"/>
        <v>2952.7495589559558</v>
      </c>
      <c r="P28" s="1">
        <f t="shared" si="6"/>
        <v>5515.1675158852004</v>
      </c>
      <c r="Q28" s="1">
        <f t="shared" si="6"/>
        <v>7558.1786873043538</v>
      </c>
      <c r="R28" s="1">
        <f t="shared" si="6"/>
        <v>10286.879745891891</v>
      </c>
      <c r="S28" s="1">
        <f t="shared" si="6"/>
        <v>12219.47552951642</v>
      </c>
      <c r="T28" s="1">
        <f t="shared" si="6"/>
        <v>14685.33168003502</v>
      </c>
      <c r="U28" s="1">
        <f t="shared" si="6"/>
        <v>16600.841222401323</v>
      </c>
      <c r="V28" s="1">
        <f t="shared" si="6"/>
        <v>19030.278206416635</v>
      </c>
      <c r="W28" s="1">
        <f t="shared" si="6"/>
        <v>21023.174334294537</v>
      </c>
      <c r="X28" s="1">
        <f t="shared" si="6"/>
        <v>23055.928384729996</v>
      </c>
    </row>
    <row r="29" spans="1:24" s="115" customFormat="1">
      <c r="A29" s="99"/>
      <c r="B29" s="99"/>
      <c r="C29" s="116"/>
      <c r="D29" s="110"/>
      <c r="E29" s="82" t="s">
        <v>122</v>
      </c>
      <c r="F29" s="82"/>
      <c r="G29" s="82" t="s">
        <v>121</v>
      </c>
      <c r="H29" s="33"/>
      <c r="I29" s="33"/>
      <c r="J29" s="33"/>
      <c r="K29" s="33"/>
      <c r="L29" s="82"/>
      <c r="M29" s="45">
        <f t="shared" ref="M29:X29" si="7" xml:space="preserve">  M25 + M26 + M27 - M28</f>
        <v>0</v>
      </c>
      <c r="N29" s="45">
        <f t="shared" si="7"/>
        <v>9217.4332759155332</v>
      </c>
      <c r="O29" s="45">
        <f t="shared" si="7"/>
        <v>25742.743502106423</v>
      </c>
      <c r="P29" s="45">
        <f t="shared" si="7"/>
        <v>46363.801206140881</v>
      </c>
      <c r="Q29" s="45">
        <f t="shared" si="7"/>
        <v>60163.206360215372</v>
      </c>
      <c r="R29" s="45">
        <f t="shared" si="7"/>
        <v>78366.552628022066</v>
      </c>
      <c r="S29" s="45">
        <f t="shared" si="7"/>
        <v>87040.365987311365</v>
      </c>
      <c r="T29" s="45">
        <f t="shared" si="7"/>
        <v>98754.403132208565</v>
      </c>
      <c r="U29" s="45">
        <f t="shared" si="7"/>
        <v>103283.74539611445</v>
      </c>
      <c r="V29" s="45">
        <f t="shared" si="7"/>
        <v>110613.5119377732</v>
      </c>
      <c r="W29" s="45">
        <f t="shared" si="7"/>
        <v>111731.56912101313</v>
      </c>
      <c r="X29" s="45">
        <f t="shared" si="7"/>
        <v>111237.81262305799</v>
      </c>
    </row>
    <row r="30" spans="1:24">
      <c r="H30" s="33"/>
      <c r="I30" s="33"/>
      <c r="J30" s="33"/>
      <c r="K30" s="33"/>
    </row>
    <row r="31" spans="1:24">
      <c r="B31" s="23" t="s">
        <v>126</v>
      </c>
      <c r="H31" s="41"/>
      <c r="I31" s="41"/>
      <c r="J31" s="41"/>
      <c r="K31" s="41"/>
    </row>
    <row r="32" spans="1:24">
      <c r="E32" s="46" t="str">
        <f t="shared" ref="E32:X32" si="8" xml:space="preserve">  E$25</f>
        <v>RAB BEG</v>
      </c>
      <c r="F32" s="1">
        <f t="shared" si="8"/>
        <v>0</v>
      </c>
      <c r="G32" s="1" t="str">
        <f t="shared" si="8"/>
        <v>£'000 nominal</v>
      </c>
      <c r="H32" s="41"/>
      <c r="I32" s="41"/>
      <c r="J32" s="41"/>
      <c r="K32" s="41"/>
      <c r="L32" s="1">
        <f t="shared" si="8"/>
        <v>0</v>
      </c>
      <c r="M32" s="1">
        <f t="shared" si="8"/>
        <v>0</v>
      </c>
      <c r="N32" s="1">
        <f t="shared" si="8"/>
        <v>0</v>
      </c>
      <c r="O32" s="1">
        <f t="shared" si="8"/>
        <v>9217.4332759155332</v>
      </c>
      <c r="P32" s="1">
        <f t="shared" si="8"/>
        <v>25742.743502106423</v>
      </c>
      <c r="Q32" s="1">
        <f t="shared" si="8"/>
        <v>46363.801206140881</v>
      </c>
      <c r="R32" s="1">
        <f t="shared" si="8"/>
        <v>60163.206360215372</v>
      </c>
      <c r="S32" s="1">
        <f t="shared" si="8"/>
        <v>78366.552628022066</v>
      </c>
      <c r="T32" s="1">
        <f t="shared" si="8"/>
        <v>87040.365987311365</v>
      </c>
      <c r="U32" s="1">
        <f t="shared" si="8"/>
        <v>98754.403132208565</v>
      </c>
      <c r="V32" s="1">
        <f t="shared" si="8"/>
        <v>103283.74539611445</v>
      </c>
      <c r="W32" s="1">
        <f t="shared" si="8"/>
        <v>110613.5119377732</v>
      </c>
      <c r="X32" s="1">
        <f t="shared" si="8"/>
        <v>111731.56912101313</v>
      </c>
    </row>
    <row r="33" spans="1:24">
      <c r="A33" s="5"/>
      <c r="B33" s="5"/>
      <c r="C33" s="10"/>
      <c r="D33" s="11"/>
      <c r="E33" s="7" t="str">
        <f xml:space="preserve">  Time!E$21</f>
        <v>CPI Inflation</v>
      </c>
      <c r="F33" s="35">
        <f xml:space="preserve">  Time!F$21</f>
        <v>0</v>
      </c>
      <c r="G33" s="35" t="str">
        <f xml:space="preserve">  Time!G$21</f>
        <v>%</v>
      </c>
      <c r="H33" s="41"/>
      <c r="I33" s="41"/>
      <c r="J33" s="41"/>
      <c r="K33" s="41"/>
      <c r="L33" s="35">
        <f xml:space="preserve">  Time!L$21</f>
        <v>0</v>
      </c>
      <c r="M33" s="35">
        <f xml:space="preserve">  Time!M$21</f>
        <v>0</v>
      </c>
      <c r="N33" s="35">
        <f xml:space="preserve">  Time!N$21</f>
        <v>3.2129864166246858E-2</v>
      </c>
      <c r="O33" s="35">
        <f xml:space="preserve">  Time!O$21</f>
        <v>2.0847096868541248E-2</v>
      </c>
      <c r="P33" s="35">
        <f xml:space="preserve">  Time!P$21</f>
        <v>1.9890873347874427E-2</v>
      </c>
      <c r="Q33" s="35">
        <f xml:space="preserve">  Time!Q$21</f>
        <v>2.0004229658901806E-2</v>
      </c>
      <c r="R33" s="35">
        <f xml:space="preserve">  Time!R$21</f>
        <v>1.9999190545450629E-2</v>
      </c>
      <c r="S33" s="35">
        <f xml:space="preserve">  Time!S$21</f>
        <v>2.0000000000000018E-2</v>
      </c>
      <c r="T33" s="35">
        <f xml:space="preserve">  Time!T$21</f>
        <v>2.0000000000000018E-2</v>
      </c>
      <c r="U33" s="35">
        <f xml:space="preserve">  Time!U$21</f>
        <v>2.0000000000000018E-2</v>
      </c>
      <c r="V33" s="35">
        <f xml:space="preserve">  Time!V$21</f>
        <v>2.0000000000000018E-2</v>
      </c>
      <c r="W33" s="35">
        <f xml:space="preserve">  Time!W$21</f>
        <v>2.0000000000000018E-2</v>
      </c>
      <c r="X33" s="35">
        <f xml:space="preserve">  Time!X$21</f>
        <v>2.0000000000000018E-2</v>
      </c>
    </row>
    <row r="34" spans="1:24">
      <c r="E34" s="46" t="s">
        <v>126</v>
      </c>
      <c r="G34" s="46" t="s">
        <v>121</v>
      </c>
      <c r="H34" s="34"/>
      <c r="I34" s="34"/>
      <c r="J34" s="34"/>
      <c r="K34" s="34"/>
      <c r="L34" s="1">
        <f xml:space="preserve"> SUM( N34:X34 )</f>
        <v>14630.692894068934</v>
      </c>
      <c r="N34" s="1">
        <f t="shared" ref="N34:X34" si="9" xml:space="preserve">  N32 * N33</f>
        <v>0</v>
      </c>
      <c r="O34" s="1">
        <f t="shared" si="9"/>
        <v>192.15672438232662</v>
      </c>
      <c r="P34" s="1">
        <f t="shared" si="9"/>
        <v>512.04565062721622</v>
      </c>
      <c r="Q34" s="1">
        <f t="shared" si="9"/>
        <v>927.47212718731078</v>
      </c>
      <c r="R34" s="1">
        <f t="shared" si="9"/>
        <v>1203.2154278232144</v>
      </c>
      <c r="S34" s="1">
        <f t="shared" si="9"/>
        <v>1567.3310525604427</v>
      </c>
      <c r="T34" s="1">
        <f t="shared" si="9"/>
        <v>1740.8073197462288</v>
      </c>
      <c r="U34" s="1">
        <f t="shared" si="9"/>
        <v>1975.0880626441731</v>
      </c>
      <c r="V34" s="1">
        <f t="shared" si="9"/>
        <v>2065.6749079222909</v>
      </c>
      <c r="W34" s="1">
        <f t="shared" si="9"/>
        <v>2212.2702387554659</v>
      </c>
      <c r="X34" s="1">
        <f t="shared" si="9"/>
        <v>2234.6313824202648</v>
      </c>
    </row>
    <row r="37" spans="1:24">
      <c r="B37" s="23" t="s">
        <v>127</v>
      </c>
    </row>
    <row r="38" spans="1:24">
      <c r="E38" s="46" t="str">
        <f t="shared" ref="E38:X38" si="10" xml:space="preserve">  E$25</f>
        <v>RAB BEG</v>
      </c>
      <c r="F38" s="1">
        <f t="shared" si="10"/>
        <v>0</v>
      </c>
      <c r="G38" s="1" t="str">
        <f t="shared" si="10"/>
        <v>£'000 nominal</v>
      </c>
      <c r="L38" s="1">
        <f t="shared" si="10"/>
        <v>0</v>
      </c>
      <c r="M38" s="1">
        <f t="shared" si="10"/>
        <v>0</v>
      </c>
      <c r="N38" s="1">
        <f t="shared" si="10"/>
        <v>0</v>
      </c>
      <c r="O38" s="1">
        <f t="shared" si="10"/>
        <v>9217.4332759155332</v>
      </c>
      <c r="P38" s="1">
        <f t="shared" si="10"/>
        <v>25742.743502106423</v>
      </c>
      <c r="Q38" s="1">
        <f t="shared" si="10"/>
        <v>46363.801206140881</v>
      </c>
      <c r="R38" s="1">
        <f t="shared" si="10"/>
        <v>60163.206360215372</v>
      </c>
      <c r="S38" s="1">
        <f t="shared" si="10"/>
        <v>78366.552628022066</v>
      </c>
      <c r="T38" s="1">
        <f t="shared" si="10"/>
        <v>87040.365987311365</v>
      </c>
      <c r="U38" s="1">
        <f t="shared" si="10"/>
        <v>98754.403132208565</v>
      </c>
      <c r="V38" s="1">
        <f t="shared" si="10"/>
        <v>103283.74539611445</v>
      </c>
      <c r="W38" s="1">
        <f t="shared" si="10"/>
        <v>110613.5119377732</v>
      </c>
      <c r="X38" s="1">
        <f t="shared" si="10"/>
        <v>111731.56912101313</v>
      </c>
    </row>
    <row r="39" spans="1:24">
      <c r="E39" s="46" t="str">
        <f t="shared" ref="E39:X39" si="11" xml:space="preserve">  E$29</f>
        <v>RAB</v>
      </c>
      <c r="F39" s="1">
        <f t="shared" si="11"/>
        <v>0</v>
      </c>
      <c r="G39" s="1" t="str">
        <f t="shared" si="11"/>
        <v>£'000 nominal</v>
      </c>
      <c r="L39" s="1">
        <f t="shared" si="11"/>
        <v>0</v>
      </c>
      <c r="M39" s="1">
        <f t="shared" si="11"/>
        <v>0</v>
      </c>
      <c r="N39" s="1">
        <f t="shared" si="11"/>
        <v>9217.4332759155332</v>
      </c>
      <c r="O39" s="1">
        <f t="shared" si="11"/>
        <v>25742.743502106423</v>
      </c>
      <c r="P39" s="1">
        <f t="shared" si="11"/>
        <v>46363.801206140881</v>
      </c>
      <c r="Q39" s="1">
        <f t="shared" si="11"/>
        <v>60163.206360215372</v>
      </c>
      <c r="R39" s="1">
        <f t="shared" si="11"/>
        <v>78366.552628022066</v>
      </c>
      <c r="S39" s="1">
        <f t="shared" si="11"/>
        <v>87040.365987311365</v>
      </c>
      <c r="T39" s="1">
        <f t="shared" si="11"/>
        <v>98754.403132208565</v>
      </c>
      <c r="U39" s="1">
        <f t="shared" si="11"/>
        <v>103283.74539611445</v>
      </c>
      <c r="V39" s="1">
        <f t="shared" si="11"/>
        <v>110613.5119377732</v>
      </c>
      <c r="W39" s="1">
        <f t="shared" si="11"/>
        <v>111731.56912101313</v>
      </c>
      <c r="X39" s="1">
        <f t="shared" si="11"/>
        <v>111237.81262305799</v>
      </c>
    </row>
    <row r="40" spans="1:24">
      <c r="E40" s="46" t="s">
        <v>127</v>
      </c>
      <c r="G40" s="46" t="s">
        <v>121</v>
      </c>
      <c r="L40" s="1">
        <f xml:space="preserve"> SUM( N40:X40 )</f>
        <v>786896.23885835009</v>
      </c>
      <c r="N40" s="1">
        <f t="shared" ref="N40:X40" si="12" xml:space="preserve">  AVERAGE( N38:N39 )</f>
        <v>4608.7166379577666</v>
      </c>
      <c r="O40" s="1">
        <f t="shared" si="12"/>
        <v>17480.088389010976</v>
      </c>
      <c r="P40" s="1">
        <f t="shared" si="12"/>
        <v>36053.272354123648</v>
      </c>
      <c r="Q40" s="1">
        <f t="shared" si="12"/>
        <v>53263.503783178123</v>
      </c>
      <c r="R40" s="1">
        <f t="shared" si="12"/>
        <v>69264.879494118723</v>
      </c>
      <c r="S40" s="1">
        <f t="shared" si="12"/>
        <v>82703.459307666722</v>
      </c>
      <c r="T40" s="1">
        <f t="shared" si="12"/>
        <v>92897.384559759957</v>
      </c>
      <c r="U40" s="1">
        <f t="shared" si="12"/>
        <v>101019.07426416151</v>
      </c>
      <c r="V40" s="1">
        <f t="shared" si="12"/>
        <v>106948.62866694383</v>
      </c>
      <c r="W40" s="1">
        <f t="shared" si="12"/>
        <v>111172.54052939317</v>
      </c>
      <c r="X40" s="1">
        <f t="shared" si="12"/>
        <v>111484.69087203557</v>
      </c>
    </row>
    <row r="43" spans="1:24">
      <c r="A43" s="23" t="s">
        <v>128</v>
      </c>
    </row>
    <row r="45" spans="1:24" outlineLevel="1">
      <c r="B45" s="23" t="s">
        <v>129</v>
      </c>
    </row>
    <row r="46" spans="1:24" outlineLevel="1">
      <c r="A46" s="5"/>
      <c r="B46" s="5"/>
      <c r="C46" s="10"/>
      <c r="D46" s="11"/>
      <c r="E46" s="7" t="str">
        <f xml:space="preserve">  Inputs!E$25</f>
        <v>Real Return</v>
      </c>
      <c r="F46" s="35">
        <f xml:space="preserve">  Inputs!F$25</f>
        <v>0.03</v>
      </c>
      <c r="G46" s="7" t="str">
        <f xml:space="preserve">  Inputs!G$25</f>
        <v>%</v>
      </c>
      <c r="L46" s="53"/>
    </row>
    <row r="47" spans="1:24" outlineLevel="1">
      <c r="E47" s="46" t="str">
        <f t="shared" ref="E47:X47" si="13" xml:space="preserve">  E$40</f>
        <v>Average RAB</v>
      </c>
      <c r="F47" s="1">
        <f t="shared" si="13"/>
        <v>0</v>
      </c>
      <c r="G47" s="1" t="str">
        <f t="shared" si="13"/>
        <v>£'000 nominal</v>
      </c>
      <c r="L47" s="1">
        <f t="shared" si="13"/>
        <v>786896.23885835009</v>
      </c>
      <c r="M47" s="1">
        <f t="shared" si="13"/>
        <v>0</v>
      </c>
      <c r="N47" s="1">
        <f t="shared" si="13"/>
        <v>4608.7166379577666</v>
      </c>
      <c r="O47" s="1">
        <f t="shared" si="13"/>
        <v>17480.088389010976</v>
      </c>
      <c r="P47" s="1">
        <f t="shared" si="13"/>
        <v>36053.272354123648</v>
      </c>
      <c r="Q47" s="1">
        <f t="shared" si="13"/>
        <v>53263.503783178123</v>
      </c>
      <c r="R47" s="1">
        <f t="shared" si="13"/>
        <v>69264.879494118723</v>
      </c>
      <c r="S47" s="1">
        <f t="shared" si="13"/>
        <v>82703.459307666722</v>
      </c>
      <c r="T47" s="1">
        <f t="shared" si="13"/>
        <v>92897.384559759957</v>
      </c>
      <c r="U47" s="1">
        <f t="shared" si="13"/>
        <v>101019.07426416151</v>
      </c>
      <c r="V47" s="1">
        <f t="shared" si="13"/>
        <v>106948.62866694383</v>
      </c>
      <c r="W47" s="1">
        <f t="shared" si="13"/>
        <v>111172.54052939317</v>
      </c>
      <c r="X47" s="1">
        <f t="shared" si="13"/>
        <v>111484.69087203557</v>
      </c>
    </row>
    <row r="48" spans="1:24" outlineLevel="1">
      <c r="E48" s="46" t="s">
        <v>129</v>
      </c>
      <c r="G48" s="46" t="s">
        <v>121</v>
      </c>
      <c r="L48" s="1">
        <f xml:space="preserve"> SUM( N48:X48 )</f>
        <v>23606.887165750501</v>
      </c>
      <c r="N48" s="1">
        <f t="shared" ref="N48:X48" si="14" xml:space="preserve">  $F46 * N47</f>
        <v>138.261499138733</v>
      </c>
      <c r="O48" s="1">
        <f t="shared" si="14"/>
        <v>524.40265167032931</v>
      </c>
      <c r="P48" s="1">
        <f t="shared" si="14"/>
        <v>1081.5981706237094</v>
      </c>
      <c r="Q48" s="1">
        <f t="shared" si="14"/>
        <v>1597.9051134953436</v>
      </c>
      <c r="R48" s="1">
        <f t="shared" si="14"/>
        <v>2077.9463848235614</v>
      </c>
      <c r="S48" s="1">
        <f t="shared" si="14"/>
        <v>2481.1037792300017</v>
      </c>
      <c r="T48" s="1">
        <f t="shared" si="14"/>
        <v>2786.9215367927986</v>
      </c>
      <c r="U48" s="1">
        <f t="shared" si="14"/>
        <v>3030.5722279248453</v>
      </c>
      <c r="V48" s="1">
        <f t="shared" si="14"/>
        <v>3208.4588600083148</v>
      </c>
      <c r="W48" s="1">
        <f t="shared" si="14"/>
        <v>3335.1762158817951</v>
      </c>
      <c r="X48" s="1">
        <f t="shared" si="14"/>
        <v>3344.5407261610671</v>
      </c>
    </row>
    <row r="49" spans="1:24" outlineLevel="1"/>
    <row r="50" spans="1:24" outlineLevel="1"/>
    <row r="51" spans="1:24" outlineLevel="1">
      <c r="B51" s="23" t="s">
        <v>130</v>
      </c>
    </row>
    <row r="52" spans="1:24" outlineLevel="1">
      <c r="A52" s="5"/>
      <c r="B52" s="5"/>
      <c r="C52" s="10"/>
      <c r="D52" s="11"/>
      <c r="E52" s="7" t="str">
        <f xml:space="preserve">  Inputs!E$25</f>
        <v>Real Return</v>
      </c>
      <c r="F52" s="35">
        <f xml:space="preserve">  Inputs!F$25</f>
        <v>0.03</v>
      </c>
      <c r="G52" s="7" t="str">
        <f xml:space="preserve">  Inputs!G$25</f>
        <v>%</v>
      </c>
      <c r="L52" s="53"/>
    </row>
    <row r="53" spans="1:24" outlineLevel="1">
      <c r="A53" s="5"/>
      <c r="B53" s="5"/>
      <c r="C53" s="10"/>
      <c r="D53" s="11"/>
      <c r="E53" s="7" t="str">
        <f xml:space="preserve">  Inputs!E$32</f>
        <v>CPI Index 2024</v>
      </c>
      <c r="F53" s="2">
        <f xml:space="preserve">  Inputs!F$32</f>
        <v>133.85316666666699</v>
      </c>
      <c r="G53" s="7" t="str">
        <f xml:space="preserve">  Inputs!G$32</f>
        <v>index (2015=100)</v>
      </c>
      <c r="L53" s="3"/>
    </row>
    <row r="54" spans="1:24" outlineLevel="1">
      <c r="E54" s="46" t="str">
        <f t="shared" ref="E54:X54" si="15" xml:space="preserve">  E$40</f>
        <v>Average RAB</v>
      </c>
      <c r="F54" s="1">
        <f t="shared" si="15"/>
        <v>0</v>
      </c>
      <c r="G54" s="1" t="str">
        <f t="shared" si="15"/>
        <v>£'000 nominal</v>
      </c>
      <c r="L54" s="1">
        <f t="shared" si="15"/>
        <v>786896.23885835009</v>
      </c>
      <c r="M54" s="1">
        <f t="shared" si="15"/>
        <v>0</v>
      </c>
      <c r="N54" s="1">
        <f t="shared" si="15"/>
        <v>4608.7166379577666</v>
      </c>
      <c r="O54" s="1">
        <f t="shared" si="15"/>
        <v>17480.088389010976</v>
      </c>
      <c r="P54" s="1">
        <f t="shared" si="15"/>
        <v>36053.272354123648</v>
      </c>
      <c r="Q54" s="1">
        <f t="shared" si="15"/>
        <v>53263.503783178123</v>
      </c>
      <c r="R54" s="1">
        <f t="shared" si="15"/>
        <v>69264.879494118723</v>
      </c>
      <c r="S54" s="1">
        <f t="shared" si="15"/>
        <v>82703.459307666722</v>
      </c>
      <c r="T54" s="1">
        <f t="shared" si="15"/>
        <v>92897.384559759957</v>
      </c>
      <c r="U54" s="1">
        <f t="shared" si="15"/>
        <v>101019.07426416151</v>
      </c>
      <c r="V54" s="1">
        <f t="shared" si="15"/>
        <v>106948.62866694383</v>
      </c>
      <c r="W54" s="1">
        <f t="shared" si="15"/>
        <v>111172.54052939317</v>
      </c>
      <c r="X54" s="1">
        <f t="shared" si="15"/>
        <v>111484.69087203557</v>
      </c>
    </row>
    <row r="55" spans="1:24" outlineLevel="1">
      <c r="A55" s="5"/>
      <c r="B55" s="5"/>
      <c r="C55" s="10"/>
      <c r="D55" s="11"/>
      <c r="E55" s="7" t="str">
        <f xml:space="preserve">  Time!E$14</f>
        <v>CPI Index Forecast (Calculations)</v>
      </c>
      <c r="F55" s="2">
        <f xml:space="preserve">  Time!F$14</f>
        <v>0</v>
      </c>
      <c r="G55" s="2">
        <f xml:space="preserve">  Time!G$14</f>
        <v>0</v>
      </c>
      <c r="L55" s="2">
        <f xml:space="preserve">  Time!L$14</f>
        <v>1682.2905458462872</v>
      </c>
      <c r="M55" s="2">
        <f xml:space="preserve">  Time!M$14</f>
        <v>0</v>
      </c>
      <c r="N55" s="2">
        <f xml:space="preserve">  Time!N$14</f>
        <v>138.153850729889</v>
      </c>
      <c r="O55" s="2">
        <f xml:space="preserve">  Time!O$14</f>
        <v>141.033957438817</v>
      </c>
      <c r="P55" s="2">
        <f xml:space="preserve">  Time!P$14</f>
        <v>143.83924602398201</v>
      </c>
      <c r="Q55" s="2">
        <f xml:space="preserve">  Time!Q$14</f>
        <v>146.71663933540901</v>
      </c>
      <c r="R55" s="2">
        <f xml:space="preserve">  Time!R$14</f>
        <v>149.65085336166601</v>
      </c>
      <c r="S55" s="2">
        <f xml:space="preserve">  Time!S$14</f>
        <v>152.64387042889933</v>
      </c>
      <c r="T55" s="2">
        <f xml:space="preserve">  Time!T$14</f>
        <v>155.69674783747732</v>
      </c>
      <c r="U55" s="2">
        <f xml:space="preserve">  Time!U$14</f>
        <v>158.81068279422686</v>
      </c>
      <c r="V55" s="2">
        <f xml:space="preserve">  Time!V$14</f>
        <v>161.9868964501114</v>
      </c>
      <c r="W55" s="2">
        <f xml:space="preserve">  Time!W$14</f>
        <v>165.22663437911362</v>
      </c>
      <c r="X55" s="2">
        <f xml:space="preserve">  Time!X$14</f>
        <v>168.5311670666959</v>
      </c>
    </row>
    <row r="56" spans="1:24" outlineLevel="1">
      <c r="E56" s="46" t="s">
        <v>130</v>
      </c>
      <c r="G56" s="46" t="s">
        <v>62</v>
      </c>
      <c r="L56" s="1">
        <f xml:space="preserve"> SUM( N56:X56 )</f>
        <v>20089.933433466584</v>
      </c>
      <c r="N56" s="1">
        <f t="shared" ref="N56:X56" si="16" xml:space="preserve">  $F52 * N54 * ( $F53 / N55 )</f>
        <v>133.9574640158489</v>
      </c>
      <c r="O56" s="1">
        <f t="shared" si="16"/>
        <v>497.70251653699529</v>
      </c>
      <c r="P56" s="1">
        <f t="shared" si="16"/>
        <v>1006.507919088504</v>
      </c>
      <c r="Q56" s="1">
        <f t="shared" si="16"/>
        <v>1457.8077881490306</v>
      </c>
      <c r="R56" s="1">
        <f t="shared" si="16"/>
        <v>1858.5908300836561</v>
      </c>
      <c r="S56" s="1">
        <f t="shared" si="16"/>
        <v>2175.6759491581602</v>
      </c>
      <c r="T56" s="1">
        <f t="shared" si="16"/>
        <v>2395.9284836228112</v>
      </c>
      <c r="U56" s="1">
        <f t="shared" si="16"/>
        <v>2554.3098384974828</v>
      </c>
      <c r="V56" s="1">
        <f t="shared" si="16"/>
        <v>2651.2167832297646</v>
      </c>
      <c r="W56" s="1">
        <f t="shared" si="16"/>
        <v>2701.8882250110296</v>
      </c>
      <c r="X56" s="1">
        <f t="shared" si="16"/>
        <v>2656.3476360733043</v>
      </c>
    </row>
    <row r="57" spans="1:24" outlineLevel="1"/>
    <row r="58" spans="1:24" outlineLevel="1"/>
    <row r="59" spans="1:24" outlineLevel="1">
      <c r="B59" s="23" t="s">
        <v>131</v>
      </c>
    </row>
    <row r="60" spans="1:24" outlineLevel="1">
      <c r="A60" s="5"/>
      <c r="B60" s="5"/>
      <c r="C60" s="10"/>
      <c r="D60" s="11"/>
      <c r="E60" s="7" t="str">
        <f xml:space="preserve">  Inputs!E$28</f>
        <v>UK corporation tax rate</v>
      </c>
      <c r="F60" s="60">
        <f xml:space="preserve">  Inputs!F$28</f>
        <v>0.25</v>
      </c>
      <c r="G60" s="7">
        <f xml:space="preserve">  Inputs!G$28</f>
        <v>0</v>
      </c>
      <c r="L60" s="39"/>
    </row>
    <row r="61" spans="1:24" outlineLevel="1">
      <c r="E61" s="46" t="str">
        <f t="shared" ref="E61:X61" si="17" xml:space="preserve">  E$56</f>
        <v>Regulatory return real</v>
      </c>
      <c r="F61" s="1">
        <f t="shared" si="17"/>
        <v>0</v>
      </c>
      <c r="G61" s="1" t="str">
        <f t="shared" si="17"/>
        <v>£'000 (2024 prices)</v>
      </c>
      <c r="L61" s="1">
        <f t="shared" si="17"/>
        <v>20089.933433466584</v>
      </c>
      <c r="M61" s="1">
        <f t="shared" si="17"/>
        <v>0</v>
      </c>
      <c r="N61" s="1">
        <f t="shared" si="17"/>
        <v>133.9574640158489</v>
      </c>
      <c r="O61" s="1">
        <f t="shared" si="17"/>
        <v>497.70251653699529</v>
      </c>
      <c r="P61" s="1">
        <f t="shared" si="17"/>
        <v>1006.507919088504</v>
      </c>
      <c r="Q61" s="1">
        <f t="shared" si="17"/>
        <v>1457.8077881490306</v>
      </c>
      <c r="R61" s="1">
        <f t="shared" si="17"/>
        <v>1858.5908300836561</v>
      </c>
      <c r="S61" s="1">
        <f t="shared" si="17"/>
        <v>2175.6759491581602</v>
      </c>
      <c r="T61" s="1">
        <f t="shared" si="17"/>
        <v>2395.9284836228112</v>
      </c>
      <c r="U61" s="1">
        <f t="shared" si="17"/>
        <v>2554.3098384974828</v>
      </c>
      <c r="V61" s="1">
        <f t="shared" si="17"/>
        <v>2651.2167832297646</v>
      </c>
      <c r="W61" s="1">
        <f t="shared" si="17"/>
        <v>2701.8882250110296</v>
      </c>
      <c r="X61" s="1">
        <f t="shared" si="17"/>
        <v>2656.3476360733043</v>
      </c>
    </row>
    <row r="62" spans="1:24" outlineLevel="1">
      <c r="E62" s="46" t="s">
        <v>131</v>
      </c>
      <c r="G62" s="46" t="s">
        <v>62</v>
      </c>
      <c r="L62" s="1">
        <f xml:space="preserve"> SUM( N62:X62 )</f>
        <v>5022.4833583666459</v>
      </c>
      <c r="N62" s="1">
        <f t="shared" ref="N62:X62" si="18" xml:space="preserve">  N61 * $F60</f>
        <v>33.489366003962225</v>
      </c>
      <c r="O62" s="1">
        <f t="shared" si="18"/>
        <v>124.42562913424882</v>
      </c>
      <c r="P62" s="1">
        <f t="shared" si="18"/>
        <v>251.62697977212599</v>
      </c>
      <c r="Q62" s="1">
        <f t="shared" si="18"/>
        <v>364.45194703725764</v>
      </c>
      <c r="R62" s="1">
        <f t="shared" si="18"/>
        <v>464.64770752091403</v>
      </c>
      <c r="S62" s="1">
        <f t="shared" si="18"/>
        <v>543.91898728954004</v>
      </c>
      <c r="T62" s="1">
        <f t="shared" si="18"/>
        <v>598.9821209057028</v>
      </c>
      <c r="U62" s="1">
        <f t="shared" si="18"/>
        <v>638.5774596243707</v>
      </c>
      <c r="V62" s="1">
        <f t="shared" si="18"/>
        <v>662.80419580744115</v>
      </c>
      <c r="W62" s="1">
        <f t="shared" si="18"/>
        <v>675.4720562527574</v>
      </c>
      <c r="X62" s="1">
        <f t="shared" si="18"/>
        <v>664.08690901832608</v>
      </c>
    </row>
    <row r="63" spans="1:24" outlineLevel="1"/>
    <row r="64" spans="1:24" outlineLevel="1"/>
    <row r="65" spans="1:24" outlineLevel="1">
      <c r="B65" s="23" t="s">
        <v>132</v>
      </c>
    </row>
    <row r="66" spans="1:24" outlineLevel="1">
      <c r="A66" s="5"/>
      <c r="B66" s="5"/>
      <c r="C66" s="10"/>
      <c r="D66" s="11"/>
      <c r="E66" s="7" t="str">
        <f xml:space="preserve">  Inputs!E$28</f>
        <v>UK corporation tax rate</v>
      </c>
      <c r="F66" s="60">
        <f xml:space="preserve">  Inputs!F$28</f>
        <v>0.25</v>
      </c>
      <c r="G66" s="7">
        <f xml:space="preserve">  Inputs!G$28</f>
        <v>0</v>
      </c>
      <c r="L66" s="39"/>
    </row>
    <row r="67" spans="1:24" outlineLevel="1">
      <c r="E67" s="46" t="str">
        <f t="shared" ref="E67:X67" si="19" xml:space="preserve">  E$62</f>
        <v>Corporation tax calculated real</v>
      </c>
      <c r="F67" s="1">
        <f t="shared" si="19"/>
        <v>0</v>
      </c>
      <c r="G67" s="1" t="str">
        <f t="shared" si="19"/>
        <v>£'000 (2024 prices)</v>
      </c>
      <c r="L67" s="1">
        <f t="shared" si="19"/>
        <v>5022.4833583666459</v>
      </c>
      <c r="M67" s="1">
        <f t="shared" si="19"/>
        <v>0</v>
      </c>
      <c r="N67" s="1">
        <f t="shared" si="19"/>
        <v>33.489366003962225</v>
      </c>
      <c r="O67" s="1">
        <f t="shared" si="19"/>
        <v>124.42562913424882</v>
      </c>
      <c r="P67" s="1">
        <f t="shared" si="19"/>
        <v>251.62697977212599</v>
      </c>
      <c r="Q67" s="1">
        <f t="shared" si="19"/>
        <v>364.45194703725764</v>
      </c>
      <c r="R67" s="1">
        <f t="shared" si="19"/>
        <v>464.64770752091403</v>
      </c>
      <c r="S67" s="1">
        <f t="shared" si="19"/>
        <v>543.91898728954004</v>
      </c>
      <c r="T67" s="1">
        <f t="shared" si="19"/>
        <v>598.9821209057028</v>
      </c>
      <c r="U67" s="1">
        <f t="shared" si="19"/>
        <v>638.5774596243707</v>
      </c>
      <c r="V67" s="1">
        <f t="shared" si="19"/>
        <v>662.80419580744115</v>
      </c>
      <c r="W67" s="1">
        <f t="shared" si="19"/>
        <v>675.4720562527574</v>
      </c>
      <c r="X67" s="1">
        <f t="shared" si="19"/>
        <v>664.08690901832608</v>
      </c>
    </row>
    <row r="68" spans="1:24" outlineLevel="1">
      <c r="E68" s="46" t="s">
        <v>132</v>
      </c>
      <c r="G68" s="46" t="s">
        <v>62</v>
      </c>
      <c r="L68" s="1">
        <f xml:space="preserve"> SUM( N68:X68 )</f>
        <v>6696.6444778221967</v>
      </c>
      <c r="N68" s="1">
        <f t="shared" ref="N68:X68" si="20" xml:space="preserve">  N67 / ( 1 - $F66 )</f>
        <v>44.652488005282969</v>
      </c>
      <c r="O68" s="1">
        <f t="shared" si="20"/>
        <v>165.90083884566511</v>
      </c>
      <c r="P68" s="1">
        <f t="shared" si="20"/>
        <v>335.50263969616799</v>
      </c>
      <c r="Q68" s="1">
        <f t="shared" si="20"/>
        <v>485.9359293830102</v>
      </c>
      <c r="R68" s="1">
        <f t="shared" si="20"/>
        <v>619.53027669455207</v>
      </c>
      <c r="S68" s="1">
        <f t="shared" si="20"/>
        <v>725.22531638605335</v>
      </c>
      <c r="T68" s="1">
        <f t="shared" si="20"/>
        <v>798.64282787427044</v>
      </c>
      <c r="U68" s="1">
        <f t="shared" si="20"/>
        <v>851.43661283249423</v>
      </c>
      <c r="V68" s="1">
        <f t="shared" si="20"/>
        <v>883.73892774325486</v>
      </c>
      <c r="W68" s="1">
        <f t="shared" si="20"/>
        <v>900.62940833700986</v>
      </c>
      <c r="X68" s="1">
        <f t="shared" si="20"/>
        <v>885.44921202443481</v>
      </c>
    </row>
    <row r="69" spans="1:24" outlineLevel="1"/>
    <row r="70" spans="1:24" outlineLevel="1"/>
    <row r="71" spans="1:24" outlineLevel="1">
      <c r="B71" s="23" t="s">
        <v>133</v>
      </c>
    </row>
    <row r="72" spans="1:24" outlineLevel="1">
      <c r="A72" s="5"/>
      <c r="B72" s="5"/>
      <c r="C72" s="10"/>
      <c r="D72" s="11"/>
      <c r="E72" s="7" t="str">
        <f xml:space="preserve">  Inputs!E$30</f>
        <v>Proportion of first year RAB additions in depreciation</v>
      </c>
      <c r="F72" s="60">
        <f xml:space="preserve">  Inputs!F$30</f>
        <v>1</v>
      </c>
      <c r="G72" s="7" t="str">
        <f xml:space="preserve">  Inputs!G$30</f>
        <v>%</v>
      </c>
      <c r="L72" s="39"/>
    </row>
    <row r="73" spans="1:24" outlineLevel="1">
      <c r="A73" s="5"/>
      <c r="B73" s="5"/>
      <c r="C73" s="10"/>
      <c r="D73" s="11"/>
      <c r="E73" s="7" t="str">
        <f xml:space="preserve">  Inputs!E$29</f>
        <v>Assumed asset life for depreciation</v>
      </c>
      <c r="F73" s="2">
        <f xml:space="preserve">  Inputs!F$29</f>
        <v>10</v>
      </c>
      <c r="G73" s="7" t="str">
        <f xml:space="preserve">  Inputs!G$29</f>
        <v>years</v>
      </c>
      <c r="L73" s="3"/>
    </row>
    <row r="74" spans="1:24" outlineLevel="1">
      <c r="E74" s="46" t="s">
        <v>133</v>
      </c>
      <c r="F74" s="53">
        <f xml:space="preserve">  $F72 / $F73</f>
        <v>0.1</v>
      </c>
      <c r="G74" s="46" t="s">
        <v>36</v>
      </c>
      <c r="L74" s="53"/>
    </row>
    <row r="75" spans="1:24" outlineLevel="1"/>
    <row r="76" spans="1:24" outlineLevel="1"/>
    <row r="77" spans="1:24" outlineLevel="1">
      <c r="B77" s="23" t="s">
        <v>134</v>
      </c>
    </row>
    <row r="78" spans="1:24" outlineLevel="1">
      <c r="A78" s="5"/>
      <c r="B78" s="5"/>
      <c r="C78" s="10"/>
      <c r="D78" s="11"/>
      <c r="E78" s="7" t="str">
        <f xml:space="preserve">  Inputs!E$69</f>
        <v>UKADS1 costs are capex (slow money) ratio</v>
      </c>
      <c r="F78" s="60">
        <f xml:space="preserve">  Inputs!F$69</f>
        <v>1</v>
      </c>
      <c r="G78" s="7" t="str">
        <f xml:space="preserve">  Inputs!G$69</f>
        <v>%</v>
      </c>
      <c r="L78" s="39"/>
    </row>
    <row r="79" spans="1:24" outlineLevel="1">
      <c r="E79" s="46" t="s">
        <v>134</v>
      </c>
      <c r="F79" s="39">
        <f xml:space="preserve">  1 - $F78</f>
        <v>0</v>
      </c>
      <c r="G79" s="46" t="s">
        <v>36</v>
      </c>
      <c r="L79" s="39"/>
    </row>
    <row r="80" spans="1:24" outlineLevel="1"/>
    <row r="81" spans="1:24" outlineLevel="1"/>
    <row r="82" spans="1:24" outlineLevel="1">
      <c r="B82" s="23" t="s">
        <v>135</v>
      </c>
    </row>
    <row r="83" spans="1:24" outlineLevel="1">
      <c r="A83" s="5"/>
      <c r="B83" s="5"/>
      <c r="C83" s="10"/>
      <c r="D83" s="11"/>
      <c r="E83" s="7" t="str">
        <f xml:space="preserve">  Inputs!E$68</f>
        <v>UKADSF costs are capex (slow money) ratio</v>
      </c>
      <c r="F83" s="60">
        <f xml:space="preserve">  Inputs!F$68</f>
        <v>1</v>
      </c>
      <c r="G83" s="7" t="str">
        <f xml:space="preserve">  Inputs!G$68</f>
        <v>%</v>
      </c>
      <c r="L83" s="39"/>
    </row>
    <row r="84" spans="1:24" outlineLevel="1">
      <c r="E84" s="46" t="s">
        <v>135</v>
      </c>
      <c r="F84" s="39">
        <f xml:space="preserve">  1 - $F83</f>
        <v>0</v>
      </c>
      <c r="G84" s="46" t="s">
        <v>36</v>
      </c>
      <c r="L84" s="39"/>
    </row>
    <row r="85" spans="1:24" outlineLevel="1"/>
    <row r="87" spans="1:24">
      <c r="B87" s="23" t="s">
        <v>136</v>
      </c>
    </row>
    <row r="88" spans="1:24">
      <c r="E88" s="46" t="str">
        <f t="shared" ref="E88:G88" si="21" xml:space="preserve">  E$79</f>
        <v>UKADS1 costs are opex (fast money) ratio</v>
      </c>
      <c r="F88" s="39">
        <f t="shared" si="21"/>
        <v>0</v>
      </c>
      <c r="G88" s="46" t="str">
        <f t="shared" si="21"/>
        <v>%</v>
      </c>
      <c r="L88" s="39"/>
    </row>
    <row r="89" spans="1:24">
      <c r="A89" s="5"/>
      <c r="B89" s="5"/>
      <c r="C89" s="10"/>
      <c r="D89" s="11"/>
      <c r="E89" s="7" t="str">
        <f xml:space="preserve">  Inputs!E$34</f>
        <v>Operating Margin for RAB</v>
      </c>
      <c r="F89" s="35">
        <f xml:space="preserve">  Inputs!F$34</f>
        <v>0</v>
      </c>
      <c r="G89" s="7" t="str">
        <f xml:space="preserve">  Inputs!G$34</f>
        <v>%</v>
      </c>
      <c r="L89" s="53"/>
    </row>
    <row r="90" spans="1:24">
      <c r="E90" s="46" t="str">
        <f t="shared" ref="E90:G90" si="22" xml:space="preserve">  E$84</f>
        <v>UKADSF costs are opex (fast money) ratio</v>
      </c>
      <c r="F90" s="39">
        <f t="shared" si="22"/>
        <v>0</v>
      </c>
      <c r="G90" s="46" t="str">
        <f t="shared" si="22"/>
        <v>%</v>
      </c>
      <c r="L90" s="39"/>
    </row>
    <row r="91" spans="1:24">
      <c r="A91" s="5"/>
      <c r="B91" s="5"/>
      <c r="C91" s="10"/>
      <c r="D91" s="11"/>
      <c r="E91" s="7" t="str">
        <f xml:space="preserve">  'Scenarios Chosen'!E$21</f>
        <v>UKADS1 scenario chosen</v>
      </c>
      <c r="F91" s="4">
        <f xml:space="preserve">  'Scenarios Chosen'!F$21</f>
        <v>0</v>
      </c>
      <c r="G91" s="4" t="str">
        <f xml:space="preserve">  'Scenarios Chosen'!G$21</f>
        <v>£'000 (2024 prices)</v>
      </c>
      <c r="L91" s="4">
        <f xml:space="preserve">  'Scenarios Chosen'!L$21</f>
        <v>127391.93999999996</v>
      </c>
      <c r="M91" s="4">
        <f xml:space="preserve">  'Scenarios Chosen'!M$21</f>
        <v>0</v>
      </c>
      <c r="N91" s="4">
        <f xml:space="preserve">  'Scenarios Chosen'!N$21</f>
        <v>7484.3149999999987</v>
      </c>
      <c r="O91" s="4">
        <f xml:space="preserve">  'Scenarios Chosen'!O$21</f>
        <v>8792.9</v>
      </c>
      <c r="P91" s="4">
        <f xml:space="preserve">  'Scenarios Chosen'!P$21</f>
        <v>15278.899999999998</v>
      </c>
      <c r="Q91" s="4">
        <f xml:space="preserve">  'Scenarios Chosen'!Q$21</f>
        <v>10224.65</v>
      </c>
      <c r="R91" s="4">
        <f xml:space="preserve">  'Scenarios Chosen'!R$21</f>
        <v>15278.899999999998</v>
      </c>
      <c r="S91" s="4">
        <f xml:space="preserve">  'Scenarios Chosen'!S$21</f>
        <v>10224.65</v>
      </c>
      <c r="T91" s="4">
        <f xml:space="preserve">  'Scenarios Chosen'!T$21</f>
        <v>15278.899999999998</v>
      </c>
      <c r="U91" s="4">
        <f xml:space="preserve">  'Scenarios Chosen'!U$21</f>
        <v>10224.65</v>
      </c>
      <c r="V91" s="4">
        <f xml:space="preserve">  'Scenarios Chosen'!V$21</f>
        <v>14154.774999999998</v>
      </c>
      <c r="W91" s="4">
        <f xml:space="preserve">  'Scenarios Chosen'!W$21</f>
        <v>10224.65</v>
      </c>
      <c r="X91" s="4">
        <f xml:space="preserve">  'Scenarios Chosen'!X$21</f>
        <v>10224.65</v>
      </c>
    </row>
    <row r="92" spans="1:24">
      <c r="A92" s="5"/>
      <c r="B92" s="5"/>
      <c r="C92" s="10"/>
      <c r="D92" s="11"/>
      <c r="E92" s="7" t="str">
        <f xml:space="preserve">  'Scenarios Chosen'!E$13</f>
        <v>UKADSF scenarios chosen</v>
      </c>
      <c r="F92" s="4">
        <f xml:space="preserve">  'Scenarios Chosen'!F$13</f>
        <v>0</v>
      </c>
      <c r="G92" s="4" t="str">
        <f xml:space="preserve">  'Scenarios Chosen'!G$13</f>
        <v>£'000 (2024 prices)</v>
      </c>
      <c r="L92" s="4">
        <f xml:space="preserve">  'Scenarios Chosen'!L$13</f>
        <v>74380.773437852215</v>
      </c>
      <c r="M92" s="4">
        <f xml:space="preserve">  'Scenarios Chosen'!M$13</f>
        <v>0</v>
      </c>
      <c r="N92" s="4">
        <f xml:space="preserve">  'Scenarios Chosen'!N$13</f>
        <v>2438.4601122851013</v>
      </c>
      <c r="O92" s="4">
        <f xml:space="preserve">  'Scenarios Chosen'!O$13</f>
        <v>9511.0549027019752</v>
      </c>
      <c r="P92" s="4">
        <f xml:space="preserve">  'Scenarios Chosen'!P$13</f>
        <v>8566.3138299810635</v>
      </c>
      <c r="Q92" s="4">
        <f xml:space="preserve">  'Scenarios Chosen'!Q$13</f>
        <v>8414.2389541468656</v>
      </c>
      <c r="R92" s="4">
        <f xml:space="preserve">  'Scenarios Chosen'!R$13</f>
        <v>9127.5948093498828</v>
      </c>
      <c r="S92" s="4">
        <f xml:space="preserve">  'Scenarios Chosen'!S$13</f>
        <v>6722.2516212665705</v>
      </c>
      <c r="T92" s="4">
        <f xml:space="preserve">  'Scenarios Chosen'!T$13</f>
        <v>5920.1718416241501</v>
      </c>
      <c r="U92" s="4">
        <f xml:space="preserve">  'Scenarios Chosen'!U$13</f>
        <v>5920.1718416241501</v>
      </c>
      <c r="V92" s="4">
        <f xml:space="preserve">  'Scenarios Chosen'!V$13</f>
        <v>5920.1718416241501</v>
      </c>
      <c r="W92" s="4">
        <f xml:space="preserve">  'Scenarios Chosen'!W$13</f>
        <v>5920.1718416241501</v>
      </c>
      <c r="X92" s="4">
        <f xml:space="preserve">  'Scenarios Chosen'!X$13</f>
        <v>5920.1718416241501</v>
      </c>
    </row>
    <row r="93" spans="1:24">
      <c r="E93" s="46" t="s">
        <v>136</v>
      </c>
      <c r="G93" s="46" t="s">
        <v>62</v>
      </c>
      <c r="L93" s="1">
        <f xml:space="preserve"> SUM( N93:X93 )</f>
        <v>0</v>
      </c>
      <c r="N93" s="1">
        <f t="shared" ref="N93:X93" si="23" xml:space="preserve">  ( N91 * $F88 * ( 1 + $F89 ) ) + ( N92 * $F90 * ( 1 + $F89 ) )</f>
        <v>0</v>
      </c>
      <c r="O93" s="1">
        <f t="shared" si="23"/>
        <v>0</v>
      </c>
      <c r="P93" s="1">
        <f t="shared" si="23"/>
        <v>0</v>
      </c>
      <c r="Q93" s="1">
        <f t="shared" si="23"/>
        <v>0</v>
      </c>
      <c r="R93" s="1">
        <f t="shared" si="23"/>
        <v>0</v>
      </c>
      <c r="S93" s="1">
        <f t="shared" si="23"/>
        <v>0</v>
      </c>
      <c r="T93" s="1">
        <f t="shared" si="23"/>
        <v>0</v>
      </c>
      <c r="U93" s="1">
        <f t="shared" si="23"/>
        <v>0</v>
      </c>
      <c r="V93" s="1">
        <f t="shared" si="23"/>
        <v>0</v>
      </c>
      <c r="W93" s="1">
        <f t="shared" si="23"/>
        <v>0</v>
      </c>
      <c r="X93" s="1">
        <f t="shared" si="23"/>
        <v>0</v>
      </c>
    </row>
    <row r="96" spans="1:24">
      <c r="B96" s="23" t="s">
        <v>137</v>
      </c>
    </row>
    <row r="97" spans="1:24">
      <c r="E97" s="7" t="s">
        <v>35</v>
      </c>
      <c r="F97" s="35">
        <f>Inputs!F$24</f>
        <v>1.24E-2</v>
      </c>
      <c r="G97" s="7" t="str">
        <f xml:space="preserve">  Inputs!G$34</f>
        <v>%</v>
      </c>
    </row>
    <row r="98" spans="1:24">
      <c r="E98" s="46" t="str">
        <f t="shared" ref="E98:X98" si="24" xml:space="preserve">  E$93</f>
        <v>Opex Real</v>
      </c>
      <c r="F98" s="1">
        <f t="shared" si="24"/>
        <v>0</v>
      </c>
      <c r="G98" s="1" t="str">
        <f t="shared" si="24"/>
        <v>£'000 (2024 prices)</v>
      </c>
      <c r="L98" s="1">
        <f t="shared" si="24"/>
        <v>0</v>
      </c>
      <c r="M98" s="1">
        <f t="shared" si="24"/>
        <v>0</v>
      </c>
      <c r="N98" s="1">
        <f t="shared" si="24"/>
        <v>0</v>
      </c>
      <c r="O98" s="1">
        <f t="shared" si="24"/>
        <v>0</v>
      </c>
      <c r="P98" s="1">
        <f t="shared" si="24"/>
        <v>0</v>
      </c>
      <c r="Q98" s="1">
        <f t="shared" si="24"/>
        <v>0</v>
      </c>
      <c r="R98" s="1">
        <f t="shared" si="24"/>
        <v>0</v>
      </c>
      <c r="S98" s="1">
        <f t="shared" si="24"/>
        <v>0</v>
      </c>
      <c r="T98" s="1">
        <f t="shared" si="24"/>
        <v>0</v>
      </c>
      <c r="U98" s="1">
        <f t="shared" si="24"/>
        <v>0</v>
      </c>
      <c r="V98" s="1">
        <f t="shared" si="24"/>
        <v>0</v>
      </c>
      <c r="W98" s="1">
        <f t="shared" si="24"/>
        <v>0</v>
      </c>
      <c r="X98" s="1">
        <f t="shared" si="24"/>
        <v>0</v>
      </c>
    </row>
    <row r="99" spans="1:24">
      <c r="E99" s="46" t="str">
        <f t="shared" ref="E99:X99" si="25" xml:space="preserve">  E$68</f>
        <v>Corporation tax grossed up</v>
      </c>
      <c r="F99" s="1">
        <f t="shared" si="25"/>
        <v>0</v>
      </c>
      <c r="G99" s="1" t="str">
        <f t="shared" si="25"/>
        <v>£'000 (2024 prices)</v>
      </c>
      <c r="L99" s="1">
        <f t="shared" si="25"/>
        <v>6696.6444778221967</v>
      </c>
      <c r="M99" s="1">
        <f t="shared" si="25"/>
        <v>0</v>
      </c>
      <c r="N99" s="1">
        <f t="shared" si="25"/>
        <v>44.652488005282969</v>
      </c>
      <c r="O99" s="1">
        <f t="shared" si="25"/>
        <v>165.90083884566511</v>
      </c>
      <c r="P99" s="1">
        <f t="shared" si="25"/>
        <v>335.50263969616799</v>
      </c>
      <c r="Q99" s="1">
        <f t="shared" si="25"/>
        <v>485.9359293830102</v>
      </c>
      <c r="R99" s="1">
        <f t="shared" si="25"/>
        <v>619.53027669455207</v>
      </c>
      <c r="S99" s="1">
        <f t="shared" si="25"/>
        <v>725.22531638605335</v>
      </c>
      <c r="T99" s="1">
        <f t="shared" si="25"/>
        <v>798.64282787427044</v>
      </c>
      <c r="U99" s="1">
        <f t="shared" si="25"/>
        <v>851.43661283249423</v>
      </c>
      <c r="V99" s="1">
        <f t="shared" si="25"/>
        <v>883.73892774325486</v>
      </c>
      <c r="W99" s="1">
        <f t="shared" si="25"/>
        <v>900.62940833700986</v>
      </c>
      <c r="X99" s="1">
        <f t="shared" si="25"/>
        <v>885.44921202443481</v>
      </c>
    </row>
    <row r="100" spans="1:24">
      <c r="E100" s="46" t="str">
        <f t="shared" ref="E100:X100" si="26" xml:space="preserve">  E$56</f>
        <v>Regulatory return real</v>
      </c>
      <c r="F100" s="1">
        <f t="shared" si="26"/>
        <v>0</v>
      </c>
      <c r="G100" s="1" t="str">
        <f t="shared" si="26"/>
        <v>£'000 (2024 prices)</v>
      </c>
      <c r="L100" s="1">
        <f t="shared" si="26"/>
        <v>20089.933433466584</v>
      </c>
      <c r="M100" s="1">
        <f t="shared" si="26"/>
        <v>0</v>
      </c>
      <c r="N100" s="1">
        <f t="shared" si="26"/>
        <v>133.9574640158489</v>
      </c>
      <c r="O100" s="1">
        <f t="shared" si="26"/>
        <v>497.70251653699529</v>
      </c>
      <c r="P100" s="1">
        <f t="shared" si="26"/>
        <v>1006.507919088504</v>
      </c>
      <c r="Q100" s="1">
        <f t="shared" si="26"/>
        <v>1457.8077881490306</v>
      </c>
      <c r="R100" s="1">
        <f t="shared" si="26"/>
        <v>1858.5908300836561</v>
      </c>
      <c r="S100" s="1">
        <f t="shared" si="26"/>
        <v>2175.6759491581602</v>
      </c>
      <c r="T100" s="1">
        <f t="shared" si="26"/>
        <v>2395.9284836228112</v>
      </c>
      <c r="U100" s="1">
        <f t="shared" si="26"/>
        <v>2554.3098384974828</v>
      </c>
      <c r="V100" s="1">
        <f t="shared" si="26"/>
        <v>2651.2167832297646</v>
      </c>
      <c r="W100" s="1">
        <f t="shared" si="26"/>
        <v>2701.8882250110296</v>
      </c>
      <c r="X100" s="1">
        <f t="shared" si="26"/>
        <v>2656.3476360733043</v>
      </c>
    </row>
    <row r="101" spans="1:24">
      <c r="E101" s="46" t="str">
        <f t="shared" ref="E101:X101" si="27" xml:space="preserve">  E$184</f>
        <v>Total RAB depreciation real</v>
      </c>
      <c r="F101" s="1">
        <f t="shared" si="27"/>
        <v>0</v>
      </c>
      <c r="G101" s="1" t="str">
        <f t="shared" si="27"/>
        <v>£'000 (2024 prices)</v>
      </c>
      <c r="L101" s="1">
        <f t="shared" si="27"/>
        <v>113423.87131076273</v>
      </c>
      <c r="M101" s="1">
        <f t="shared" si="27"/>
        <v>0</v>
      </c>
      <c r="N101" s="1">
        <f t="shared" si="27"/>
        <v>992.27751122851009</v>
      </c>
      <c r="O101" s="1">
        <f t="shared" si="27"/>
        <v>2802.4093347257794</v>
      </c>
      <c r="P101" s="1">
        <f t="shared" si="27"/>
        <v>5132.2754888139998</v>
      </c>
      <c r="Q101" s="1">
        <f t="shared" si="27"/>
        <v>6895.5106667580058</v>
      </c>
      <c r="R101" s="1">
        <f t="shared" si="27"/>
        <v>9200.9594210542455</v>
      </c>
      <c r="S101" s="1">
        <f t="shared" si="27"/>
        <v>10715.238614140624</v>
      </c>
      <c r="T101" s="1">
        <f t="shared" si="27"/>
        <v>12625.043080378713</v>
      </c>
      <c r="U101" s="1">
        <f t="shared" si="27"/>
        <v>13991.975400219975</v>
      </c>
      <c r="V101" s="1">
        <f t="shared" si="27"/>
        <v>15725.117625554549</v>
      </c>
      <c r="W101" s="1">
        <f t="shared" si="27"/>
        <v>17031.26417000021</v>
      </c>
      <c r="X101" s="1">
        <f t="shared" si="27"/>
        <v>18311.799997888109</v>
      </c>
    </row>
    <row r="102" spans="1:24">
      <c r="E102" s="46" t="s">
        <v>137</v>
      </c>
      <c r="G102" s="46" t="s">
        <v>62</v>
      </c>
      <c r="L102" s="1">
        <f xml:space="preserve"> SUM( N102:X102 )</f>
        <v>141949.05879240495</v>
      </c>
      <c r="N102" s="1">
        <f xml:space="preserve">  (N98 + N99 + N100 + N101)*(1+$F$97)</f>
        <v>1185.4064677939375</v>
      </c>
      <c r="O102" s="1">
        <f xml:space="preserve">  (O98 + O99 + O100 + O101)*(1+$F$97)</f>
        <v>3508.9912474657845</v>
      </c>
      <c r="P102" s="1">
        <f t="shared" ref="P102:X102" si="28" xml:space="preserve">  (P98 + P99 + P100 + P101)*(1+$F$97)</f>
        <v>6554.5671945888953</v>
      </c>
      <c r="Q102" s="1">
        <f t="shared" si="28"/>
        <v>8948.8611386552438</v>
      </c>
      <c r="R102" s="1">
        <f t="shared" si="28"/>
        <v>11823.901126377576</v>
      </c>
      <c r="S102" s="1">
        <f t="shared" si="28"/>
        <v>13784.980014192928</v>
      </c>
      <c r="T102" s="1">
        <f t="shared" si="28"/>
        <v>16015.777610335055</v>
      </c>
      <c r="U102" s="1">
        <f t="shared" si="28"/>
        <v>17613.453602509169</v>
      </c>
      <c r="V102" s="1">
        <f t="shared" si="28"/>
        <v>19498.898245900509</v>
      </c>
      <c r="W102" s="1">
        <f t="shared" si="28"/>
        <v>20889.640697709765</v>
      </c>
      <c r="X102" s="1">
        <f t="shared" si="28"/>
        <v>22124.581446876073</v>
      </c>
    </row>
    <row r="105" spans="1:24">
      <c r="B105" s="23" t="s">
        <v>138</v>
      </c>
    </row>
    <row r="106" spans="1:24">
      <c r="E106" s="46" t="str">
        <f t="shared" ref="E106:X106" si="29" xml:space="preserve">  E$102</f>
        <v>Determined Costs Real (RAB only)</v>
      </c>
      <c r="F106" s="1">
        <f t="shared" si="29"/>
        <v>0</v>
      </c>
      <c r="G106" s="1" t="str">
        <f t="shared" si="29"/>
        <v>£'000 (2024 prices)</v>
      </c>
      <c r="L106" s="1">
        <f t="shared" si="29"/>
        <v>141949.05879240495</v>
      </c>
      <c r="M106" s="1">
        <f t="shared" si="29"/>
        <v>0</v>
      </c>
      <c r="N106" s="1">
        <f t="shared" si="29"/>
        <v>1185.4064677939375</v>
      </c>
      <c r="O106" s="1">
        <f t="shared" si="29"/>
        <v>3508.9912474657845</v>
      </c>
      <c r="P106" s="1">
        <f t="shared" si="29"/>
        <v>6554.5671945888953</v>
      </c>
      <c r="Q106" s="1">
        <f t="shared" si="29"/>
        <v>8948.8611386552438</v>
      </c>
      <c r="R106" s="1">
        <f t="shared" si="29"/>
        <v>11823.901126377576</v>
      </c>
      <c r="S106" s="1">
        <f t="shared" si="29"/>
        <v>13784.980014192928</v>
      </c>
      <c r="T106" s="1">
        <f t="shared" si="29"/>
        <v>16015.777610335055</v>
      </c>
      <c r="U106" s="1">
        <f t="shared" si="29"/>
        <v>17613.453602509169</v>
      </c>
      <c r="V106" s="1">
        <f t="shared" si="29"/>
        <v>19498.898245900509</v>
      </c>
      <c r="W106" s="1">
        <f t="shared" si="29"/>
        <v>20889.640697709765</v>
      </c>
      <c r="X106" s="1">
        <f t="shared" si="29"/>
        <v>22124.581446876073</v>
      </c>
    </row>
    <row r="107" spans="1:24">
      <c r="A107" s="5"/>
      <c r="B107" s="5"/>
      <c r="C107" s="10"/>
      <c r="D107" s="11"/>
      <c r="E107" s="7" t="str">
        <f xml:space="preserve">  Time!E$58</f>
        <v>NR23 flag</v>
      </c>
      <c r="F107" s="2">
        <f xml:space="preserve">  Time!F$58</f>
        <v>0</v>
      </c>
      <c r="G107" s="2" t="str">
        <f xml:space="preserve">  Time!G$58</f>
        <v>flag</v>
      </c>
      <c r="L107" s="2">
        <f xml:space="preserve">  Time!L$58</f>
        <v>3</v>
      </c>
      <c r="M107" s="2">
        <f xml:space="preserve">  Time!M$58</f>
        <v>0</v>
      </c>
      <c r="N107" s="2">
        <f xml:space="preserve">  Time!N$58</f>
        <v>1</v>
      </c>
      <c r="O107" s="2">
        <f xml:space="preserve">  Time!O$58</f>
        <v>1</v>
      </c>
      <c r="P107" s="2">
        <f xml:space="preserve">  Time!P$58</f>
        <v>1</v>
      </c>
      <c r="Q107" s="2">
        <f xml:space="preserve">  Time!Q$58</f>
        <v>0</v>
      </c>
      <c r="R107" s="2">
        <f xml:space="preserve">  Time!R$58</f>
        <v>0</v>
      </c>
      <c r="S107" s="2">
        <f xml:space="preserve">  Time!S$58</f>
        <v>0</v>
      </c>
      <c r="T107" s="2">
        <f xml:space="preserve">  Time!T$58</f>
        <v>0</v>
      </c>
      <c r="U107" s="2">
        <f xml:space="preserve">  Time!U$58</f>
        <v>0</v>
      </c>
      <c r="V107" s="2">
        <f xml:space="preserve">  Time!V$58</f>
        <v>0</v>
      </c>
      <c r="W107" s="2">
        <f xml:space="preserve">  Time!W$58</f>
        <v>0</v>
      </c>
      <c r="X107" s="2">
        <f xml:space="preserve">  Time!X$58</f>
        <v>0</v>
      </c>
    </row>
    <row r="108" spans="1:24">
      <c r="E108" s="46" t="s">
        <v>138</v>
      </c>
      <c r="G108" s="46" t="s">
        <v>62</v>
      </c>
      <c r="L108" s="1">
        <f xml:space="preserve"> SUM( N108:X108 )</f>
        <v>11248.964909848617</v>
      </c>
      <c r="N108" s="1">
        <f t="shared" ref="N108:X108" si="30" xml:space="preserve">  N106 * N107</f>
        <v>1185.4064677939375</v>
      </c>
      <c r="O108" s="1">
        <f t="shared" si="30"/>
        <v>3508.9912474657845</v>
      </c>
      <c r="P108" s="1">
        <f t="shared" si="30"/>
        <v>6554.5671945888953</v>
      </c>
      <c r="Q108" s="1">
        <f t="shared" si="30"/>
        <v>0</v>
      </c>
      <c r="R108" s="1">
        <f t="shared" si="30"/>
        <v>0</v>
      </c>
      <c r="S108" s="1">
        <f t="shared" si="30"/>
        <v>0</v>
      </c>
      <c r="T108" s="1">
        <f t="shared" si="30"/>
        <v>0</v>
      </c>
      <c r="U108" s="1">
        <f t="shared" si="30"/>
        <v>0</v>
      </c>
      <c r="V108" s="1">
        <f t="shared" si="30"/>
        <v>0</v>
      </c>
      <c r="W108" s="1">
        <f t="shared" si="30"/>
        <v>0</v>
      </c>
      <c r="X108" s="1">
        <f t="shared" si="30"/>
        <v>0</v>
      </c>
    </row>
    <row r="111" spans="1:24">
      <c r="B111" s="23" t="s">
        <v>139</v>
      </c>
    </row>
    <row r="112" spans="1:24">
      <c r="E112" s="46" t="str">
        <f t="shared" ref="E112:X112" si="31" xml:space="preserve">  E$102</f>
        <v>Determined Costs Real (RAB only)</v>
      </c>
      <c r="F112" s="1">
        <f t="shared" si="31"/>
        <v>0</v>
      </c>
      <c r="G112" s="1" t="str">
        <f t="shared" si="31"/>
        <v>£'000 (2024 prices)</v>
      </c>
      <c r="L112" s="1">
        <f t="shared" si="31"/>
        <v>141949.05879240495</v>
      </c>
      <c r="M112" s="1">
        <f t="shared" si="31"/>
        <v>0</v>
      </c>
      <c r="N112" s="1">
        <f t="shared" si="31"/>
        <v>1185.4064677939375</v>
      </c>
      <c r="O112" s="1">
        <f t="shared" si="31"/>
        <v>3508.9912474657845</v>
      </c>
      <c r="P112" s="1">
        <f t="shared" si="31"/>
        <v>6554.5671945888953</v>
      </c>
      <c r="Q112" s="1">
        <f t="shared" si="31"/>
        <v>8948.8611386552438</v>
      </c>
      <c r="R112" s="1">
        <f t="shared" si="31"/>
        <v>11823.901126377576</v>
      </c>
      <c r="S112" s="1">
        <f t="shared" si="31"/>
        <v>13784.980014192928</v>
      </c>
      <c r="T112" s="1">
        <f t="shared" si="31"/>
        <v>16015.777610335055</v>
      </c>
      <c r="U112" s="1">
        <f t="shared" si="31"/>
        <v>17613.453602509169</v>
      </c>
      <c r="V112" s="1">
        <f t="shared" si="31"/>
        <v>19498.898245900509</v>
      </c>
      <c r="W112" s="1">
        <f t="shared" si="31"/>
        <v>20889.640697709765</v>
      </c>
      <c r="X112" s="1">
        <f t="shared" si="31"/>
        <v>22124.581446876073</v>
      </c>
    </row>
    <row r="113" spans="1:24">
      <c r="A113" s="5"/>
      <c r="B113" s="5"/>
      <c r="C113" s="10"/>
      <c r="D113" s="11"/>
      <c r="E113" s="7" t="str">
        <f xml:space="preserve">  Inputs!E$53</f>
        <v>Service Units</v>
      </c>
      <c r="F113" s="2">
        <f xml:space="preserve">  Inputs!F$53</f>
        <v>0</v>
      </c>
      <c r="G113" s="2" t="str">
        <f xml:space="preserve">  Inputs!G$53</f>
        <v>000</v>
      </c>
      <c r="L113" s="2">
        <f xml:space="preserve">  Inputs!L$53</f>
        <v>148622</v>
      </c>
      <c r="M113" s="2">
        <f xml:space="preserve">  Inputs!M$53</f>
        <v>0</v>
      </c>
      <c r="N113" s="2">
        <f xml:space="preserve">  Inputs!N$53</f>
        <v>12392</v>
      </c>
      <c r="O113" s="2">
        <f xml:space="preserve">  Inputs!O$53</f>
        <v>12580</v>
      </c>
      <c r="P113" s="2">
        <f xml:space="preserve">  Inputs!P$53</f>
        <v>12818</v>
      </c>
      <c r="Q113" s="2">
        <f xml:space="preserve">  Inputs!Q$53</f>
        <v>13082</v>
      </c>
      <c r="R113" s="2">
        <f xml:space="preserve">  Inputs!R$53</f>
        <v>13278</v>
      </c>
      <c r="S113" s="2">
        <f xml:space="preserve">  Inputs!S$53</f>
        <v>13507</v>
      </c>
      <c r="T113" s="2">
        <f xml:space="preserve">  Inputs!T$53</f>
        <v>13717</v>
      </c>
      <c r="U113" s="2">
        <f xml:space="preserve">  Inputs!U$53</f>
        <v>13951</v>
      </c>
      <c r="V113" s="2">
        <f xml:space="preserve">  Inputs!V$53</f>
        <v>14189</v>
      </c>
      <c r="W113" s="2">
        <f xml:space="preserve">  Inputs!W$53</f>
        <v>14431</v>
      </c>
      <c r="X113" s="2">
        <f xml:space="preserve">  Inputs!X$53</f>
        <v>14677</v>
      </c>
    </row>
    <row r="114" spans="1:24">
      <c r="E114" s="46" t="s">
        <v>139</v>
      </c>
      <c r="G114" s="46" t="s">
        <v>140</v>
      </c>
      <c r="L114" s="1">
        <f xml:space="preserve"> SUM( N114:X114 )</f>
        <v>10.240397698305401</v>
      </c>
      <c r="N114" s="1">
        <f t="shared" ref="N114:X114" si="32" xml:space="preserve">  N112 / N113</f>
        <v>9.5659011280982698E-2</v>
      </c>
      <c r="O114" s="1">
        <f t="shared" si="32"/>
        <v>0.27893412142017365</v>
      </c>
      <c r="P114" s="1">
        <f t="shared" si="32"/>
        <v>0.51135646704547477</v>
      </c>
      <c r="Q114" s="1">
        <f t="shared" si="32"/>
        <v>0.68405909942327192</v>
      </c>
      <c r="R114" s="1">
        <f t="shared" si="32"/>
        <v>0.89048811013537998</v>
      </c>
      <c r="S114" s="1">
        <f t="shared" si="32"/>
        <v>1.0205804408227532</v>
      </c>
      <c r="T114" s="1">
        <f t="shared" si="32"/>
        <v>1.167586032684629</v>
      </c>
      <c r="U114" s="1">
        <f t="shared" si="32"/>
        <v>1.2625226580538433</v>
      </c>
      <c r="V114" s="1">
        <f t="shared" si="32"/>
        <v>1.3742263898724723</v>
      </c>
      <c r="W114" s="1">
        <f t="shared" si="32"/>
        <v>1.4475532324655094</v>
      </c>
      <c r="X114" s="1">
        <f t="shared" si="32"/>
        <v>1.5074321351009112</v>
      </c>
    </row>
    <row r="117" spans="1:24">
      <c r="B117" s="23" t="s">
        <v>141</v>
      </c>
    </row>
    <row r="118" spans="1:24">
      <c r="E118" s="46" t="str">
        <f t="shared" ref="E118:X118" si="33" xml:space="preserve">  E$102</f>
        <v>Determined Costs Real (RAB only)</v>
      </c>
      <c r="F118" s="1">
        <f t="shared" si="33"/>
        <v>0</v>
      </c>
      <c r="G118" s="1" t="str">
        <f t="shared" si="33"/>
        <v>£'000 (2024 prices)</v>
      </c>
      <c r="L118" s="1">
        <f t="shared" si="33"/>
        <v>141949.05879240495</v>
      </c>
      <c r="M118" s="1">
        <f t="shared" si="33"/>
        <v>0</v>
      </c>
      <c r="N118" s="1">
        <f t="shared" si="33"/>
        <v>1185.4064677939375</v>
      </c>
      <c r="O118" s="1">
        <f t="shared" si="33"/>
        <v>3508.9912474657845</v>
      </c>
      <c r="P118" s="1">
        <f t="shared" si="33"/>
        <v>6554.5671945888953</v>
      </c>
      <c r="Q118" s="1">
        <f t="shared" si="33"/>
        <v>8948.8611386552438</v>
      </c>
      <c r="R118" s="1">
        <f t="shared" si="33"/>
        <v>11823.901126377576</v>
      </c>
      <c r="S118" s="1">
        <f t="shared" si="33"/>
        <v>13784.980014192928</v>
      </c>
      <c r="T118" s="1">
        <f t="shared" si="33"/>
        <v>16015.777610335055</v>
      </c>
      <c r="U118" s="1">
        <f t="shared" si="33"/>
        <v>17613.453602509169</v>
      </c>
      <c r="V118" s="1">
        <f t="shared" si="33"/>
        <v>19498.898245900509</v>
      </c>
      <c r="W118" s="1">
        <f t="shared" si="33"/>
        <v>20889.640697709765</v>
      </c>
      <c r="X118" s="1">
        <f t="shared" si="33"/>
        <v>22124.581446876073</v>
      </c>
    </row>
    <row r="119" spans="1:24">
      <c r="A119" s="5"/>
      <c r="B119" s="5"/>
      <c r="C119" s="10"/>
      <c r="D119" s="11"/>
      <c r="E119" s="7" t="str">
        <f xml:space="preserve">  Inputs!E$52</f>
        <v>Flights</v>
      </c>
      <c r="F119" s="2">
        <f xml:space="preserve">  Inputs!F$52</f>
        <v>0</v>
      </c>
      <c r="G119" s="2" t="str">
        <f xml:space="preserve">  Inputs!G$52</f>
        <v>000</v>
      </c>
      <c r="L119" s="2">
        <f xml:space="preserve">  Inputs!L$52</f>
        <v>29269</v>
      </c>
      <c r="M119" s="2">
        <f xml:space="preserve">  Inputs!M$52</f>
        <v>0</v>
      </c>
      <c r="N119" s="2">
        <f xml:space="preserve">  Inputs!N$52</f>
        <v>2510</v>
      </c>
      <c r="O119" s="2">
        <f xml:space="preserve">  Inputs!O$52</f>
        <v>2536</v>
      </c>
      <c r="P119" s="2">
        <f xml:space="preserve">  Inputs!P$52</f>
        <v>2568</v>
      </c>
      <c r="Q119" s="2">
        <f xml:space="preserve">  Inputs!Q$52</f>
        <v>2606</v>
      </c>
      <c r="R119" s="2">
        <f xml:space="preserve">  Inputs!R$52</f>
        <v>2630</v>
      </c>
      <c r="S119" s="2">
        <f xml:space="preserve">  Inputs!S$52</f>
        <v>2661</v>
      </c>
      <c r="T119" s="2">
        <f xml:space="preserve">  Inputs!T$52</f>
        <v>2689</v>
      </c>
      <c r="U119" s="2">
        <f xml:space="preserve">  Inputs!U$52</f>
        <v>2720</v>
      </c>
      <c r="V119" s="2">
        <f xml:space="preserve">  Inputs!V$52</f>
        <v>2751</v>
      </c>
      <c r="W119" s="2">
        <f xml:space="preserve">  Inputs!W$52</f>
        <v>2783</v>
      </c>
      <c r="X119" s="2">
        <f xml:space="preserve">  Inputs!X$52</f>
        <v>2815</v>
      </c>
    </row>
    <row r="120" spans="1:24">
      <c r="E120" s="46" t="s">
        <v>141</v>
      </c>
      <c r="G120" s="46" t="s">
        <v>140</v>
      </c>
      <c r="L120" s="1">
        <f xml:space="preserve"> SUM( N120:X120 )</f>
        <v>52.403638474114054</v>
      </c>
      <c r="N120" s="1">
        <f t="shared" ref="N120:X120" si="34" xml:space="preserve">  N118 / N119</f>
        <v>0.472273493144995</v>
      </c>
      <c r="O120" s="1">
        <f t="shared" si="34"/>
        <v>1.3836716275495995</v>
      </c>
      <c r="P120" s="1">
        <f t="shared" si="34"/>
        <v>2.5524015555252708</v>
      </c>
      <c r="Q120" s="1">
        <f t="shared" si="34"/>
        <v>3.4339451798370084</v>
      </c>
      <c r="R120" s="1">
        <f t="shared" si="34"/>
        <v>4.4957798959610553</v>
      </c>
      <c r="S120" s="1">
        <f t="shared" si="34"/>
        <v>5.1803758039056476</v>
      </c>
      <c r="T120" s="1">
        <f t="shared" si="34"/>
        <v>5.9560348123224456</v>
      </c>
      <c r="U120" s="1">
        <f t="shared" si="34"/>
        <v>6.4755344126871943</v>
      </c>
      <c r="V120" s="1">
        <f t="shared" si="34"/>
        <v>7.0879310235916062</v>
      </c>
      <c r="W120" s="1">
        <f t="shared" si="34"/>
        <v>7.5061590721199298</v>
      </c>
      <c r="X120" s="1">
        <f t="shared" si="34"/>
        <v>7.8595315974692976</v>
      </c>
    </row>
    <row r="123" spans="1:24">
      <c r="B123" s="23" t="s">
        <v>142</v>
      </c>
    </row>
    <row r="124" spans="1:24">
      <c r="A124" s="5"/>
      <c r="B124" s="5"/>
      <c r="C124" s="10"/>
      <c r="D124" s="11"/>
      <c r="E124" s="7" t="str">
        <f xml:space="preserve">  Inputs!E$32</f>
        <v>CPI Index 2024</v>
      </c>
      <c r="F124" s="2">
        <f xml:space="preserve">  Inputs!F$32</f>
        <v>133.85316666666699</v>
      </c>
      <c r="G124" s="7" t="str">
        <f xml:space="preserve">  Inputs!G$32</f>
        <v>index (2015=100)</v>
      </c>
      <c r="L124" s="3"/>
    </row>
    <row r="125" spans="1:24">
      <c r="E125" s="46" t="str">
        <f t="shared" ref="E125:X125" si="35" xml:space="preserve">  E$120</f>
        <v>DC per Flight Real (RAB only)</v>
      </c>
      <c r="F125" s="1">
        <f t="shared" si="35"/>
        <v>0</v>
      </c>
      <c r="G125" s="1" t="str">
        <f t="shared" si="35"/>
        <v>£( 2024 prices)</v>
      </c>
      <c r="L125" s="1">
        <f t="shared" si="35"/>
        <v>52.403638474114054</v>
      </c>
      <c r="M125" s="1">
        <f t="shared" si="35"/>
        <v>0</v>
      </c>
      <c r="N125" s="1">
        <f t="shared" si="35"/>
        <v>0.472273493144995</v>
      </c>
      <c r="O125" s="1">
        <f t="shared" si="35"/>
        <v>1.3836716275495995</v>
      </c>
      <c r="P125" s="1">
        <f t="shared" si="35"/>
        <v>2.5524015555252708</v>
      </c>
      <c r="Q125" s="1">
        <f t="shared" si="35"/>
        <v>3.4339451798370084</v>
      </c>
      <c r="R125" s="1">
        <f t="shared" si="35"/>
        <v>4.4957798959610553</v>
      </c>
      <c r="S125" s="1">
        <f t="shared" si="35"/>
        <v>5.1803758039056476</v>
      </c>
      <c r="T125" s="1">
        <f t="shared" si="35"/>
        <v>5.9560348123224456</v>
      </c>
      <c r="U125" s="1">
        <f t="shared" si="35"/>
        <v>6.4755344126871943</v>
      </c>
      <c r="V125" s="1">
        <f t="shared" si="35"/>
        <v>7.0879310235916062</v>
      </c>
      <c r="W125" s="1">
        <f t="shared" si="35"/>
        <v>7.5061590721199298</v>
      </c>
      <c r="X125" s="1">
        <f t="shared" si="35"/>
        <v>7.8595315974692976</v>
      </c>
    </row>
    <row r="126" spans="1:24">
      <c r="A126" s="5"/>
      <c r="B126" s="5"/>
      <c r="C126" s="10"/>
      <c r="D126" s="11"/>
      <c r="E126" s="7" t="str">
        <f xml:space="preserve">  Time!E$14</f>
        <v>CPI Index Forecast (Calculations)</v>
      </c>
      <c r="F126" s="2">
        <f xml:space="preserve">  Time!F$14</f>
        <v>0</v>
      </c>
      <c r="G126" s="2">
        <f xml:space="preserve">  Time!G$14</f>
        <v>0</v>
      </c>
      <c r="L126" s="2">
        <f xml:space="preserve">  Time!L$14</f>
        <v>1682.2905458462872</v>
      </c>
      <c r="M126" s="2">
        <f xml:space="preserve">  Time!M$14</f>
        <v>0</v>
      </c>
      <c r="N126" s="2">
        <f xml:space="preserve">  Time!N$14</f>
        <v>138.153850729889</v>
      </c>
      <c r="O126" s="2">
        <f xml:space="preserve">  Time!O$14</f>
        <v>141.033957438817</v>
      </c>
      <c r="P126" s="2">
        <f xml:space="preserve">  Time!P$14</f>
        <v>143.83924602398201</v>
      </c>
      <c r="Q126" s="2">
        <f xml:space="preserve">  Time!Q$14</f>
        <v>146.71663933540901</v>
      </c>
      <c r="R126" s="2">
        <f xml:space="preserve">  Time!R$14</f>
        <v>149.65085336166601</v>
      </c>
      <c r="S126" s="2">
        <f xml:space="preserve">  Time!S$14</f>
        <v>152.64387042889933</v>
      </c>
      <c r="T126" s="2">
        <f xml:space="preserve">  Time!T$14</f>
        <v>155.69674783747732</v>
      </c>
      <c r="U126" s="2">
        <f xml:space="preserve">  Time!U$14</f>
        <v>158.81068279422686</v>
      </c>
      <c r="V126" s="2">
        <f xml:space="preserve">  Time!V$14</f>
        <v>161.9868964501114</v>
      </c>
      <c r="W126" s="2">
        <f xml:space="preserve">  Time!W$14</f>
        <v>165.22663437911362</v>
      </c>
      <c r="X126" s="2">
        <f xml:space="preserve">  Time!X$14</f>
        <v>168.5311670666959</v>
      </c>
    </row>
    <row r="127" spans="1:24">
      <c r="E127" s="46" t="s">
        <v>142</v>
      </c>
      <c r="G127" s="46" t="s">
        <v>143</v>
      </c>
      <c r="L127" s="1">
        <f xml:space="preserve"> SUM( N127:X127 )</f>
        <v>61.735992427246977</v>
      </c>
      <c r="N127" s="1">
        <f t="shared" ref="N127:X127" si="36" xml:space="preserve">  N125 * ( N126 / $F124 )</f>
        <v>0.4874475763290626</v>
      </c>
      <c r="O127" s="1">
        <f t="shared" si="36"/>
        <v>1.4579011486152991</v>
      </c>
      <c r="P127" s="1">
        <f t="shared" si="36"/>
        <v>2.7428227843982742</v>
      </c>
      <c r="Q127" s="1">
        <f t="shared" si="36"/>
        <v>3.7639520154376482</v>
      </c>
      <c r="R127" s="1">
        <f t="shared" si="36"/>
        <v>5.026383123473301</v>
      </c>
      <c r="S127" s="1">
        <f t="shared" si="36"/>
        <v>5.9076122939517832</v>
      </c>
      <c r="T127" s="1">
        <f t="shared" si="36"/>
        <v>6.928003822238562</v>
      </c>
      <c r="U127" s="1">
        <f t="shared" si="36"/>
        <v>7.6829265018237418</v>
      </c>
      <c r="V127" s="1">
        <f t="shared" si="36"/>
        <v>8.5776973183107081</v>
      </c>
      <c r="W127" s="1">
        <f t="shared" si="36"/>
        <v>9.2655066106065735</v>
      </c>
      <c r="X127" s="1">
        <f t="shared" si="36"/>
        <v>9.8957392320620254</v>
      </c>
    </row>
    <row r="130" spans="1:24">
      <c r="B130" s="23" t="s">
        <v>144</v>
      </c>
    </row>
    <row r="131" spans="1:24">
      <c r="A131" s="5"/>
      <c r="B131" s="5"/>
      <c r="C131" s="10"/>
      <c r="D131" s="11"/>
      <c r="E131" s="7" t="str">
        <f xml:space="preserve">  Inputs!E$32</f>
        <v>CPI Index 2024</v>
      </c>
      <c r="F131" s="2">
        <f xml:space="preserve">  Inputs!F$32</f>
        <v>133.85316666666699</v>
      </c>
      <c r="G131" s="7" t="str">
        <f xml:space="preserve">  Inputs!G$32</f>
        <v>index (2015=100)</v>
      </c>
      <c r="L131" s="3"/>
    </row>
    <row r="132" spans="1:24">
      <c r="E132" s="46" t="str">
        <f t="shared" ref="E132:X132" si="37" xml:space="preserve">  E$114</f>
        <v>DC per SU real (RAB only)</v>
      </c>
      <c r="F132" s="1">
        <f t="shared" si="37"/>
        <v>0</v>
      </c>
      <c r="G132" s="1" t="str">
        <f t="shared" si="37"/>
        <v>£( 2024 prices)</v>
      </c>
      <c r="L132" s="1">
        <f t="shared" si="37"/>
        <v>10.240397698305401</v>
      </c>
      <c r="M132" s="1">
        <f t="shared" si="37"/>
        <v>0</v>
      </c>
      <c r="N132" s="1">
        <f t="shared" si="37"/>
        <v>9.5659011280982698E-2</v>
      </c>
      <c r="O132" s="1">
        <f t="shared" si="37"/>
        <v>0.27893412142017365</v>
      </c>
      <c r="P132" s="1">
        <f t="shared" si="37"/>
        <v>0.51135646704547477</v>
      </c>
      <c r="Q132" s="1">
        <f t="shared" si="37"/>
        <v>0.68405909942327192</v>
      </c>
      <c r="R132" s="1">
        <f t="shared" si="37"/>
        <v>0.89048811013537998</v>
      </c>
      <c r="S132" s="1">
        <f t="shared" si="37"/>
        <v>1.0205804408227532</v>
      </c>
      <c r="T132" s="1">
        <f t="shared" si="37"/>
        <v>1.167586032684629</v>
      </c>
      <c r="U132" s="1">
        <f t="shared" si="37"/>
        <v>1.2625226580538433</v>
      </c>
      <c r="V132" s="1">
        <f t="shared" si="37"/>
        <v>1.3742263898724723</v>
      </c>
      <c r="W132" s="1">
        <f t="shared" si="37"/>
        <v>1.4475532324655094</v>
      </c>
      <c r="X132" s="1">
        <f t="shared" si="37"/>
        <v>1.5074321351009112</v>
      </c>
    </row>
    <row r="133" spans="1:24">
      <c r="A133" s="5"/>
      <c r="B133" s="5"/>
      <c r="C133" s="10"/>
      <c r="D133" s="11"/>
      <c r="E133" s="7" t="str">
        <f xml:space="preserve">  Time!E$14</f>
        <v>CPI Index Forecast (Calculations)</v>
      </c>
      <c r="F133" s="2">
        <f xml:space="preserve">  Time!F$14</f>
        <v>0</v>
      </c>
      <c r="G133" s="2">
        <f xml:space="preserve">  Time!G$14</f>
        <v>0</v>
      </c>
      <c r="L133" s="2">
        <f xml:space="preserve">  Time!L$14</f>
        <v>1682.2905458462872</v>
      </c>
      <c r="M133" s="2">
        <f xml:space="preserve">  Time!M$14</f>
        <v>0</v>
      </c>
      <c r="N133" s="2">
        <f xml:space="preserve">  Time!N$14</f>
        <v>138.153850729889</v>
      </c>
      <c r="O133" s="2">
        <f xml:space="preserve">  Time!O$14</f>
        <v>141.033957438817</v>
      </c>
      <c r="P133" s="2">
        <f xml:space="preserve">  Time!P$14</f>
        <v>143.83924602398201</v>
      </c>
      <c r="Q133" s="2">
        <f xml:space="preserve">  Time!Q$14</f>
        <v>146.71663933540901</v>
      </c>
      <c r="R133" s="2">
        <f xml:space="preserve">  Time!R$14</f>
        <v>149.65085336166601</v>
      </c>
      <c r="S133" s="2">
        <f xml:space="preserve">  Time!S$14</f>
        <v>152.64387042889933</v>
      </c>
      <c r="T133" s="2">
        <f xml:space="preserve">  Time!T$14</f>
        <v>155.69674783747732</v>
      </c>
      <c r="U133" s="2">
        <f xml:space="preserve">  Time!U$14</f>
        <v>158.81068279422686</v>
      </c>
      <c r="V133" s="2">
        <f xml:space="preserve">  Time!V$14</f>
        <v>161.9868964501114</v>
      </c>
      <c r="W133" s="2">
        <f xml:space="preserve">  Time!W$14</f>
        <v>165.22663437911362</v>
      </c>
      <c r="X133" s="2">
        <f xml:space="preserve">  Time!X$14</f>
        <v>168.5311670666959</v>
      </c>
    </row>
    <row r="134" spans="1:24">
      <c r="E134" s="46" t="s">
        <v>144</v>
      </c>
      <c r="G134" s="46" t="s">
        <v>143</v>
      </c>
      <c r="L134" s="1">
        <f xml:space="preserve"> SUM( N134:X134 )</f>
        <v>12.055301088827765</v>
      </c>
      <c r="N134" s="1">
        <f t="shared" ref="N134:X134" si="38" xml:space="preserve">  N132 * ( N133 / $F131 )</f>
        <v>9.8732522319718144E-2</v>
      </c>
      <c r="O134" s="1">
        <f t="shared" si="38"/>
        <v>0.29389803759049277</v>
      </c>
      <c r="P134" s="1">
        <f t="shared" si="38"/>
        <v>0.54950607819743869</v>
      </c>
      <c r="Q134" s="1">
        <f t="shared" si="38"/>
        <v>0.74979811590204171</v>
      </c>
      <c r="R134" s="1">
        <f t="shared" si="38"/>
        <v>0.99558575197580823</v>
      </c>
      <c r="S134" s="1">
        <f t="shared" si="38"/>
        <v>1.1638525441775149</v>
      </c>
      <c r="T134" s="1">
        <f t="shared" si="38"/>
        <v>1.3581251205073628</v>
      </c>
      <c r="U134" s="1">
        <f t="shared" si="38"/>
        <v>1.4979256028213446</v>
      </c>
      <c r="V134" s="1">
        <f t="shared" si="38"/>
        <v>1.6630661302891505</v>
      </c>
      <c r="W134" s="1">
        <f t="shared" si="38"/>
        <v>1.7868411681323606</v>
      </c>
      <c r="X134" s="1">
        <f t="shared" si="38"/>
        <v>1.897970016914533</v>
      </c>
    </row>
    <row r="137" spans="1:24">
      <c r="B137" s="23" t="s">
        <v>145</v>
      </c>
    </row>
    <row r="138" spans="1:24">
      <c r="A138" s="5"/>
      <c r="B138" s="5"/>
      <c r="C138" s="10"/>
      <c r="D138" s="11"/>
      <c r="E138" s="7" t="str">
        <f xml:space="preserve">  Inputs!E$56</f>
        <v xml:space="preserve">RAB depreciation by Year (1) </v>
      </c>
      <c r="F138" s="2">
        <f xml:space="preserve">  Inputs!F$56</f>
        <v>1</v>
      </c>
      <c r="G138" s="7">
        <f xml:space="preserve">  Inputs!G$56</f>
        <v>0</v>
      </c>
      <c r="L138" s="3"/>
    </row>
    <row r="139" spans="1:24">
      <c r="A139" s="5"/>
      <c r="B139" s="5"/>
      <c r="C139" s="10"/>
      <c r="D139" s="11"/>
      <c r="E139" s="7" t="str">
        <f xml:space="preserve">  Inputs!E$57</f>
        <v xml:space="preserve">RAB depreciation by Year (2) </v>
      </c>
      <c r="F139" s="2">
        <f xml:space="preserve">  Inputs!F$57</f>
        <v>2</v>
      </c>
      <c r="G139" s="7">
        <f xml:space="preserve">  Inputs!G$57</f>
        <v>0</v>
      </c>
      <c r="L139" s="3"/>
    </row>
    <row r="140" spans="1:24">
      <c r="A140" s="5"/>
      <c r="B140" s="5"/>
      <c r="C140" s="10"/>
      <c r="D140" s="11"/>
      <c r="E140" s="7" t="str">
        <f xml:space="preserve">  Inputs!E$58</f>
        <v xml:space="preserve">RAB depreciation by Year (3) </v>
      </c>
      <c r="F140" s="2">
        <f xml:space="preserve">  Inputs!F$58</f>
        <v>3</v>
      </c>
      <c r="G140" s="7">
        <f xml:space="preserve">  Inputs!G$58</f>
        <v>0</v>
      </c>
      <c r="L140" s="3"/>
    </row>
    <row r="141" spans="1:24">
      <c r="A141" s="5"/>
      <c r="B141" s="5"/>
      <c r="C141" s="10"/>
      <c r="D141" s="11"/>
      <c r="E141" s="7" t="str">
        <f xml:space="preserve">  Inputs!E$59</f>
        <v xml:space="preserve">RAB depreciation by Year (4) </v>
      </c>
      <c r="F141" s="2">
        <f xml:space="preserve">  Inputs!F$59</f>
        <v>4</v>
      </c>
      <c r="G141" s="7">
        <f xml:space="preserve">  Inputs!G$59</f>
        <v>0</v>
      </c>
      <c r="L141" s="3"/>
    </row>
    <row r="142" spans="1:24">
      <c r="A142" s="5"/>
      <c r="B142" s="5"/>
      <c r="C142" s="10"/>
      <c r="D142" s="11"/>
      <c r="E142" s="7" t="str">
        <f xml:space="preserve">  Inputs!E$60</f>
        <v xml:space="preserve">RAB depreciation by Year (5) </v>
      </c>
      <c r="F142" s="2">
        <f xml:space="preserve">  Inputs!F$60</f>
        <v>5</v>
      </c>
      <c r="G142" s="7">
        <f xml:space="preserve">  Inputs!G$60</f>
        <v>0</v>
      </c>
      <c r="L142" s="3"/>
    </row>
    <row r="143" spans="1:24">
      <c r="A143" s="5"/>
      <c r="B143" s="5"/>
      <c r="C143" s="10"/>
      <c r="D143" s="11"/>
      <c r="E143" s="7" t="str">
        <f xml:space="preserve">  Inputs!E$61</f>
        <v xml:space="preserve">RAB depreciation by Year (6) </v>
      </c>
      <c r="F143" s="2">
        <f xml:space="preserve">  Inputs!F$61</f>
        <v>6</v>
      </c>
      <c r="G143" s="7">
        <f xml:space="preserve">  Inputs!G$61</f>
        <v>0</v>
      </c>
      <c r="L143" s="3"/>
    </row>
    <row r="144" spans="1:24">
      <c r="A144" s="5"/>
      <c r="B144" s="5"/>
      <c r="C144" s="10"/>
      <c r="D144" s="11"/>
      <c r="E144" s="7" t="str">
        <f xml:space="preserve">  Inputs!E$62</f>
        <v xml:space="preserve">RAB depreciation by Year (7) </v>
      </c>
      <c r="F144" s="2">
        <f xml:space="preserve">  Inputs!F$62</f>
        <v>7</v>
      </c>
      <c r="G144" s="7">
        <f xml:space="preserve">  Inputs!G$62</f>
        <v>0</v>
      </c>
      <c r="L144" s="3"/>
    </row>
    <row r="145" spans="1:24">
      <c r="A145" s="5"/>
      <c r="B145" s="5"/>
      <c r="C145" s="10"/>
      <c r="D145" s="11"/>
      <c r="E145" s="7" t="str">
        <f xml:space="preserve">  Inputs!E$63</f>
        <v xml:space="preserve">RAB depreciation by Year (8) </v>
      </c>
      <c r="F145" s="2">
        <f xml:space="preserve">  Inputs!F$63</f>
        <v>8</v>
      </c>
      <c r="G145" s="7">
        <f xml:space="preserve">  Inputs!G$63</f>
        <v>0</v>
      </c>
      <c r="L145" s="3"/>
    </row>
    <row r="146" spans="1:24">
      <c r="A146" s="5"/>
      <c r="B146" s="5"/>
      <c r="C146" s="10"/>
      <c r="D146" s="11"/>
      <c r="E146" s="7" t="str">
        <f xml:space="preserve">  Inputs!E$64</f>
        <v xml:space="preserve">RAB depreciation by Year (9) </v>
      </c>
      <c r="F146" s="2">
        <f xml:space="preserve">  Inputs!F$64</f>
        <v>9</v>
      </c>
      <c r="G146" s="7">
        <f xml:space="preserve">  Inputs!G$64</f>
        <v>0</v>
      </c>
      <c r="L146" s="3"/>
    </row>
    <row r="147" spans="1:24">
      <c r="A147" s="5"/>
      <c r="B147" s="5"/>
      <c r="C147" s="10"/>
      <c r="D147" s="11"/>
      <c r="E147" s="7" t="str">
        <f xml:space="preserve">  Inputs!E$65</f>
        <v xml:space="preserve">RAB depreciation by Year (10) </v>
      </c>
      <c r="F147" s="2">
        <f xml:space="preserve">  Inputs!F$65</f>
        <v>10</v>
      </c>
      <c r="G147" s="7">
        <f xml:space="preserve">  Inputs!G$65</f>
        <v>0</v>
      </c>
      <c r="L147" s="3"/>
    </row>
    <row r="148" spans="1:24">
      <c r="A148" s="5"/>
      <c r="B148" s="5"/>
      <c r="C148" s="10"/>
      <c r="D148" s="11"/>
      <c r="E148" s="7" t="str">
        <f xml:space="preserve">  Inputs!E$66</f>
        <v xml:space="preserve">RAB depreciation by Year (11) </v>
      </c>
      <c r="F148" s="2">
        <f xml:space="preserve">  Inputs!F$66</f>
        <v>11</v>
      </c>
      <c r="G148" s="7">
        <f xml:space="preserve">  Inputs!G$66</f>
        <v>0</v>
      </c>
      <c r="L148" s="3"/>
    </row>
    <row r="149" spans="1:24">
      <c r="E149" s="46" t="str">
        <f t="shared" ref="E149:G149" si="39" xml:space="preserve">  E$74</f>
        <v>Straight-line depreciation %</v>
      </c>
      <c r="F149" s="53">
        <f t="shared" si="39"/>
        <v>0.1</v>
      </c>
      <c r="G149" s="46" t="str">
        <f t="shared" si="39"/>
        <v>%</v>
      </c>
      <c r="L149" s="53"/>
    </row>
    <row r="150" spans="1:24">
      <c r="A150" s="5"/>
      <c r="B150" s="5"/>
      <c r="C150" s="10"/>
      <c r="D150" s="11"/>
      <c r="E150" s="7" t="str">
        <f xml:space="preserve">  Time!E$33</f>
        <v>Period number</v>
      </c>
      <c r="F150" s="8">
        <f xml:space="preserve">  Time!F$33</f>
        <v>0</v>
      </c>
      <c r="G150" s="8" t="str">
        <f xml:space="preserve">  Time!G$33</f>
        <v>Counter</v>
      </c>
      <c r="L150" s="8">
        <f xml:space="preserve">  Time!L$33</f>
        <v>0</v>
      </c>
      <c r="M150" s="8">
        <f xml:space="preserve">  Time!M$33</f>
        <v>0</v>
      </c>
      <c r="N150" s="8">
        <f xml:space="preserve">  Time!N$33</f>
        <v>1</v>
      </c>
      <c r="O150" s="8">
        <f xml:space="preserve">  Time!O$33</f>
        <v>2</v>
      </c>
      <c r="P150" s="8">
        <f xml:space="preserve">  Time!P$33</f>
        <v>3</v>
      </c>
      <c r="Q150" s="8">
        <f xml:space="preserve">  Time!Q$33</f>
        <v>4</v>
      </c>
      <c r="R150" s="8">
        <f xml:space="preserve">  Time!R$33</f>
        <v>5</v>
      </c>
      <c r="S150" s="8">
        <f xml:space="preserve">  Time!S$33</f>
        <v>6</v>
      </c>
      <c r="T150" s="8">
        <f xml:space="preserve">  Time!T$33</f>
        <v>7</v>
      </c>
      <c r="U150" s="8">
        <f xml:space="preserve">  Time!U$33</f>
        <v>8</v>
      </c>
      <c r="V150" s="8">
        <f xml:space="preserve">  Time!V$33</f>
        <v>9</v>
      </c>
      <c r="W150" s="8">
        <f xml:space="preserve">  Time!W$33</f>
        <v>10</v>
      </c>
      <c r="X150" s="8">
        <f xml:space="preserve">  Time!X$33</f>
        <v>11</v>
      </c>
    </row>
    <row r="151" spans="1:24">
      <c r="E151" s="46" t="str">
        <f t="shared" ref="E151:X151" si="40" xml:space="preserve">  E$21</f>
        <v>Net Capex for the year</v>
      </c>
      <c r="F151" s="1">
        <f t="shared" si="40"/>
        <v>0</v>
      </c>
      <c r="G151" s="1" t="str">
        <f t="shared" si="40"/>
        <v>£'000 nominal</v>
      </c>
      <c r="L151" s="1">
        <f t="shared" si="40"/>
        <v>230559.28384729996</v>
      </c>
      <c r="M151" s="1">
        <f t="shared" si="40"/>
        <v>0</v>
      </c>
      <c r="N151" s="1">
        <f t="shared" si="40"/>
        <v>10241.592528795036</v>
      </c>
      <c r="O151" s="1">
        <f t="shared" si="40"/>
        <v>19285.903060764518</v>
      </c>
      <c r="P151" s="1">
        <f t="shared" si="40"/>
        <v>25624.179569292442</v>
      </c>
      <c r="Q151" s="1">
        <f t="shared" si="40"/>
        <v>20430.111714191535</v>
      </c>
      <c r="R151" s="1">
        <f t="shared" si="40"/>
        <v>27287.010585875367</v>
      </c>
      <c r="S151" s="1">
        <f t="shared" si="40"/>
        <v>19325.957836245281</v>
      </c>
      <c r="T151" s="1">
        <f t="shared" si="40"/>
        <v>24658.561505186</v>
      </c>
      <c r="U151" s="1">
        <f t="shared" si="40"/>
        <v>19155.095423663035</v>
      </c>
      <c r="V151" s="1">
        <f t="shared" si="40"/>
        <v>24294.369840153107</v>
      </c>
      <c r="W151" s="1">
        <f t="shared" si="40"/>
        <v>19928.961278779021</v>
      </c>
      <c r="X151" s="1">
        <f t="shared" si="40"/>
        <v>20327.540504354602</v>
      </c>
    </row>
    <row r="152" spans="1:24">
      <c r="E152" s="46" t="s">
        <v>146</v>
      </c>
      <c r="G152" s="46" t="s">
        <v>121</v>
      </c>
      <c r="L152" s="1">
        <f t="shared" ref="L152:L162" si="41" xml:space="preserve"> SUM( N152:X152 )</f>
        <v>11265.751781674542</v>
      </c>
      <c r="N152" s="1">
        <f t="shared" ref="N152:X162" si="42" xml:space="preserve">  IF( $F138 = N$150, ( N$151 * $F$149 ), M152 )</f>
        <v>1024.1592528795036</v>
      </c>
      <c r="O152" s="1">
        <f t="shared" si="42"/>
        <v>1024.1592528795036</v>
      </c>
      <c r="P152" s="1">
        <f t="shared" si="42"/>
        <v>1024.1592528795036</v>
      </c>
      <c r="Q152" s="1">
        <f t="shared" si="42"/>
        <v>1024.1592528795036</v>
      </c>
      <c r="R152" s="1">
        <f t="shared" si="42"/>
        <v>1024.1592528795036</v>
      </c>
      <c r="S152" s="1">
        <f t="shared" si="42"/>
        <v>1024.1592528795036</v>
      </c>
      <c r="T152" s="1">
        <f t="shared" si="42"/>
        <v>1024.1592528795036</v>
      </c>
      <c r="U152" s="1">
        <f t="shared" si="42"/>
        <v>1024.1592528795036</v>
      </c>
      <c r="V152" s="1">
        <f t="shared" si="42"/>
        <v>1024.1592528795036</v>
      </c>
      <c r="W152" s="1">
        <f t="shared" si="42"/>
        <v>1024.1592528795036</v>
      </c>
      <c r="X152" s="1">
        <f t="shared" si="42"/>
        <v>1024.1592528795036</v>
      </c>
    </row>
    <row r="153" spans="1:24">
      <c r="E153" s="46" t="s">
        <v>147</v>
      </c>
      <c r="G153" s="46" t="s">
        <v>121</v>
      </c>
      <c r="L153" s="1">
        <f t="shared" si="41"/>
        <v>19285.903060764518</v>
      </c>
      <c r="N153" s="1">
        <f t="shared" si="42"/>
        <v>0</v>
      </c>
      <c r="O153" s="1">
        <f t="shared" si="42"/>
        <v>1928.590306076452</v>
      </c>
      <c r="P153" s="1">
        <f t="shared" si="42"/>
        <v>1928.590306076452</v>
      </c>
      <c r="Q153" s="1">
        <f t="shared" si="42"/>
        <v>1928.590306076452</v>
      </c>
      <c r="R153" s="1">
        <f t="shared" si="42"/>
        <v>1928.590306076452</v>
      </c>
      <c r="S153" s="1">
        <f t="shared" si="42"/>
        <v>1928.590306076452</v>
      </c>
      <c r="T153" s="1">
        <f t="shared" si="42"/>
        <v>1928.590306076452</v>
      </c>
      <c r="U153" s="1">
        <f t="shared" si="42"/>
        <v>1928.590306076452</v>
      </c>
      <c r="V153" s="1">
        <f t="shared" si="42"/>
        <v>1928.590306076452</v>
      </c>
      <c r="W153" s="1">
        <f t="shared" si="42"/>
        <v>1928.590306076452</v>
      </c>
      <c r="X153" s="1">
        <f t="shared" si="42"/>
        <v>1928.590306076452</v>
      </c>
    </row>
    <row r="154" spans="1:24">
      <c r="E154" s="46" t="s">
        <v>148</v>
      </c>
      <c r="G154" s="46" t="s">
        <v>121</v>
      </c>
      <c r="L154" s="1">
        <f t="shared" si="41"/>
        <v>23061.761612363203</v>
      </c>
      <c r="N154" s="1">
        <f t="shared" si="42"/>
        <v>0</v>
      </c>
      <c r="O154" s="1">
        <f t="shared" si="42"/>
        <v>0</v>
      </c>
      <c r="P154" s="1">
        <f t="shared" si="42"/>
        <v>2562.4179569292446</v>
      </c>
      <c r="Q154" s="1">
        <f t="shared" si="42"/>
        <v>2562.4179569292446</v>
      </c>
      <c r="R154" s="1">
        <f t="shared" si="42"/>
        <v>2562.4179569292446</v>
      </c>
      <c r="S154" s="1">
        <f t="shared" si="42"/>
        <v>2562.4179569292446</v>
      </c>
      <c r="T154" s="1">
        <f t="shared" si="42"/>
        <v>2562.4179569292446</v>
      </c>
      <c r="U154" s="1">
        <f t="shared" si="42"/>
        <v>2562.4179569292446</v>
      </c>
      <c r="V154" s="1">
        <f t="shared" si="42"/>
        <v>2562.4179569292446</v>
      </c>
      <c r="W154" s="1">
        <f t="shared" si="42"/>
        <v>2562.4179569292446</v>
      </c>
      <c r="X154" s="1">
        <f t="shared" si="42"/>
        <v>2562.4179569292446</v>
      </c>
    </row>
    <row r="155" spans="1:24">
      <c r="E155" s="46" t="s">
        <v>149</v>
      </c>
      <c r="G155" s="46" t="s">
        <v>121</v>
      </c>
      <c r="L155" s="1">
        <f t="shared" si="41"/>
        <v>16344.089371353228</v>
      </c>
      <c r="N155" s="1">
        <f t="shared" si="42"/>
        <v>0</v>
      </c>
      <c r="O155" s="1">
        <f t="shared" si="42"/>
        <v>0</v>
      </c>
      <c r="P155" s="1">
        <f t="shared" si="42"/>
        <v>0</v>
      </c>
      <c r="Q155" s="1">
        <f t="shared" si="42"/>
        <v>2043.0111714191535</v>
      </c>
      <c r="R155" s="1">
        <f t="shared" si="42"/>
        <v>2043.0111714191535</v>
      </c>
      <c r="S155" s="1">
        <f t="shared" si="42"/>
        <v>2043.0111714191535</v>
      </c>
      <c r="T155" s="1">
        <f t="shared" si="42"/>
        <v>2043.0111714191535</v>
      </c>
      <c r="U155" s="1">
        <f t="shared" si="42"/>
        <v>2043.0111714191535</v>
      </c>
      <c r="V155" s="1">
        <f t="shared" si="42"/>
        <v>2043.0111714191535</v>
      </c>
      <c r="W155" s="1">
        <f t="shared" si="42"/>
        <v>2043.0111714191535</v>
      </c>
      <c r="X155" s="1">
        <f t="shared" si="42"/>
        <v>2043.0111714191535</v>
      </c>
    </row>
    <row r="156" spans="1:24">
      <c r="E156" s="46" t="s">
        <v>150</v>
      </c>
      <c r="G156" s="46" t="s">
        <v>121</v>
      </c>
      <c r="L156" s="1">
        <f t="shared" si="41"/>
        <v>19100.907410112755</v>
      </c>
      <c r="N156" s="1">
        <f t="shared" si="42"/>
        <v>0</v>
      </c>
      <c r="O156" s="1">
        <f t="shared" si="42"/>
        <v>0</v>
      </c>
      <c r="P156" s="1">
        <f t="shared" si="42"/>
        <v>0</v>
      </c>
      <c r="Q156" s="1">
        <f t="shared" si="42"/>
        <v>0</v>
      </c>
      <c r="R156" s="1">
        <f t="shared" si="42"/>
        <v>2728.7010585875369</v>
      </c>
      <c r="S156" s="1">
        <f t="shared" si="42"/>
        <v>2728.7010585875369</v>
      </c>
      <c r="T156" s="1">
        <f t="shared" si="42"/>
        <v>2728.7010585875369</v>
      </c>
      <c r="U156" s="1">
        <f t="shared" si="42"/>
        <v>2728.7010585875369</v>
      </c>
      <c r="V156" s="1">
        <f t="shared" si="42"/>
        <v>2728.7010585875369</v>
      </c>
      <c r="W156" s="1">
        <f t="shared" si="42"/>
        <v>2728.7010585875369</v>
      </c>
      <c r="X156" s="1">
        <f t="shared" si="42"/>
        <v>2728.7010585875369</v>
      </c>
    </row>
    <row r="157" spans="1:24">
      <c r="E157" s="46" t="s">
        <v>151</v>
      </c>
      <c r="G157" s="46" t="s">
        <v>121</v>
      </c>
      <c r="L157" s="1">
        <f t="shared" si="41"/>
        <v>11595.574701747169</v>
      </c>
      <c r="N157" s="1">
        <f t="shared" si="42"/>
        <v>0</v>
      </c>
      <c r="O157" s="1">
        <f t="shared" si="42"/>
        <v>0</v>
      </c>
      <c r="P157" s="1">
        <f t="shared" si="42"/>
        <v>0</v>
      </c>
      <c r="Q157" s="1">
        <f t="shared" si="42"/>
        <v>0</v>
      </c>
      <c r="R157" s="1">
        <f t="shared" si="42"/>
        <v>0</v>
      </c>
      <c r="S157" s="1">
        <f t="shared" si="42"/>
        <v>1932.5957836245282</v>
      </c>
      <c r="T157" s="1">
        <f t="shared" si="42"/>
        <v>1932.5957836245282</v>
      </c>
      <c r="U157" s="1">
        <f t="shared" si="42"/>
        <v>1932.5957836245282</v>
      </c>
      <c r="V157" s="1">
        <f t="shared" si="42"/>
        <v>1932.5957836245282</v>
      </c>
      <c r="W157" s="1">
        <f t="shared" si="42"/>
        <v>1932.5957836245282</v>
      </c>
      <c r="X157" s="1">
        <f t="shared" si="42"/>
        <v>1932.5957836245282</v>
      </c>
    </row>
    <row r="158" spans="1:24">
      <c r="E158" s="46" t="s">
        <v>152</v>
      </c>
      <c r="G158" s="46" t="s">
        <v>121</v>
      </c>
      <c r="L158" s="1">
        <f t="shared" si="41"/>
        <v>12329.280752593002</v>
      </c>
      <c r="N158" s="1">
        <f t="shared" si="42"/>
        <v>0</v>
      </c>
      <c r="O158" s="1">
        <f t="shared" si="42"/>
        <v>0</v>
      </c>
      <c r="P158" s="1">
        <f t="shared" si="42"/>
        <v>0</v>
      </c>
      <c r="Q158" s="1">
        <f t="shared" si="42"/>
        <v>0</v>
      </c>
      <c r="R158" s="1">
        <f t="shared" si="42"/>
        <v>0</v>
      </c>
      <c r="S158" s="1">
        <f t="shared" si="42"/>
        <v>0</v>
      </c>
      <c r="T158" s="1">
        <f t="shared" si="42"/>
        <v>2465.8561505186003</v>
      </c>
      <c r="U158" s="1">
        <f t="shared" si="42"/>
        <v>2465.8561505186003</v>
      </c>
      <c r="V158" s="1">
        <f t="shared" si="42"/>
        <v>2465.8561505186003</v>
      </c>
      <c r="W158" s="1">
        <f t="shared" si="42"/>
        <v>2465.8561505186003</v>
      </c>
      <c r="X158" s="1">
        <f t="shared" si="42"/>
        <v>2465.8561505186003</v>
      </c>
    </row>
    <row r="159" spans="1:24">
      <c r="E159" s="46" t="s">
        <v>153</v>
      </c>
      <c r="G159" s="46" t="s">
        <v>121</v>
      </c>
      <c r="L159" s="1">
        <f t="shared" si="41"/>
        <v>7662.0381694652142</v>
      </c>
      <c r="N159" s="1">
        <f t="shared" si="42"/>
        <v>0</v>
      </c>
      <c r="O159" s="1">
        <f t="shared" si="42"/>
        <v>0</v>
      </c>
      <c r="P159" s="1">
        <f t="shared" si="42"/>
        <v>0</v>
      </c>
      <c r="Q159" s="1">
        <f t="shared" si="42"/>
        <v>0</v>
      </c>
      <c r="R159" s="1">
        <f t="shared" si="42"/>
        <v>0</v>
      </c>
      <c r="S159" s="1">
        <f t="shared" si="42"/>
        <v>0</v>
      </c>
      <c r="T159" s="1">
        <f t="shared" si="42"/>
        <v>0</v>
      </c>
      <c r="U159" s="1">
        <f t="shared" si="42"/>
        <v>1915.5095423663035</v>
      </c>
      <c r="V159" s="1">
        <f t="shared" si="42"/>
        <v>1915.5095423663035</v>
      </c>
      <c r="W159" s="1">
        <f t="shared" si="42"/>
        <v>1915.5095423663035</v>
      </c>
      <c r="X159" s="1">
        <f t="shared" si="42"/>
        <v>1915.5095423663035</v>
      </c>
    </row>
    <row r="160" spans="1:24">
      <c r="E160" s="46" t="s">
        <v>154</v>
      </c>
      <c r="G160" s="46" t="s">
        <v>121</v>
      </c>
      <c r="L160" s="1">
        <f t="shared" si="41"/>
        <v>7288.3109520459329</v>
      </c>
      <c r="N160" s="1">
        <f t="shared" si="42"/>
        <v>0</v>
      </c>
      <c r="O160" s="1">
        <f t="shared" si="42"/>
        <v>0</v>
      </c>
      <c r="P160" s="1">
        <f t="shared" si="42"/>
        <v>0</v>
      </c>
      <c r="Q160" s="1">
        <f t="shared" si="42"/>
        <v>0</v>
      </c>
      <c r="R160" s="1">
        <f t="shared" si="42"/>
        <v>0</v>
      </c>
      <c r="S160" s="1">
        <f t="shared" si="42"/>
        <v>0</v>
      </c>
      <c r="T160" s="1">
        <f t="shared" si="42"/>
        <v>0</v>
      </c>
      <c r="U160" s="1">
        <f t="shared" si="42"/>
        <v>0</v>
      </c>
      <c r="V160" s="1">
        <f t="shared" si="42"/>
        <v>2429.4369840153108</v>
      </c>
      <c r="W160" s="1">
        <f t="shared" si="42"/>
        <v>2429.4369840153108</v>
      </c>
      <c r="X160" s="1">
        <f t="shared" si="42"/>
        <v>2429.4369840153108</v>
      </c>
    </row>
    <row r="161" spans="2:24">
      <c r="E161" s="46" t="s">
        <v>155</v>
      </c>
      <c r="G161" s="46" t="s">
        <v>121</v>
      </c>
      <c r="L161" s="1">
        <f t="shared" si="41"/>
        <v>3985.7922557558045</v>
      </c>
      <c r="N161" s="1">
        <f t="shared" si="42"/>
        <v>0</v>
      </c>
      <c r="O161" s="1">
        <f t="shared" si="42"/>
        <v>0</v>
      </c>
      <c r="P161" s="1">
        <f t="shared" si="42"/>
        <v>0</v>
      </c>
      <c r="Q161" s="1">
        <f t="shared" si="42"/>
        <v>0</v>
      </c>
      <c r="R161" s="1">
        <f t="shared" si="42"/>
        <v>0</v>
      </c>
      <c r="S161" s="1">
        <f t="shared" si="42"/>
        <v>0</v>
      </c>
      <c r="T161" s="1">
        <f t="shared" si="42"/>
        <v>0</v>
      </c>
      <c r="U161" s="1">
        <f t="shared" si="42"/>
        <v>0</v>
      </c>
      <c r="V161" s="1">
        <f t="shared" si="42"/>
        <v>0</v>
      </c>
      <c r="W161" s="1">
        <f t="shared" si="42"/>
        <v>1992.8961278779022</v>
      </c>
      <c r="X161" s="1">
        <f t="shared" si="42"/>
        <v>1992.8961278779022</v>
      </c>
    </row>
    <row r="162" spans="2:24">
      <c r="E162" s="46" t="s">
        <v>156</v>
      </c>
      <c r="G162" s="46" t="s">
        <v>121</v>
      </c>
      <c r="L162" s="1">
        <f t="shared" si="41"/>
        <v>2032.7540504354602</v>
      </c>
      <c r="N162" s="1">
        <f t="shared" si="42"/>
        <v>0</v>
      </c>
      <c r="O162" s="1">
        <f t="shared" si="42"/>
        <v>0</v>
      </c>
      <c r="P162" s="1">
        <f t="shared" si="42"/>
        <v>0</v>
      </c>
      <c r="Q162" s="1">
        <f t="shared" si="42"/>
        <v>0</v>
      </c>
      <c r="R162" s="1">
        <f t="shared" si="42"/>
        <v>0</v>
      </c>
      <c r="S162" s="1">
        <f t="shared" si="42"/>
        <v>0</v>
      </c>
      <c r="T162" s="1">
        <f t="shared" si="42"/>
        <v>0</v>
      </c>
      <c r="U162" s="1">
        <f t="shared" si="42"/>
        <v>0</v>
      </c>
      <c r="V162" s="1">
        <f t="shared" si="42"/>
        <v>0</v>
      </c>
      <c r="W162" s="1">
        <f t="shared" si="42"/>
        <v>0</v>
      </c>
      <c r="X162" s="1">
        <f t="shared" si="42"/>
        <v>2032.7540504354602</v>
      </c>
    </row>
    <row r="165" spans="2:24">
      <c r="B165" s="23" t="s">
        <v>157</v>
      </c>
    </row>
    <row r="166" spans="2:24">
      <c r="E166" s="46" t="str">
        <f t="shared" ref="E166:X166" si="43" xml:space="preserve">  E$152</f>
        <v xml:space="preserve">RAB depreciation nominal (1) </v>
      </c>
      <c r="F166" s="1">
        <f t="shared" si="43"/>
        <v>0</v>
      </c>
      <c r="G166" s="1" t="str">
        <f t="shared" si="43"/>
        <v>£'000 nominal</v>
      </c>
      <c r="L166" s="1">
        <f t="shared" si="43"/>
        <v>11265.751781674542</v>
      </c>
      <c r="M166" s="1">
        <f t="shared" si="43"/>
        <v>0</v>
      </c>
      <c r="N166" s="1">
        <f t="shared" si="43"/>
        <v>1024.1592528795036</v>
      </c>
      <c r="O166" s="1">
        <f t="shared" si="43"/>
        <v>1024.1592528795036</v>
      </c>
      <c r="P166" s="1">
        <f t="shared" si="43"/>
        <v>1024.1592528795036</v>
      </c>
      <c r="Q166" s="1">
        <f t="shared" si="43"/>
        <v>1024.1592528795036</v>
      </c>
      <c r="R166" s="1">
        <f t="shared" si="43"/>
        <v>1024.1592528795036</v>
      </c>
      <c r="S166" s="1">
        <f t="shared" si="43"/>
        <v>1024.1592528795036</v>
      </c>
      <c r="T166" s="1">
        <f t="shared" si="43"/>
        <v>1024.1592528795036</v>
      </c>
      <c r="U166" s="1">
        <f t="shared" si="43"/>
        <v>1024.1592528795036</v>
      </c>
      <c r="V166" s="1">
        <f t="shared" si="43"/>
        <v>1024.1592528795036</v>
      </c>
      <c r="W166" s="1">
        <f t="shared" si="43"/>
        <v>1024.1592528795036</v>
      </c>
      <c r="X166" s="1">
        <f t="shared" si="43"/>
        <v>1024.1592528795036</v>
      </c>
    </row>
    <row r="167" spans="2:24">
      <c r="E167" s="46" t="str">
        <f t="shared" ref="E167:X167" si="44" xml:space="preserve">  E$153</f>
        <v xml:space="preserve">RAB depreciation nominal (2) </v>
      </c>
      <c r="F167" s="1">
        <f t="shared" si="44"/>
        <v>0</v>
      </c>
      <c r="G167" s="1" t="str">
        <f t="shared" si="44"/>
        <v>£'000 nominal</v>
      </c>
      <c r="L167" s="1">
        <f t="shared" si="44"/>
        <v>19285.903060764518</v>
      </c>
      <c r="M167" s="1">
        <f t="shared" si="44"/>
        <v>0</v>
      </c>
      <c r="N167" s="1">
        <f t="shared" si="44"/>
        <v>0</v>
      </c>
      <c r="O167" s="1">
        <f t="shared" si="44"/>
        <v>1928.590306076452</v>
      </c>
      <c r="P167" s="1">
        <f t="shared" si="44"/>
        <v>1928.590306076452</v>
      </c>
      <c r="Q167" s="1">
        <f t="shared" si="44"/>
        <v>1928.590306076452</v>
      </c>
      <c r="R167" s="1">
        <f t="shared" si="44"/>
        <v>1928.590306076452</v>
      </c>
      <c r="S167" s="1">
        <f t="shared" si="44"/>
        <v>1928.590306076452</v>
      </c>
      <c r="T167" s="1">
        <f t="shared" si="44"/>
        <v>1928.590306076452</v>
      </c>
      <c r="U167" s="1">
        <f t="shared" si="44"/>
        <v>1928.590306076452</v>
      </c>
      <c r="V167" s="1">
        <f t="shared" si="44"/>
        <v>1928.590306076452</v>
      </c>
      <c r="W167" s="1">
        <f t="shared" si="44"/>
        <v>1928.590306076452</v>
      </c>
      <c r="X167" s="1">
        <f t="shared" si="44"/>
        <v>1928.590306076452</v>
      </c>
    </row>
    <row r="168" spans="2:24">
      <c r="E168" s="46" t="str">
        <f t="shared" ref="E168:X168" si="45" xml:space="preserve">  E$154</f>
        <v xml:space="preserve">RAB depreciation nominal (3) </v>
      </c>
      <c r="F168" s="1">
        <f t="shared" si="45"/>
        <v>0</v>
      </c>
      <c r="G168" s="1" t="str">
        <f t="shared" si="45"/>
        <v>£'000 nominal</v>
      </c>
      <c r="L168" s="1">
        <f t="shared" si="45"/>
        <v>23061.761612363203</v>
      </c>
      <c r="M168" s="1">
        <f t="shared" si="45"/>
        <v>0</v>
      </c>
      <c r="N168" s="1">
        <f t="shared" si="45"/>
        <v>0</v>
      </c>
      <c r="O168" s="1">
        <f t="shared" si="45"/>
        <v>0</v>
      </c>
      <c r="P168" s="1">
        <f t="shared" si="45"/>
        <v>2562.4179569292446</v>
      </c>
      <c r="Q168" s="1">
        <f t="shared" si="45"/>
        <v>2562.4179569292446</v>
      </c>
      <c r="R168" s="1">
        <f t="shared" si="45"/>
        <v>2562.4179569292446</v>
      </c>
      <c r="S168" s="1">
        <f t="shared" si="45"/>
        <v>2562.4179569292446</v>
      </c>
      <c r="T168" s="1">
        <f t="shared" si="45"/>
        <v>2562.4179569292446</v>
      </c>
      <c r="U168" s="1">
        <f t="shared" si="45"/>
        <v>2562.4179569292446</v>
      </c>
      <c r="V168" s="1">
        <f t="shared" si="45"/>
        <v>2562.4179569292446</v>
      </c>
      <c r="W168" s="1">
        <f t="shared" si="45"/>
        <v>2562.4179569292446</v>
      </c>
      <c r="X168" s="1">
        <f t="shared" si="45"/>
        <v>2562.4179569292446</v>
      </c>
    </row>
    <row r="169" spans="2:24">
      <c r="E169" s="46" t="str">
        <f t="shared" ref="E169:X169" si="46" xml:space="preserve">  E$155</f>
        <v xml:space="preserve">RAB depreciation nominal (4) </v>
      </c>
      <c r="F169" s="1">
        <f t="shared" si="46"/>
        <v>0</v>
      </c>
      <c r="G169" s="1" t="str">
        <f t="shared" si="46"/>
        <v>£'000 nominal</v>
      </c>
      <c r="L169" s="1">
        <f t="shared" si="46"/>
        <v>16344.089371353228</v>
      </c>
      <c r="M169" s="1">
        <f t="shared" si="46"/>
        <v>0</v>
      </c>
      <c r="N169" s="1">
        <f t="shared" si="46"/>
        <v>0</v>
      </c>
      <c r="O169" s="1">
        <f t="shared" si="46"/>
        <v>0</v>
      </c>
      <c r="P169" s="1">
        <f t="shared" si="46"/>
        <v>0</v>
      </c>
      <c r="Q169" s="1">
        <f t="shared" si="46"/>
        <v>2043.0111714191535</v>
      </c>
      <c r="R169" s="1">
        <f t="shared" si="46"/>
        <v>2043.0111714191535</v>
      </c>
      <c r="S169" s="1">
        <f t="shared" si="46"/>
        <v>2043.0111714191535</v>
      </c>
      <c r="T169" s="1">
        <f t="shared" si="46"/>
        <v>2043.0111714191535</v>
      </c>
      <c r="U169" s="1">
        <f t="shared" si="46"/>
        <v>2043.0111714191535</v>
      </c>
      <c r="V169" s="1">
        <f t="shared" si="46"/>
        <v>2043.0111714191535</v>
      </c>
      <c r="W169" s="1">
        <f t="shared" si="46"/>
        <v>2043.0111714191535</v>
      </c>
      <c r="X169" s="1">
        <f t="shared" si="46"/>
        <v>2043.0111714191535</v>
      </c>
    </row>
    <row r="170" spans="2:24">
      <c r="E170" s="46" t="str">
        <f t="shared" ref="E170:X170" si="47" xml:space="preserve">  E$156</f>
        <v xml:space="preserve">RAB depreciation nominal (5) </v>
      </c>
      <c r="F170" s="1">
        <f t="shared" si="47"/>
        <v>0</v>
      </c>
      <c r="G170" s="1" t="str">
        <f t="shared" si="47"/>
        <v>£'000 nominal</v>
      </c>
      <c r="L170" s="1">
        <f t="shared" si="47"/>
        <v>19100.907410112755</v>
      </c>
      <c r="M170" s="1">
        <f t="shared" si="47"/>
        <v>0</v>
      </c>
      <c r="N170" s="1">
        <f t="shared" si="47"/>
        <v>0</v>
      </c>
      <c r="O170" s="1">
        <f t="shared" si="47"/>
        <v>0</v>
      </c>
      <c r="P170" s="1">
        <f t="shared" si="47"/>
        <v>0</v>
      </c>
      <c r="Q170" s="1">
        <f t="shared" si="47"/>
        <v>0</v>
      </c>
      <c r="R170" s="1">
        <f t="shared" si="47"/>
        <v>2728.7010585875369</v>
      </c>
      <c r="S170" s="1">
        <f t="shared" si="47"/>
        <v>2728.7010585875369</v>
      </c>
      <c r="T170" s="1">
        <f t="shared" si="47"/>
        <v>2728.7010585875369</v>
      </c>
      <c r="U170" s="1">
        <f t="shared" si="47"/>
        <v>2728.7010585875369</v>
      </c>
      <c r="V170" s="1">
        <f t="shared" si="47"/>
        <v>2728.7010585875369</v>
      </c>
      <c r="W170" s="1">
        <f t="shared" si="47"/>
        <v>2728.7010585875369</v>
      </c>
      <c r="X170" s="1">
        <f t="shared" si="47"/>
        <v>2728.7010585875369</v>
      </c>
    </row>
    <row r="171" spans="2:24">
      <c r="E171" s="46" t="str">
        <f t="shared" ref="E171:X171" si="48" xml:space="preserve">  E$157</f>
        <v xml:space="preserve">RAB depreciation nominal (6) </v>
      </c>
      <c r="F171" s="1">
        <f t="shared" si="48"/>
        <v>0</v>
      </c>
      <c r="G171" s="1" t="str">
        <f t="shared" si="48"/>
        <v>£'000 nominal</v>
      </c>
      <c r="L171" s="1">
        <f t="shared" si="48"/>
        <v>11595.574701747169</v>
      </c>
      <c r="M171" s="1">
        <f t="shared" si="48"/>
        <v>0</v>
      </c>
      <c r="N171" s="1">
        <f t="shared" si="48"/>
        <v>0</v>
      </c>
      <c r="O171" s="1">
        <f t="shared" si="48"/>
        <v>0</v>
      </c>
      <c r="P171" s="1">
        <f t="shared" si="48"/>
        <v>0</v>
      </c>
      <c r="Q171" s="1">
        <f t="shared" si="48"/>
        <v>0</v>
      </c>
      <c r="R171" s="1">
        <f t="shared" si="48"/>
        <v>0</v>
      </c>
      <c r="S171" s="1">
        <f t="shared" si="48"/>
        <v>1932.5957836245282</v>
      </c>
      <c r="T171" s="1">
        <f t="shared" si="48"/>
        <v>1932.5957836245282</v>
      </c>
      <c r="U171" s="1">
        <f t="shared" si="48"/>
        <v>1932.5957836245282</v>
      </c>
      <c r="V171" s="1">
        <f t="shared" si="48"/>
        <v>1932.5957836245282</v>
      </c>
      <c r="W171" s="1">
        <f t="shared" si="48"/>
        <v>1932.5957836245282</v>
      </c>
      <c r="X171" s="1">
        <f t="shared" si="48"/>
        <v>1932.5957836245282</v>
      </c>
    </row>
    <row r="172" spans="2:24">
      <c r="E172" s="46" t="str">
        <f t="shared" ref="E172:X172" si="49" xml:space="preserve">  E$158</f>
        <v xml:space="preserve">RAB depreciation nominal (7) </v>
      </c>
      <c r="F172" s="1">
        <f t="shared" si="49"/>
        <v>0</v>
      </c>
      <c r="G172" s="1" t="str">
        <f t="shared" si="49"/>
        <v>£'000 nominal</v>
      </c>
      <c r="L172" s="1">
        <f t="shared" si="49"/>
        <v>12329.280752593002</v>
      </c>
      <c r="M172" s="1">
        <f t="shared" si="49"/>
        <v>0</v>
      </c>
      <c r="N172" s="1">
        <f t="shared" si="49"/>
        <v>0</v>
      </c>
      <c r="O172" s="1">
        <f t="shared" si="49"/>
        <v>0</v>
      </c>
      <c r="P172" s="1">
        <f t="shared" si="49"/>
        <v>0</v>
      </c>
      <c r="Q172" s="1">
        <f t="shared" si="49"/>
        <v>0</v>
      </c>
      <c r="R172" s="1">
        <f t="shared" si="49"/>
        <v>0</v>
      </c>
      <c r="S172" s="1">
        <f t="shared" si="49"/>
        <v>0</v>
      </c>
      <c r="T172" s="1">
        <f t="shared" si="49"/>
        <v>2465.8561505186003</v>
      </c>
      <c r="U172" s="1">
        <f t="shared" si="49"/>
        <v>2465.8561505186003</v>
      </c>
      <c r="V172" s="1">
        <f t="shared" si="49"/>
        <v>2465.8561505186003</v>
      </c>
      <c r="W172" s="1">
        <f t="shared" si="49"/>
        <v>2465.8561505186003</v>
      </c>
      <c r="X172" s="1">
        <f t="shared" si="49"/>
        <v>2465.8561505186003</v>
      </c>
    </row>
    <row r="173" spans="2:24">
      <c r="E173" s="46" t="str">
        <f t="shared" ref="E173:X173" si="50" xml:space="preserve">  E$159</f>
        <v xml:space="preserve">RAB depreciation nominal (8) </v>
      </c>
      <c r="F173" s="1">
        <f t="shared" si="50"/>
        <v>0</v>
      </c>
      <c r="G173" s="1" t="str">
        <f t="shared" si="50"/>
        <v>£'000 nominal</v>
      </c>
      <c r="L173" s="1">
        <f t="shared" si="50"/>
        <v>7662.0381694652142</v>
      </c>
      <c r="M173" s="1">
        <f t="shared" si="50"/>
        <v>0</v>
      </c>
      <c r="N173" s="1">
        <f t="shared" si="50"/>
        <v>0</v>
      </c>
      <c r="O173" s="1">
        <f t="shared" si="50"/>
        <v>0</v>
      </c>
      <c r="P173" s="1">
        <f t="shared" si="50"/>
        <v>0</v>
      </c>
      <c r="Q173" s="1">
        <f t="shared" si="50"/>
        <v>0</v>
      </c>
      <c r="R173" s="1">
        <f t="shared" si="50"/>
        <v>0</v>
      </c>
      <c r="S173" s="1">
        <f t="shared" si="50"/>
        <v>0</v>
      </c>
      <c r="T173" s="1">
        <f t="shared" si="50"/>
        <v>0</v>
      </c>
      <c r="U173" s="1">
        <f t="shared" si="50"/>
        <v>1915.5095423663035</v>
      </c>
      <c r="V173" s="1">
        <f t="shared" si="50"/>
        <v>1915.5095423663035</v>
      </c>
      <c r="W173" s="1">
        <f t="shared" si="50"/>
        <v>1915.5095423663035</v>
      </c>
      <c r="X173" s="1">
        <f t="shared" si="50"/>
        <v>1915.5095423663035</v>
      </c>
    </row>
    <row r="174" spans="2:24">
      <c r="E174" s="46" t="str">
        <f t="shared" ref="E174:X174" si="51" xml:space="preserve">  E$160</f>
        <v xml:space="preserve">RAB depreciation nominal (9) </v>
      </c>
      <c r="F174" s="1">
        <f t="shared" si="51"/>
        <v>0</v>
      </c>
      <c r="G174" s="1" t="str">
        <f t="shared" si="51"/>
        <v>£'000 nominal</v>
      </c>
      <c r="L174" s="1">
        <f t="shared" si="51"/>
        <v>7288.3109520459329</v>
      </c>
      <c r="M174" s="1">
        <f t="shared" si="51"/>
        <v>0</v>
      </c>
      <c r="N174" s="1">
        <f t="shared" si="51"/>
        <v>0</v>
      </c>
      <c r="O174" s="1">
        <f t="shared" si="51"/>
        <v>0</v>
      </c>
      <c r="P174" s="1">
        <f t="shared" si="51"/>
        <v>0</v>
      </c>
      <c r="Q174" s="1">
        <f t="shared" si="51"/>
        <v>0</v>
      </c>
      <c r="R174" s="1">
        <f t="shared" si="51"/>
        <v>0</v>
      </c>
      <c r="S174" s="1">
        <f t="shared" si="51"/>
        <v>0</v>
      </c>
      <c r="T174" s="1">
        <f t="shared" si="51"/>
        <v>0</v>
      </c>
      <c r="U174" s="1">
        <f t="shared" si="51"/>
        <v>0</v>
      </c>
      <c r="V174" s="1">
        <f t="shared" si="51"/>
        <v>2429.4369840153108</v>
      </c>
      <c r="W174" s="1">
        <f t="shared" si="51"/>
        <v>2429.4369840153108</v>
      </c>
      <c r="X174" s="1">
        <f t="shared" si="51"/>
        <v>2429.4369840153108</v>
      </c>
    </row>
    <row r="175" spans="2:24">
      <c r="E175" s="46" t="str">
        <f t="shared" ref="E175:X175" si="52" xml:space="preserve">  E$161</f>
        <v xml:space="preserve">RAB depreciation nominal (10) </v>
      </c>
      <c r="F175" s="1">
        <f t="shared" si="52"/>
        <v>0</v>
      </c>
      <c r="G175" s="1" t="str">
        <f t="shared" si="52"/>
        <v>£'000 nominal</v>
      </c>
      <c r="L175" s="1">
        <f t="shared" si="52"/>
        <v>3985.7922557558045</v>
      </c>
      <c r="M175" s="1">
        <f t="shared" si="52"/>
        <v>0</v>
      </c>
      <c r="N175" s="1">
        <f t="shared" si="52"/>
        <v>0</v>
      </c>
      <c r="O175" s="1">
        <f t="shared" si="52"/>
        <v>0</v>
      </c>
      <c r="P175" s="1">
        <f t="shared" si="52"/>
        <v>0</v>
      </c>
      <c r="Q175" s="1">
        <f t="shared" si="52"/>
        <v>0</v>
      </c>
      <c r="R175" s="1">
        <f t="shared" si="52"/>
        <v>0</v>
      </c>
      <c r="S175" s="1">
        <f t="shared" si="52"/>
        <v>0</v>
      </c>
      <c r="T175" s="1">
        <f t="shared" si="52"/>
        <v>0</v>
      </c>
      <c r="U175" s="1">
        <f t="shared" si="52"/>
        <v>0</v>
      </c>
      <c r="V175" s="1">
        <f t="shared" si="52"/>
        <v>0</v>
      </c>
      <c r="W175" s="1">
        <f t="shared" si="52"/>
        <v>1992.8961278779022</v>
      </c>
      <c r="X175" s="1">
        <f t="shared" si="52"/>
        <v>1992.8961278779022</v>
      </c>
    </row>
    <row r="176" spans="2:24">
      <c r="E176" s="46" t="str">
        <f t="shared" ref="E176:X176" si="53" xml:space="preserve">  E$162</f>
        <v xml:space="preserve">RAB depreciation nominal (11) </v>
      </c>
      <c r="F176" s="1">
        <f t="shared" si="53"/>
        <v>0</v>
      </c>
      <c r="G176" s="1" t="str">
        <f t="shared" si="53"/>
        <v>£'000 nominal</v>
      </c>
      <c r="L176" s="1">
        <f t="shared" si="53"/>
        <v>2032.7540504354602</v>
      </c>
      <c r="M176" s="1">
        <f t="shared" si="53"/>
        <v>0</v>
      </c>
      <c r="N176" s="1">
        <f t="shared" si="53"/>
        <v>0</v>
      </c>
      <c r="O176" s="1">
        <f t="shared" si="53"/>
        <v>0</v>
      </c>
      <c r="P176" s="1">
        <f t="shared" si="53"/>
        <v>0</v>
      </c>
      <c r="Q176" s="1">
        <f t="shared" si="53"/>
        <v>0</v>
      </c>
      <c r="R176" s="1">
        <f t="shared" si="53"/>
        <v>0</v>
      </c>
      <c r="S176" s="1">
        <f t="shared" si="53"/>
        <v>0</v>
      </c>
      <c r="T176" s="1">
        <f t="shared" si="53"/>
        <v>0</v>
      </c>
      <c r="U176" s="1">
        <f t="shared" si="53"/>
        <v>0</v>
      </c>
      <c r="V176" s="1">
        <f t="shared" si="53"/>
        <v>0</v>
      </c>
      <c r="W176" s="1">
        <f t="shared" si="53"/>
        <v>0</v>
      </c>
      <c r="X176" s="1">
        <f t="shared" si="53"/>
        <v>2032.7540504354602</v>
      </c>
    </row>
    <row r="177" spans="1:24">
      <c r="E177" s="46" t="s">
        <v>157</v>
      </c>
      <c r="G177" s="46" t="s">
        <v>121</v>
      </c>
      <c r="L177" s="1">
        <f xml:space="preserve"> SUM( N177:X177 )</f>
        <v>133952.16411831084</v>
      </c>
      <c r="N177" s="1">
        <f t="shared" ref="N177:X177" si="54" xml:space="preserve">  SUM( N166:N176 )</f>
        <v>1024.1592528795036</v>
      </c>
      <c r="O177" s="1">
        <f t="shared" si="54"/>
        <v>2952.7495589559558</v>
      </c>
      <c r="P177" s="1">
        <f t="shared" si="54"/>
        <v>5515.1675158852004</v>
      </c>
      <c r="Q177" s="1">
        <f t="shared" si="54"/>
        <v>7558.1786873043538</v>
      </c>
      <c r="R177" s="1">
        <f t="shared" si="54"/>
        <v>10286.879745891891</v>
      </c>
      <c r="S177" s="1">
        <f t="shared" si="54"/>
        <v>12219.47552951642</v>
      </c>
      <c r="T177" s="1">
        <f t="shared" si="54"/>
        <v>14685.33168003502</v>
      </c>
      <c r="U177" s="1">
        <f t="shared" si="54"/>
        <v>16600.841222401323</v>
      </c>
      <c r="V177" s="1">
        <f t="shared" si="54"/>
        <v>19030.278206416635</v>
      </c>
      <c r="W177" s="1">
        <f t="shared" si="54"/>
        <v>21023.174334294537</v>
      </c>
      <c r="X177" s="1">
        <f t="shared" si="54"/>
        <v>23055.928384729996</v>
      </c>
    </row>
    <row r="180" spans="1:24">
      <c r="B180" s="23" t="s">
        <v>158</v>
      </c>
    </row>
    <row r="181" spans="1:24">
      <c r="A181" s="5"/>
      <c r="B181" s="5"/>
      <c r="C181" s="10"/>
      <c r="D181" s="11"/>
      <c r="E181" s="7" t="str">
        <f xml:space="preserve">  Inputs!E$32</f>
        <v>CPI Index 2024</v>
      </c>
      <c r="F181" s="2">
        <f xml:space="preserve">  Inputs!F$32</f>
        <v>133.85316666666699</v>
      </c>
      <c r="G181" s="7" t="str">
        <f xml:space="preserve">  Inputs!G$32</f>
        <v>index (2015=100)</v>
      </c>
      <c r="L181" s="3"/>
    </row>
    <row r="182" spans="1:24">
      <c r="E182" s="46" t="str">
        <f t="shared" ref="E182:X182" si="55" xml:space="preserve">  E$177</f>
        <v>Total RAB depreciation</v>
      </c>
      <c r="F182" s="1">
        <f t="shared" si="55"/>
        <v>0</v>
      </c>
      <c r="G182" s="1" t="str">
        <f t="shared" si="55"/>
        <v>£'000 nominal</v>
      </c>
      <c r="L182" s="1">
        <f t="shared" si="55"/>
        <v>133952.16411831084</v>
      </c>
      <c r="M182" s="1">
        <f t="shared" si="55"/>
        <v>0</v>
      </c>
      <c r="N182" s="1">
        <f t="shared" si="55"/>
        <v>1024.1592528795036</v>
      </c>
      <c r="O182" s="1">
        <f t="shared" si="55"/>
        <v>2952.7495589559558</v>
      </c>
      <c r="P182" s="1">
        <f t="shared" si="55"/>
        <v>5515.1675158852004</v>
      </c>
      <c r="Q182" s="1">
        <f t="shared" si="55"/>
        <v>7558.1786873043538</v>
      </c>
      <c r="R182" s="1">
        <f t="shared" si="55"/>
        <v>10286.879745891891</v>
      </c>
      <c r="S182" s="1">
        <f t="shared" si="55"/>
        <v>12219.47552951642</v>
      </c>
      <c r="T182" s="1">
        <f t="shared" si="55"/>
        <v>14685.33168003502</v>
      </c>
      <c r="U182" s="1">
        <f t="shared" si="55"/>
        <v>16600.841222401323</v>
      </c>
      <c r="V182" s="1">
        <f t="shared" si="55"/>
        <v>19030.278206416635</v>
      </c>
      <c r="W182" s="1">
        <f t="shared" si="55"/>
        <v>21023.174334294537</v>
      </c>
      <c r="X182" s="1">
        <f t="shared" si="55"/>
        <v>23055.928384729996</v>
      </c>
    </row>
    <row r="183" spans="1:24">
      <c r="A183" s="5"/>
      <c r="B183" s="5"/>
      <c r="C183" s="10"/>
      <c r="D183" s="11"/>
      <c r="E183" s="7" t="str">
        <f xml:space="preserve">  Time!E$14</f>
        <v>CPI Index Forecast (Calculations)</v>
      </c>
      <c r="F183" s="2">
        <f xml:space="preserve">  Time!F$14</f>
        <v>0</v>
      </c>
      <c r="G183" s="2">
        <f xml:space="preserve">  Time!G$14</f>
        <v>0</v>
      </c>
      <c r="L183" s="2">
        <f xml:space="preserve">  Time!L$14</f>
        <v>1682.2905458462872</v>
      </c>
      <c r="M183" s="2">
        <f xml:space="preserve">  Time!M$14</f>
        <v>0</v>
      </c>
      <c r="N183" s="2">
        <f xml:space="preserve">  Time!N$14</f>
        <v>138.153850729889</v>
      </c>
      <c r="O183" s="2">
        <f xml:space="preserve">  Time!O$14</f>
        <v>141.033957438817</v>
      </c>
      <c r="P183" s="2">
        <f xml:space="preserve">  Time!P$14</f>
        <v>143.83924602398201</v>
      </c>
      <c r="Q183" s="2">
        <f xml:space="preserve">  Time!Q$14</f>
        <v>146.71663933540901</v>
      </c>
      <c r="R183" s="2">
        <f xml:space="preserve">  Time!R$14</f>
        <v>149.65085336166601</v>
      </c>
      <c r="S183" s="2">
        <f xml:space="preserve">  Time!S$14</f>
        <v>152.64387042889933</v>
      </c>
      <c r="T183" s="2">
        <f xml:space="preserve">  Time!T$14</f>
        <v>155.69674783747732</v>
      </c>
      <c r="U183" s="2">
        <f xml:space="preserve">  Time!U$14</f>
        <v>158.81068279422686</v>
      </c>
      <c r="V183" s="2">
        <f xml:space="preserve">  Time!V$14</f>
        <v>161.9868964501114</v>
      </c>
      <c r="W183" s="2">
        <f xml:space="preserve">  Time!W$14</f>
        <v>165.22663437911362</v>
      </c>
      <c r="X183" s="2">
        <f xml:space="preserve">  Time!X$14</f>
        <v>168.5311670666959</v>
      </c>
    </row>
    <row r="184" spans="1:24">
      <c r="E184" s="46" t="s">
        <v>158</v>
      </c>
      <c r="G184" s="46" t="s">
        <v>62</v>
      </c>
      <c r="L184" s="1">
        <f xml:space="preserve"> SUM( N184:X184 )</f>
        <v>113423.87131076273</v>
      </c>
      <c r="N184" s="1">
        <f t="shared" ref="N184:X184" si="56" xml:space="preserve">  N182 * ( $F181 / N183 )</f>
        <v>992.27751122851009</v>
      </c>
      <c r="O184" s="1">
        <f t="shared" si="56"/>
        <v>2802.4093347257794</v>
      </c>
      <c r="P184" s="1">
        <f t="shared" si="56"/>
        <v>5132.2754888139998</v>
      </c>
      <c r="Q184" s="1">
        <f t="shared" si="56"/>
        <v>6895.5106667580058</v>
      </c>
      <c r="R184" s="1">
        <f t="shared" si="56"/>
        <v>9200.9594210542455</v>
      </c>
      <c r="S184" s="1">
        <f t="shared" si="56"/>
        <v>10715.238614140624</v>
      </c>
      <c r="T184" s="1">
        <f t="shared" si="56"/>
        <v>12625.043080378713</v>
      </c>
      <c r="U184" s="1">
        <f t="shared" si="56"/>
        <v>13991.975400219975</v>
      </c>
      <c r="V184" s="1">
        <f t="shared" si="56"/>
        <v>15725.117625554549</v>
      </c>
      <c r="W184" s="1">
        <f t="shared" si="56"/>
        <v>17031.26417000021</v>
      </c>
      <c r="X184" s="1">
        <f t="shared" si="56"/>
        <v>18311.799997888109</v>
      </c>
    </row>
    <row r="187" spans="1:24">
      <c r="B187" s="23" t="s">
        <v>159</v>
      </c>
    </row>
    <row r="188" spans="1:24">
      <c r="A188" s="5"/>
      <c r="B188" s="5"/>
      <c r="C188" s="10"/>
      <c r="D188" s="11"/>
      <c r="E188" s="7" t="str">
        <f xml:space="preserve">  Inputs!E$27</f>
        <v>factor dividing the determined costs for 2026 and 2027</v>
      </c>
      <c r="F188" s="74">
        <f xml:space="preserve">  Inputs!F$27</f>
        <v>2</v>
      </c>
      <c r="G188" s="7" t="str">
        <f xml:space="preserve">  Inputs!G$27</f>
        <v>factor</v>
      </c>
      <c r="L188" s="73"/>
    </row>
    <row r="189" spans="1:24">
      <c r="E189" s="46" t="str">
        <f t="shared" ref="E189:X189" si="57" xml:space="preserve">  E$108</f>
        <v>Bridge to determine costs used for calculation for Determined costs real for  RAB NR23 only</v>
      </c>
      <c r="F189" s="1">
        <f t="shared" si="57"/>
        <v>0</v>
      </c>
      <c r="G189" s="1" t="str">
        <f t="shared" si="57"/>
        <v>£'000 (2024 prices)</v>
      </c>
      <c r="L189" s="1">
        <f t="shared" si="57"/>
        <v>11248.964909848617</v>
      </c>
      <c r="M189" s="1">
        <f t="shared" si="57"/>
        <v>0</v>
      </c>
      <c r="N189" s="1">
        <f t="shared" si="57"/>
        <v>1185.4064677939375</v>
      </c>
      <c r="O189" s="1">
        <f t="shared" si="57"/>
        <v>3508.9912474657845</v>
      </c>
      <c r="P189" s="1">
        <f t="shared" si="57"/>
        <v>6554.5671945888953</v>
      </c>
      <c r="Q189" s="1">
        <f t="shared" si="57"/>
        <v>0</v>
      </c>
      <c r="R189" s="1">
        <f t="shared" si="57"/>
        <v>0</v>
      </c>
      <c r="S189" s="1">
        <f t="shared" si="57"/>
        <v>0</v>
      </c>
      <c r="T189" s="1">
        <f t="shared" si="57"/>
        <v>0</v>
      </c>
      <c r="U189" s="1">
        <f t="shared" si="57"/>
        <v>0</v>
      </c>
      <c r="V189" s="1">
        <f t="shared" si="57"/>
        <v>0</v>
      </c>
      <c r="W189" s="1">
        <f t="shared" si="57"/>
        <v>0</v>
      </c>
      <c r="X189" s="1">
        <f t="shared" si="57"/>
        <v>0</v>
      </c>
    </row>
    <row r="190" spans="1:24">
      <c r="E190" s="46" t="s">
        <v>159</v>
      </c>
      <c r="G190" s="46" t="s">
        <v>62</v>
      </c>
      <c r="L190" s="1">
        <f xml:space="preserve"> SUM( N190:X190 )</f>
        <v>5624.4824549243085</v>
      </c>
      <c r="N190" s="1">
        <f t="shared" ref="N190:X190" si="58" xml:space="preserve">  ( SUM( N189 ) / $F188 )</f>
        <v>592.70323389696875</v>
      </c>
      <c r="O190" s="1">
        <f t="shared" si="58"/>
        <v>1754.4956237328922</v>
      </c>
      <c r="P190" s="1">
        <f t="shared" si="58"/>
        <v>3277.2835972944476</v>
      </c>
      <c r="Q190" s="1">
        <f t="shared" si="58"/>
        <v>0</v>
      </c>
      <c r="R190" s="1">
        <f t="shared" si="58"/>
        <v>0</v>
      </c>
      <c r="S190" s="1">
        <f t="shared" si="58"/>
        <v>0</v>
      </c>
      <c r="T190" s="1">
        <f t="shared" si="58"/>
        <v>0</v>
      </c>
      <c r="U190" s="1">
        <f t="shared" si="58"/>
        <v>0</v>
      </c>
      <c r="V190" s="1">
        <f t="shared" si="58"/>
        <v>0</v>
      </c>
      <c r="W190" s="1">
        <f t="shared" si="58"/>
        <v>0</v>
      </c>
      <c r="X190" s="1">
        <f t="shared" si="58"/>
        <v>0</v>
      </c>
    </row>
    <row r="193" spans="1:24">
      <c r="B193" s="23" t="s">
        <v>160</v>
      </c>
    </row>
    <row r="194" spans="1:24">
      <c r="E194" s="46" t="str">
        <f t="shared" ref="E194:X194" si="59" xml:space="preserve">  E$190</f>
        <v>Determined costs real for NR23  (RAB only)</v>
      </c>
      <c r="F194" s="1">
        <f t="shared" si="59"/>
        <v>0</v>
      </c>
      <c r="G194" s="1" t="str">
        <f t="shared" si="59"/>
        <v>£'000 (2024 prices)</v>
      </c>
      <c r="L194" s="1">
        <f t="shared" si="59"/>
        <v>5624.4824549243085</v>
      </c>
      <c r="M194" s="1">
        <f t="shared" si="59"/>
        <v>0</v>
      </c>
      <c r="N194" s="1">
        <f t="shared" si="59"/>
        <v>592.70323389696875</v>
      </c>
      <c r="O194" s="1">
        <f t="shared" si="59"/>
        <v>1754.4956237328922</v>
      </c>
      <c r="P194" s="1">
        <f t="shared" si="59"/>
        <v>3277.2835972944476</v>
      </c>
      <c r="Q194" s="1">
        <f t="shared" si="59"/>
        <v>0</v>
      </c>
      <c r="R194" s="1">
        <f t="shared" si="59"/>
        <v>0</v>
      </c>
      <c r="S194" s="1">
        <f t="shared" si="59"/>
        <v>0</v>
      </c>
      <c r="T194" s="1">
        <f t="shared" si="59"/>
        <v>0</v>
      </c>
      <c r="U194" s="1">
        <f t="shared" si="59"/>
        <v>0</v>
      </c>
      <c r="V194" s="1">
        <f t="shared" si="59"/>
        <v>0</v>
      </c>
      <c r="W194" s="1">
        <f t="shared" si="59"/>
        <v>0</v>
      </c>
      <c r="X194" s="1">
        <f t="shared" si="59"/>
        <v>0</v>
      </c>
    </row>
    <row r="195" spans="1:24">
      <c r="A195" s="5"/>
      <c r="B195" s="5"/>
      <c r="C195" s="10"/>
      <c r="D195" s="11"/>
      <c r="E195" s="7" t="str">
        <f xml:space="preserve">  Time!E$76</f>
        <v>2026 flag</v>
      </c>
      <c r="F195" s="2">
        <f xml:space="preserve">  Time!F$76</f>
        <v>0</v>
      </c>
      <c r="G195" s="2" t="str">
        <f xml:space="preserve">  Time!G$76</f>
        <v>flag</v>
      </c>
      <c r="L195" s="2">
        <f xml:space="preserve">  Time!L$76</f>
        <v>1</v>
      </c>
      <c r="M195" s="2">
        <f xml:space="preserve">  Time!M$76</f>
        <v>0</v>
      </c>
      <c r="N195" s="2">
        <f xml:space="preserve">  Time!N$76</f>
        <v>0</v>
      </c>
      <c r="O195" s="2">
        <f xml:space="preserve">  Time!O$76</f>
        <v>1</v>
      </c>
      <c r="P195" s="2">
        <f xml:space="preserve">  Time!P$76</f>
        <v>0</v>
      </c>
      <c r="Q195" s="2">
        <f xml:space="preserve">  Time!Q$76</f>
        <v>0</v>
      </c>
      <c r="R195" s="2">
        <f xml:space="preserve">  Time!R$76</f>
        <v>0</v>
      </c>
      <c r="S195" s="2">
        <f xml:space="preserve">  Time!S$76</f>
        <v>0</v>
      </c>
      <c r="T195" s="2">
        <f xml:space="preserve">  Time!T$76</f>
        <v>0</v>
      </c>
      <c r="U195" s="2">
        <f xml:space="preserve">  Time!U$76</f>
        <v>0</v>
      </c>
      <c r="V195" s="2">
        <f xml:space="preserve">  Time!V$76</f>
        <v>0</v>
      </c>
      <c r="W195" s="2">
        <f xml:space="preserve">  Time!W$76</f>
        <v>0</v>
      </c>
      <c r="X195" s="2">
        <f xml:space="preserve">  Time!X$76</f>
        <v>0</v>
      </c>
    </row>
    <row r="196" spans="1:24">
      <c r="E196" s="46" t="s">
        <v>160</v>
      </c>
      <c r="G196" s="46" t="s">
        <v>62</v>
      </c>
      <c r="L196" s="1">
        <f xml:space="preserve"> SUM( N196:X196 )</f>
        <v>5624.4824549243085</v>
      </c>
      <c r="N196" s="1">
        <f t="shared" ref="N196:X196" si="60" xml:space="preserve">  IF( N195, SUM( $N194:$X194 ), 0 )</f>
        <v>0</v>
      </c>
      <c r="O196" s="1">
        <f t="shared" si="60"/>
        <v>5624.4824549243085</v>
      </c>
      <c r="P196" s="1">
        <f t="shared" si="60"/>
        <v>0</v>
      </c>
      <c r="Q196" s="1">
        <f t="shared" si="60"/>
        <v>0</v>
      </c>
      <c r="R196" s="1">
        <f t="shared" si="60"/>
        <v>0</v>
      </c>
      <c r="S196" s="1">
        <f t="shared" si="60"/>
        <v>0</v>
      </c>
      <c r="T196" s="1">
        <f t="shared" si="60"/>
        <v>0</v>
      </c>
      <c r="U196" s="1">
        <f t="shared" si="60"/>
        <v>0</v>
      </c>
      <c r="V196" s="1">
        <f t="shared" si="60"/>
        <v>0</v>
      </c>
      <c r="W196" s="1">
        <f t="shared" si="60"/>
        <v>0</v>
      </c>
      <c r="X196" s="1">
        <f t="shared" si="60"/>
        <v>0</v>
      </c>
    </row>
    <row r="199" spans="1:24">
      <c r="B199" s="23" t="s">
        <v>161</v>
      </c>
    </row>
    <row r="200" spans="1:24">
      <c r="A200" s="5"/>
      <c r="B200" s="5"/>
      <c r="C200" s="10"/>
      <c r="D200" s="11"/>
      <c r="E200" s="7" t="str">
        <f xml:space="preserve">  Inputs!E$27</f>
        <v>factor dividing the determined costs for 2026 and 2027</v>
      </c>
      <c r="F200" s="74">
        <f xml:space="preserve">  Inputs!F$27</f>
        <v>2</v>
      </c>
      <c r="G200" s="7" t="str">
        <f xml:space="preserve">  Inputs!G$27</f>
        <v>factor</v>
      </c>
      <c r="L200" s="73"/>
    </row>
    <row r="201" spans="1:24">
      <c r="E201" s="46" t="str">
        <f t="shared" ref="E201:X201" si="61" xml:space="preserve">  E$102</f>
        <v>Determined Costs Real (RAB only)</v>
      </c>
      <c r="F201" s="1">
        <f t="shared" si="61"/>
        <v>0</v>
      </c>
      <c r="G201" s="1" t="str">
        <f t="shared" si="61"/>
        <v>£'000 (2024 prices)</v>
      </c>
      <c r="L201" s="1">
        <f t="shared" si="61"/>
        <v>141949.05879240495</v>
      </c>
      <c r="M201" s="1">
        <f t="shared" si="61"/>
        <v>0</v>
      </c>
      <c r="N201" s="1">
        <f t="shared" si="61"/>
        <v>1185.4064677939375</v>
      </c>
      <c r="O201" s="1">
        <f t="shared" si="61"/>
        <v>3508.9912474657845</v>
      </c>
      <c r="P201" s="1">
        <f t="shared" si="61"/>
        <v>6554.5671945888953</v>
      </c>
      <c r="Q201" s="1">
        <f t="shared" si="61"/>
        <v>8948.8611386552438</v>
      </c>
      <c r="R201" s="1">
        <f t="shared" si="61"/>
        <v>11823.901126377576</v>
      </c>
      <c r="S201" s="1">
        <f t="shared" si="61"/>
        <v>13784.980014192928</v>
      </c>
      <c r="T201" s="1">
        <f t="shared" si="61"/>
        <v>16015.777610335055</v>
      </c>
      <c r="U201" s="1">
        <f t="shared" si="61"/>
        <v>17613.453602509169</v>
      </c>
      <c r="V201" s="1">
        <f t="shared" si="61"/>
        <v>19498.898245900509</v>
      </c>
      <c r="W201" s="1">
        <f t="shared" si="61"/>
        <v>20889.640697709765</v>
      </c>
      <c r="X201" s="1">
        <f t="shared" si="61"/>
        <v>22124.581446876073</v>
      </c>
    </row>
    <row r="202" spans="1:24">
      <c r="A202" s="5"/>
      <c r="B202" s="5"/>
      <c r="C202" s="10"/>
      <c r="D202" s="11"/>
      <c r="E202" s="7" t="str">
        <f xml:space="preserve">  Time!E$67</f>
        <v>2025 flag</v>
      </c>
      <c r="F202" s="2">
        <f xml:space="preserve">  Time!F$67</f>
        <v>0</v>
      </c>
      <c r="G202" s="2" t="str">
        <f xml:space="preserve">  Time!G$67</f>
        <v>flag</v>
      </c>
      <c r="L202" s="2">
        <f xml:space="preserve">  Time!L$67</f>
        <v>1</v>
      </c>
      <c r="M202" s="2">
        <f xml:space="preserve">  Time!M$67</f>
        <v>0</v>
      </c>
      <c r="N202" s="2">
        <f xml:space="preserve">  Time!N$67</f>
        <v>1</v>
      </c>
      <c r="O202" s="2">
        <f xml:space="preserve">  Time!O$67</f>
        <v>0</v>
      </c>
      <c r="P202" s="2">
        <f xml:space="preserve">  Time!P$67</f>
        <v>0</v>
      </c>
      <c r="Q202" s="2">
        <f xml:space="preserve">  Time!Q$67</f>
        <v>0</v>
      </c>
      <c r="R202" s="2">
        <f xml:space="preserve">  Time!R$67</f>
        <v>0</v>
      </c>
      <c r="S202" s="2">
        <f xml:space="preserve">  Time!S$67</f>
        <v>0</v>
      </c>
      <c r="T202" s="2">
        <f xml:space="preserve">  Time!T$67</f>
        <v>0</v>
      </c>
      <c r="U202" s="2">
        <f xml:space="preserve">  Time!U$67</f>
        <v>0</v>
      </c>
      <c r="V202" s="2">
        <f xml:space="preserve">  Time!V$67</f>
        <v>0</v>
      </c>
      <c r="W202" s="2">
        <f xml:space="preserve">  Time!W$67</f>
        <v>0</v>
      </c>
      <c r="X202" s="2">
        <f xml:space="preserve">  Time!X$67</f>
        <v>0</v>
      </c>
    </row>
    <row r="203" spans="1:24">
      <c r="A203" s="5"/>
      <c r="B203" s="5"/>
      <c r="C203" s="10"/>
      <c r="D203" s="11"/>
      <c r="E203" s="7" t="str">
        <f xml:space="preserve">  Time!E$76</f>
        <v>2026 flag</v>
      </c>
      <c r="F203" s="2">
        <f xml:space="preserve">  Time!F$76</f>
        <v>0</v>
      </c>
      <c r="G203" s="2" t="str">
        <f xml:space="preserve">  Time!G$76</f>
        <v>flag</v>
      </c>
      <c r="L203" s="2">
        <f xml:space="preserve">  Time!L$76</f>
        <v>1</v>
      </c>
      <c r="M203" s="2">
        <f xml:space="preserve">  Time!M$76</f>
        <v>0</v>
      </c>
      <c r="N203" s="2">
        <f xml:space="preserve">  Time!N$76</f>
        <v>0</v>
      </c>
      <c r="O203" s="2">
        <f xml:space="preserve">  Time!O$76</f>
        <v>1</v>
      </c>
      <c r="P203" s="2">
        <f xml:space="preserve">  Time!P$76</f>
        <v>0</v>
      </c>
      <c r="Q203" s="2">
        <f xml:space="preserve">  Time!Q$76</f>
        <v>0</v>
      </c>
      <c r="R203" s="2">
        <f xml:space="preserve">  Time!R$76</f>
        <v>0</v>
      </c>
      <c r="S203" s="2">
        <f xml:space="preserve">  Time!S$76</f>
        <v>0</v>
      </c>
      <c r="T203" s="2">
        <f xml:space="preserve">  Time!T$76</f>
        <v>0</v>
      </c>
      <c r="U203" s="2">
        <f xml:space="preserve">  Time!U$76</f>
        <v>0</v>
      </c>
      <c r="V203" s="2">
        <f xml:space="preserve">  Time!V$76</f>
        <v>0</v>
      </c>
      <c r="W203" s="2">
        <f xml:space="preserve">  Time!W$76</f>
        <v>0</v>
      </c>
      <c r="X203" s="2">
        <f xml:space="preserve">  Time!X$76</f>
        <v>0</v>
      </c>
    </row>
    <row r="204" spans="1:24">
      <c r="A204" s="5"/>
      <c r="B204" s="5"/>
      <c r="C204" s="10"/>
      <c r="D204" s="11"/>
      <c r="E204" s="7" t="str">
        <f xml:space="preserve">  Time!E$58</f>
        <v>NR23 flag</v>
      </c>
      <c r="F204" s="2">
        <f xml:space="preserve">  Time!F$58</f>
        <v>0</v>
      </c>
      <c r="G204" s="2" t="str">
        <f xml:space="preserve">  Time!G$58</f>
        <v>flag</v>
      </c>
      <c r="L204" s="2">
        <f xml:space="preserve">  Time!L$58</f>
        <v>3</v>
      </c>
      <c r="M204" s="2">
        <f xml:space="preserve">  Time!M$58</f>
        <v>0</v>
      </c>
      <c r="N204" s="2">
        <f xml:space="preserve">  Time!N$58</f>
        <v>1</v>
      </c>
      <c r="O204" s="2">
        <f xml:space="preserve">  Time!O$58</f>
        <v>1</v>
      </c>
      <c r="P204" s="2">
        <f xml:space="preserve">  Time!P$58</f>
        <v>1</v>
      </c>
      <c r="Q204" s="2">
        <f xml:space="preserve">  Time!Q$58</f>
        <v>0</v>
      </c>
      <c r="R204" s="2">
        <f xml:space="preserve">  Time!R$58</f>
        <v>0</v>
      </c>
      <c r="S204" s="2">
        <f xml:space="preserve">  Time!S$58</f>
        <v>0</v>
      </c>
      <c r="T204" s="2">
        <f xml:space="preserve">  Time!T$58</f>
        <v>0</v>
      </c>
      <c r="U204" s="2">
        <f xml:space="preserve">  Time!U$58</f>
        <v>0</v>
      </c>
      <c r="V204" s="2">
        <f xml:space="preserve">  Time!V$58</f>
        <v>0</v>
      </c>
      <c r="W204" s="2">
        <f xml:space="preserve">  Time!W$58</f>
        <v>0</v>
      </c>
      <c r="X204" s="2">
        <f xml:space="preserve">  Time!X$58</f>
        <v>0</v>
      </c>
    </row>
    <row r="205" spans="1:24">
      <c r="E205" s="46" t="s">
        <v>161</v>
      </c>
      <c r="G205" s="46" t="s">
        <v>62</v>
      </c>
      <c r="L205" s="1">
        <f xml:space="preserve"> SUM( N205:X205 )</f>
        <v>136324.57633748063</v>
      </c>
      <c r="N205" s="1">
        <f t="shared" ref="N205:X205" si="62" xml:space="preserve">  IF( N202, 0, IF( N203, 0, IF( N204, SUM( L$201:N$201 ) / $F200, N201 ) ) )</f>
        <v>0</v>
      </c>
      <c r="O205" s="1">
        <f t="shared" si="62"/>
        <v>0</v>
      </c>
      <c r="P205" s="1">
        <f t="shared" si="62"/>
        <v>5624.4824549243085</v>
      </c>
      <c r="Q205" s="1">
        <f t="shared" si="62"/>
        <v>8948.8611386552438</v>
      </c>
      <c r="R205" s="1">
        <f t="shared" si="62"/>
        <v>11823.901126377576</v>
      </c>
      <c r="S205" s="1">
        <f t="shared" si="62"/>
        <v>13784.980014192928</v>
      </c>
      <c r="T205" s="1">
        <f t="shared" si="62"/>
        <v>16015.777610335055</v>
      </c>
      <c r="U205" s="1">
        <f t="shared" si="62"/>
        <v>17613.453602509169</v>
      </c>
      <c r="V205" s="1">
        <f t="shared" si="62"/>
        <v>19498.898245900509</v>
      </c>
      <c r="W205" s="1">
        <f t="shared" si="62"/>
        <v>20889.640697709765</v>
      </c>
      <c r="X205" s="1">
        <f t="shared" si="62"/>
        <v>22124.581446876073</v>
      </c>
    </row>
    <row r="208" spans="1:24">
      <c r="B208" s="23" t="s">
        <v>162</v>
      </c>
    </row>
    <row r="209" spans="1:24">
      <c r="E209" s="46" t="str">
        <f t="shared" ref="E209:X209" si="63" xml:space="preserve">  E$223</f>
        <v>Determined Cost from 2026 Real (RAB only)</v>
      </c>
      <c r="F209" s="1">
        <f t="shared" si="63"/>
        <v>0</v>
      </c>
      <c r="G209" s="1" t="str">
        <f t="shared" si="63"/>
        <v>£'000 (2024 prices)</v>
      </c>
      <c r="L209" s="1">
        <f t="shared" si="63"/>
        <v>141949.05879240495</v>
      </c>
      <c r="M209" s="1">
        <f t="shared" si="63"/>
        <v>0</v>
      </c>
      <c r="N209" s="1">
        <f t="shared" si="63"/>
        <v>0</v>
      </c>
      <c r="O209" s="1">
        <f t="shared" si="63"/>
        <v>5624.4824549243085</v>
      </c>
      <c r="P209" s="1">
        <f t="shared" si="63"/>
        <v>5624.4824549243085</v>
      </c>
      <c r="Q209" s="1">
        <f t="shared" si="63"/>
        <v>8948.8611386552438</v>
      </c>
      <c r="R209" s="1">
        <f t="shared" si="63"/>
        <v>11823.901126377576</v>
      </c>
      <c r="S209" s="1">
        <f t="shared" si="63"/>
        <v>13784.980014192928</v>
      </c>
      <c r="T209" s="1">
        <f t="shared" si="63"/>
        <v>16015.777610335055</v>
      </c>
      <c r="U209" s="1">
        <f t="shared" si="63"/>
        <v>17613.453602509169</v>
      </c>
      <c r="V209" s="1">
        <f t="shared" si="63"/>
        <v>19498.898245900509</v>
      </c>
      <c r="W209" s="1">
        <f t="shared" si="63"/>
        <v>20889.640697709765</v>
      </c>
      <c r="X209" s="1">
        <f t="shared" si="63"/>
        <v>22124.581446876073</v>
      </c>
    </row>
    <row r="210" spans="1:24">
      <c r="A210" s="5"/>
      <c r="B210" s="5"/>
      <c r="C210" s="10"/>
      <c r="D210" s="11"/>
      <c r="E210" s="7" t="str">
        <f xml:space="preserve">  Inputs!E$53</f>
        <v>Service Units</v>
      </c>
      <c r="F210" s="2">
        <f xml:space="preserve">  Inputs!F$53</f>
        <v>0</v>
      </c>
      <c r="G210" s="2" t="str">
        <f xml:space="preserve">  Inputs!G$53</f>
        <v>000</v>
      </c>
      <c r="L210" s="2">
        <f xml:space="preserve">  Inputs!L$53</f>
        <v>148622</v>
      </c>
      <c r="M210" s="2">
        <f xml:space="preserve">  Inputs!M$53</f>
        <v>0</v>
      </c>
      <c r="N210" s="2">
        <f xml:space="preserve">  Inputs!N$53</f>
        <v>12392</v>
      </c>
      <c r="O210" s="2">
        <f xml:space="preserve">  Inputs!O$53</f>
        <v>12580</v>
      </c>
      <c r="P210" s="2">
        <f xml:space="preserve">  Inputs!P$53</f>
        <v>12818</v>
      </c>
      <c r="Q210" s="2">
        <f xml:space="preserve">  Inputs!Q$53</f>
        <v>13082</v>
      </c>
      <c r="R210" s="2">
        <f xml:space="preserve">  Inputs!R$53</f>
        <v>13278</v>
      </c>
      <c r="S210" s="2">
        <f xml:space="preserve">  Inputs!S$53</f>
        <v>13507</v>
      </c>
      <c r="T210" s="2">
        <f xml:space="preserve">  Inputs!T$53</f>
        <v>13717</v>
      </c>
      <c r="U210" s="2">
        <f xml:space="preserve">  Inputs!U$53</f>
        <v>13951</v>
      </c>
      <c r="V210" s="2">
        <f xml:space="preserve">  Inputs!V$53</f>
        <v>14189</v>
      </c>
      <c r="W210" s="2">
        <f xml:space="preserve">  Inputs!W$53</f>
        <v>14431</v>
      </c>
      <c r="X210" s="2">
        <f xml:space="preserve">  Inputs!X$53</f>
        <v>14677</v>
      </c>
    </row>
    <row r="211" spans="1:24">
      <c r="A211" s="17"/>
      <c r="B211" s="17"/>
      <c r="C211" s="28"/>
      <c r="D211" s="27"/>
      <c r="E211" s="16" t="s">
        <v>162</v>
      </c>
      <c r="F211" s="16"/>
      <c r="G211" s="16" t="s">
        <v>140</v>
      </c>
      <c r="L211" s="6">
        <f xml:space="preserve"> SUM( N211:X211 )</f>
        <v>10.240340908464701</v>
      </c>
      <c r="M211" s="16"/>
      <c r="N211" s="6">
        <f t="shared" ref="N211:X211" si="64" xml:space="preserve">  N209 / N210</f>
        <v>0</v>
      </c>
      <c r="O211" s="6">
        <f t="shared" si="64"/>
        <v>0.44709717447729003</v>
      </c>
      <c r="P211" s="6">
        <f t="shared" si="64"/>
        <v>0.43879563542864009</v>
      </c>
      <c r="Q211" s="6">
        <f t="shared" si="64"/>
        <v>0.68405909942327192</v>
      </c>
      <c r="R211" s="6">
        <f t="shared" si="64"/>
        <v>0.89048811013537998</v>
      </c>
      <c r="S211" s="6">
        <f t="shared" si="64"/>
        <v>1.0205804408227532</v>
      </c>
      <c r="T211" s="6">
        <f t="shared" si="64"/>
        <v>1.167586032684629</v>
      </c>
      <c r="U211" s="6">
        <f t="shared" si="64"/>
        <v>1.2625226580538433</v>
      </c>
      <c r="V211" s="6">
        <f t="shared" si="64"/>
        <v>1.3742263898724723</v>
      </c>
      <c r="W211" s="6">
        <f t="shared" si="64"/>
        <v>1.4475532324655094</v>
      </c>
      <c r="X211" s="6">
        <f t="shared" si="64"/>
        <v>1.5074321351009112</v>
      </c>
    </row>
    <row r="214" spans="1:24">
      <c r="B214" s="23" t="s">
        <v>163</v>
      </c>
    </row>
    <row r="215" spans="1:24">
      <c r="E215" s="46" t="str">
        <f t="shared" ref="E215:X215" si="65" xml:space="preserve">  E$223</f>
        <v>Determined Cost from 2026 Real (RAB only)</v>
      </c>
      <c r="F215" s="1">
        <f t="shared" si="65"/>
        <v>0</v>
      </c>
      <c r="G215" s="1" t="str">
        <f t="shared" si="65"/>
        <v>£'000 (2024 prices)</v>
      </c>
      <c r="L215" s="1">
        <f t="shared" si="65"/>
        <v>141949.05879240495</v>
      </c>
      <c r="M215" s="1">
        <f t="shared" si="65"/>
        <v>0</v>
      </c>
      <c r="N215" s="1">
        <f t="shared" si="65"/>
        <v>0</v>
      </c>
      <c r="O215" s="1">
        <f t="shared" si="65"/>
        <v>5624.4824549243085</v>
      </c>
      <c r="P215" s="1">
        <f t="shared" si="65"/>
        <v>5624.4824549243085</v>
      </c>
      <c r="Q215" s="1">
        <f t="shared" si="65"/>
        <v>8948.8611386552438</v>
      </c>
      <c r="R215" s="1">
        <f t="shared" si="65"/>
        <v>11823.901126377576</v>
      </c>
      <c r="S215" s="1">
        <f t="shared" si="65"/>
        <v>13784.980014192928</v>
      </c>
      <c r="T215" s="1">
        <f t="shared" si="65"/>
        <v>16015.777610335055</v>
      </c>
      <c r="U215" s="1">
        <f t="shared" si="65"/>
        <v>17613.453602509169</v>
      </c>
      <c r="V215" s="1">
        <f t="shared" si="65"/>
        <v>19498.898245900509</v>
      </c>
      <c r="W215" s="1">
        <f t="shared" si="65"/>
        <v>20889.640697709765</v>
      </c>
      <c r="X215" s="1">
        <f t="shared" si="65"/>
        <v>22124.581446876073</v>
      </c>
    </row>
    <row r="216" spans="1:24">
      <c r="A216" s="5"/>
      <c r="B216" s="5"/>
      <c r="C216" s="10"/>
      <c r="D216" s="11"/>
      <c r="E216" s="7" t="str">
        <f xml:space="preserve">  Inputs!E$52</f>
        <v>Flights</v>
      </c>
      <c r="F216" s="2">
        <f xml:space="preserve">  Inputs!F$52</f>
        <v>0</v>
      </c>
      <c r="G216" s="2" t="str">
        <f xml:space="preserve">  Inputs!G$52</f>
        <v>000</v>
      </c>
      <c r="L216" s="2">
        <f xml:space="preserve">  Inputs!L$52</f>
        <v>29269</v>
      </c>
      <c r="M216" s="2">
        <f xml:space="preserve">  Inputs!M$52</f>
        <v>0</v>
      </c>
      <c r="N216" s="2">
        <f xml:space="preserve">  Inputs!N$52</f>
        <v>2510</v>
      </c>
      <c r="O216" s="2">
        <f xml:space="preserve">  Inputs!O$52</f>
        <v>2536</v>
      </c>
      <c r="P216" s="2">
        <f xml:space="preserve">  Inputs!P$52</f>
        <v>2568</v>
      </c>
      <c r="Q216" s="2">
        <f xml:space="preserve">  Inputs!Q$52</f>
        <v>2606</v>
      </c>
      <c r="R216" s="2">
        <f xml:space="preserve">  Inputs!R$52</f>
        <v>2630</v>
      </c>
      <c r="S216" s="2">
        <f xml:space="preserve">  Inputs!S$52</f>
        <v>2661</v>
      </c>
      <c r="T216" s="2">
        <f xml:space="preserve">  Inputs!T$52</f>
        <v>2689</v>
      </c>
      <c r="U216" s="2">
        <f xml:space="preserve">  Inputs!U$52</f>
        <v>2720</v>
      </c>
      <c r="V216" s="2">
        <f xml:space="preserve">  Inputs!V$52</f>
        <v>2751</v>
      </c>
      <c r="W216" s="2">
        <f xml:space="preserve">  Inputs!W$52</f>
        <v>2783</v>
      </c>
      <c r="X216" s="2">
        <f xml:space="preserve">  Inputs!X$52</f>
        <v>2815</v>
      </c>
    </row>
    <row r="217" spans="1:24">
      <c r="A217" s="17"/>
      <c r="B217" s="17"/>
      <c r="C217" s="28"/>
      <c r="D217" s="27"/>
      <c r="E217" s="16" t="s">
        <v>163</v>
      </c>
      <c r="F217" s="16"/>
      <c r="G217" s="16" t="s">
        <v>58</v>
      </c>
      <c r="L217" s="6">
        <f xml:space="preserve"> SUM( N217:X217 )</f>
        <v>52.40336668001742</v>
      </c>
      <c r="M217" s="16"/>
      <c r="N217" s="6">
        <f t="shared" ref="N217:X217" si="66" xml:space="preserve">  N215 / N216</f>
        <v>0</v>
      </c>
      <c r="O217" s="6">
        <f t="shared" si="66"/>
        <v>2.2178558576199956</v>
      </c>
      <c r="P217" s="6">
        <f t="shared" si="66"/>
        <v>2.1902190245032354</v>
      </c>
      <c r="Q217" s="6">
        <f t="shared" si="66"/>
        <v>3.4339451798370084</v>
      </c>
      <c r="R217" s="6">
        <f t="shared" si="66"/>
        <v>4.4957798959610553</v>
      </c>
      <c r="S217" s="6">
        <f t="shared" si="66"/>
        <v>5.1803758039056476</v>
      </c>
      <c r="T217" s="6">
        <f t="shared" si="66"/>
        <v>5.9560348123224456</v>
      </c>
      <c r="U217" s="6">
        <f t="shared" si="66"/>
        <v>6.4755344126871943</v>
      </c>
      <c r="V217" s="6">
        <f t="shared" si="66"/>
        <v>7.0879310235916062</v>
      </c>
      <c r="W217" s="6">
        <f t="shared" si="66"/>
        <v>7.5061590721199298</v>
      </c>
      <c r="X217" s="6">
        <f t="shared" si="66"/>
        <v>7.8595315974692976</v>
      </c>
    </row>
    <row r="220" spans="1:24">
      <c r="B220" s="23" t="s">
        <v>164</v>
      </c>
    </row>
    <row r="221" spans="1:24">
      <c r="E221" s="46" t="str">
        <f t="shared" ref="E221:X221" si="67" xml:space="preserve">  E$196</f>
        <v>Determined costs for RAB Real for 2026 only</v>
      </c>
      <c r="F221" s="1">
        <f t="shared" si="67"/>
        <v>0</v>
      </c>
      <c r="G221" s="1" t="str">
        <f t="shared" si="67"/>
        <v>£'000 (2024 prices)</v>
      </c>
      <c r="L221" s="1">
        <f t="shared" si="67"/>
        <v>5624.4824549243085</v>
      </c>
      <c r="M221" s="1">
        <f t="shared" si="67"/>
        <v>0</v>
      </c>
      <c r="N221" s="1">
        <f t="shared" si="67"/>
        <v>0</v>
      </c>
      <c r="O221" s="1">
        <f t="shared" si="67"/>
        <v>5624.4824549243085</v>
      </c>
      <c r="P221" s="1">
        <f t="shared" si="67"/>
        <v>0</v>
      </c>
      <c r="Q221" s="1">
        <f t="shared" si="67"/>
        <v>0</v>
      </c>
      <c r="R221" s="1">
        <f t="shared" si="67"/>
        <v>0</v>
      </c>
      <c r="S221" s="1">
        <f t="shared" si="67"/>
        <v>0</v>
      </c>
      <c r="T221" s="1">
        <f t="shared" si="67"/>
        <v>0</v>
      </c>
      <c r="U221" s="1">
        <f t="shared" si="67"/>
        <v>0</v>
      </c>
      <c r="V221" s="1">
        <f t="shared" si="67"/>
        <v>0</v>
      </c>
      <c r="W221" s="1">
        <f t="shared" si="67"/>
        <v>0</v>
      </c>
      <c r="X221" s="1">
        <f t="shared" si="67"/>
        <v>0</v>
      </c>
    </row>
    <row r="222" spans="1:24">
      <c r="E222" s="46" t="str">
        <f t="shared" ref="E222:X222" si="68" xml:space="preserve">  E$205</f>
        <v>Initial Calculations Determined Cost Real from 2026 (RAB only)</v>
      </c>
      <c r="F222" s="1">
        <f t="shared" si="68"/>
        <v>0</v>
      </c>
      <c r="G222" s="1" t="str">
        <f t="shared" si="68"/>
        <v>£'000 (2024 prices)</v>
      </c>
      <c r="L222" s="1">
        <f t="shared" si="68"/>
        <v>136324.57633748063</v>
      </c>
      <c r="M222" s="1">
        <f t="shared" si="68"/>
        <v>0</v>
      </c>
      <c r="N222" s="1">
        <f t="shared" si="68"/>
        <v>0</v>
      </c>
      <c r="O222" s="1">
        <f t="shared" si="68"/>
        <v>0</v>
      </c>
      <c r="P222" s="1">
        <f t="shared" si="68"/>
        <v>5624.4824549243085</v>
      </c>
      <c r="Q222" s="1">
        <f t="shared" si="68"/>
        <v>8948.8611386552438</v>
      </c>
      <c r="R222" s="1">
        <f t="shared" si="68"/>
        <v>11823.901126377576</v>
      </c>
      <c r="S222" s="1">
        <f t="shared" si="68"/>
        <v>13784.980014192928</v>
      </c>
      <c r="T222" s="1">
        <f t="shared" si="68"/>
        <v>16015.777610335055</v>
      </c>
      <c r="U222" s="1">
        <f t="shared" si="68"/>
        <v>17613.453602509169</v>
      </c>
      <c r="V222" s="1">
        <f t="shared" si="68"/>
        <v>19498.898245900509</v>
      </c>
      <c r="W222" s="1">
        <f t="shared" si="68"/>
        <v>20889.640697709765</v>
      </c>
      <c r="X222" s="1">
        <f t="shared" si="68"/>
        <v>22124.581446876073</v>
      </c>
    </row>
    <row r="223" spans="1:24">
      <c r="A223" s="17"/>
      <c r="B223" s="17"/>
      <c r="C223" s="28"/>
      <c r="D223" s="27"/>
      <c r="E223" s="16" t="s">
        <v>164</v>
      </c>
      <c r="F223" s="16"/>
      <c r="G223" s="16" t="s">
        <v>62</v>
      </c>
      <c r="L223" s="6">
        <f xml:space="preserve"> SUM( N223:X223 )</f>
        <v>141949.05879240495</v>
      </c>
      <c r="M223" s="16"/>
      <c r="N223" s="6">
        <f t="shared" ref="N223:X223" si="69" xml:space="preserve">  N221 + N222</f>
        <v>0</v>
      </c>
      <c r="O223" s="6">
        <f t="shared" si="69"/>
        <v>5624.4824549243085</v>
      </c>
      <c r="P223" s="6">
        <f t="shared" si="69"/>
        <v>5624.4824549243085</v>
      </c>
      <c r="Q223" s="6">
        <f t="shared" si="69"/>
        <v>8948.8611386552438</v>
      </c>
      <c r="R223" s="6">
        <f t="shared" si="69"/>
        <v>11823.901126377576</v>
      </c>
      <c r="S223" s="6">
        <f t="shared" si="69"/>
        <v>13784.980014192928</v>
      </c>
      <c r="T223" s="6">
        <f t="shared" si="69"/>
        <v>16015.777610335055</v>
      </c>
      <c r="U223" s="6">
        <f t="shared" si="69"/>
        <v>17613.453602509169</v>
      </c>
      <c r="V223" s="6">
        <f t="shared" si="69"/>
        <v>19498.898245900509</v>
      </c>
      <c r="W223" s="6">
        <f t="shared" si="69"/>
        <v>20889.640697709765</v>
      </c>
      <c r="X223" s="6">
        <f t="shared" si="69"/>
        <v>22124.581446876073</v>
      </c>
    </row>
    <row r="226" spans="1:24">
      <c r="B226" s="23" t="s">
        <v>165</v>
      </c>
    </row>
    <row r="227" spans="1:24">
      <c r="A227" s="5"/>
      <c r="B227" s="5"/>
      <c r="C227" s="10"/>
      <c r="D227" s="11"/>
      <c r="E227" s="7" t="str">
        <f xml:space="preserve">  Inputs!E$32</f>
        <v>CPI Index 2024</v>
      </c>
      <c r="F227" s="2">
        <f xml:space="preserve">  Inputs!F$32</f>
        <v>133.85316666666699</v>
      </c>
      <c r="G227" s="7" t="str">
        <f xml:space="preserve">  Inputs!G$32</f>
        <v>index (2015=100)</v>
      </c>
      <c r="L227" s="3"/>
    </row>
    <row r="228" spans="1:24">
      <c r="E228" s="46" t="str">
        <f t="shared" ref="E228:X228" si="70" xml:space="preserve">  E$211</f>
        <v>DC per SU from 2026 real (RAB only)</v>
      </c>
      <c r="F228" s="1">
        <f t="shared" si="70"/>
        <v>0</v>
      </c>
      <c r="G228" s="1" t="str">
        <f t="shared" si="70"/>
        <v>£( 2024 prices)</v>
      </c>
      <c r="L228" s="1">
        <f t="shared" si="70"/>
        <v>10.240340908464701</v>
      </c>
      <c r="M228" s="1">
        <f t="shared" si="70"/>
        <v>0</v>
      </c>
      <c r="N228" s="1">
        <f t="shared" si="70"/>
        <v>0</v>
      </c>
      <c r="O228" s="1">
        <f t="shared" si="70"/>
        <v>0.44709717447729003</v>
      </c>
      <c r="P228" s="1">
        <f t="shared" si="70"/>
        <v>0.43879563542864009</v>
      </c>
      <c r="Q228" s="1">
        <f t="shared" si="70"/>
        <v>0.68405909942327192</v>
      </c>
      <c r="R228" s="1">
        <f t="shared" si="70"/>
        <v>0.89048811013537998</v>
      </c>
      <c r="S228" s="1">
        <f t="shared" si="70"/>
        <v>1.0205804408227532</v>
      </c>
      <c r="T228" s="1">
        <f t="shared" si="70"/>
        <v>1.167586032684629</v>
      </c>
      <c r="U228" s="1">
        <f t="shared" si="70"/>
        <v>1.2625226580538433</v>
      </c>
      <c r="V228" s="1">
        <f t="shared" si="70"/>
        <v>1.3742263898724723</v>
      </c>
      <c r="W228" s="1">
        <f t="shared" si="70"/>
        <v>1.4475532324655094</v>
      </c>
      <c r="X228" s="1">
        <f t="shared" si="70"/>
        <v>1.5074321351009112</v>
      </c>
    </row>
    <row r="229" spans="1:24">
      <c r="A229" s="5"/>
      <c r="B229" s="5"/>
      <c r="C229" s="10"/>
      <c r="D229" s="11"/>
      <c r="E229" s="7" t="str">
        <f xml:space="preserve">  Time!E$14</f>
        <v>CPI Index Forecast (Calculations)</v>
      </c>
      <c r="F229" s="2">
        <f xml:space="preserve">  Time!F$14</f>
        <v>0</v>
      </c>
      <c r="G229" s="2">
        <f xml:space="preserve">  Time!G$14</f>
        <v>0</v>
      </c>
      <c r="L229" s="2">
        <f xml:space="preserve">  Time!L$14</f>
        <v>1682.2905458462872</v>
      </c>
      <c r="M229" s="2">
        <f xml:space="preserve">  Time!M$14</f>
        <v>0</v>
      </c>
      <c r="N229" s="2">
        <f xml:space="preserve">  Time!N$14</f>
        <v>138.153850729889</v>
      </c>
      <c r="O229" s="2">
        <f xml:space="preserve">  Time!O$14</f>
        <v>141.033957438817</v>
      </c>
      <c r="P229" s="2">
        <f xml:space="preserve">  Time!P$14</f>
        <v>143.83924602398201</v>
      </c>
      <c r="Q229" s="2">
        <f xml:space="preserve">  Time!Q$14</f>
        <v>146.71663933540901</v>
      </c>
      <c r="R229" s="2">
        <f xml:space="preserve">  Time!R$14</f>
        <v>149.65085336166601</v>
      </c>
      <c r="S229" s="2">
        <f xml:space="preserve">  Time!S$14</f>
        <v>152.64387042889933</v>
      </c>
      <c r="T229" s="2">
        <f xml:space="preserve">  Time!T$14</f>
        <v>155.69674783747732</v>
      </c>
      <c r="U229" s="2">
        <f xml:space="preserve">  Time!U$14</f>
        <v>158.81068279422686</v>
      </c>
      <c r="V229" s="2">
        <f xml:space="preserve">  Time!V$14</f>
        <v>161.9868964501114</v>
      </c>
      <c r="W229" s="2">
        <f xml:space="preserve">  Time!W$14</f>
        <v>165.22663437911362</v>
      </c>
      <c r="X229" s="2">
        <f xml:space="preserve">  Time!X$14</f>
        <v>168.5311670666959</v>
      </c>
    </row>
    <row r="230" spans="1:24">
      <c r="A230" s="17"/>
      <c r="B230" s="17"/>
      <c r="C230" s="28"/>
      <c r="D230" s="27"/>
      <c r="E230" s="16" t="s">
        <v>165</v>
      </c>
      <c r="F230" s="16"/>
      <c r="G230" s="16" t="s">
        <v>143</v>
      </c>
      <c r="L230" s="6">
        <f xml:space="preserve"> SUM( N230:X230 )</f>
        <v>12.055778812240002</v>
      </c>
      <c r="M230" s="16"/>
      <c r="N230" s="6">
        <f t="shared" ref="N230:X230" si="71" xml:space="preserve">  N228 * ( N229 / $F227 )</f>
        <v>0</v>
      </c>
      <c r="O230" s="6">
        <f t="shared" si="71"/>
        <v>0.47108249618981973</v>
      </c>
      <c r="P230" s="6">
        <f t="shared" si="71"/>
        <v>0.47153186533006586</v>
      </c>
      <c r="Q230" s="6">
        <f t="shared" si="71"/>
        <v>0.74979811590204171</v>
      </c>
      <c r="R230" s="6">
        <f t="shared" si="71"/>
        <v>0.99558575197580823</v>
      </c>
      <c r="S230" s="6">
        <f t="shared" si="71"/>
        <v>1.1638525441775149</v>
      </c>
      <c r="T230" s="6">
        <f t="shared" si="71"/>
        <v>1.3581251205073628</v>
      </c>
      <c r="U230" s="6">
        <f t="shared" si="71"/>
        <v>1.4979256028213446</v>
      </c>
      <c r="V230" s="6">
        <f t="shared" si="71"/>
        <v>1.6630661302891505</v>
      </c>
      <c r="W230" s="6">
        <f t="shared" si="71"/>
        <v>1.7868411681323606</v>
      </c>
      <c r="X230" s="6">
        <f t="shared" si="71"/>
        <v>1.897970016914533</v>
      </c>
    </row>
    <row r="233" spans="1:24">
      <c r="B233" s="23" t="s">
        <v>166</v>
      </c>
    </row>
    <row r="234" spans="1:24">
      <c r="A234" s="5"/>
      <c r="B234" s="5"/>
      <c r="C234" s="10"/>
      <c r="D234" s="11"/>
      <c r="E234" s="7" t="str">
        <f xml:space="preserve">  Inputs!E$32</f>
        <v>CPI Index 2024</v>
      </c>
      <c r="F234" s="2">
        <f xml:space="preserve">  Inputs!F$32</f>
        <v>133.85316666666699</v>
      </c>
      <c r="G234" s="7" t="str">
        <f xml:space="preserve">  Inputs!G$32</f>
        <v>index (2015=100)</v>
      </c>
      <c r="L234" s="3"/>
    </row>
    <row r="235" spans="1:24">
      <c r="E235" s="46" t="str">
        <f t="shared" ref="E235:X235" si="72" xml:space="preserve">  E$217</f>
        <v>DC per flight from 2026 real (RAB only)</v>
      </c>
      <c r="F235" s="1">
        <f t="shared" si="72"/>
        <v>0</v>
      </c>
      <c r="G235" s="1" t="str">
        <f t="shared" si="72"/>
        <v>£ real</v>
      </c>
      <c r="L235" s="1">
        <f t="shared" si="72"/>
        <v>52.40336668001742</v>
      </c>
      <c r="M235" s="1">
        <f t="shared" si="72"/>
        <v>0</v>
      </c>
      <c r="N235" s="1">
        <f t="shared" si="72"/>
        <v>0</v>
      </c>
      <c r="O235" s="1">
        <f t="shared" si="72"/>
        <v>2.2178558576199956</v>
      </c>
      <c r="P235" s="1">
        <f t="shared" si="72"/>
        <v>2.1902190245032354</v>
      </c>
      <c r="Q235" s="1">
        <f t="shared" si="72"/>
        <v>3.4339451798370084</v>
      </c>
      <c r="R235" s="1">
        <f t="shared" si="72"/>
        <v>4.4957798959610553</v>
      </c>
      <c r="S235" s="1">
        <f t="shared" si="72"/>
        <v>5.1803758039056476</v>
      </c>
      <c r="T235" s="1">
        <f t="shared" si="72"/>
        <v>5.9560348123224456</v>
      </c>
      <c r="U235" s="1">
        <f t="shared" si="72"/>
        <v>6.4755344126871943</v>
      </c>
      <c r="V235" s="1">
        <f t="shared" si="72"/>
        <v>7.0879310235916062</v>
      </c>
      <c r="W235" s="1">
        <f t="shared" si="72"/>
        <v>7.5061590721199298</v>
      </c>
      <c r="X235" s="1">
        <f t="shared" si="72"/>
        <v>7.8595315974692976</v>
      </c>
    </row>
    <row r="236" spans="1:24">
      <c r="A236" s="5"/>
      <c r="B236" s="5"/>
      <c r="C236" s="10"/>
      <c r="D236" s="11"/>
      <c r="E236" s="7" t="str">
        <f xml:space="preserve">  Time!E$14</f>
        <v>CPI Index Forecast (Calculations)</v>
      </c>
      <c r="F236" s="2">
        <f xml:space="preserve">  Time!F$14</f>
        <v>0</v>
      </c>
      <c r="G236" s="2">
        <f xml:space="preserve">  Time!G$14</f>
        <v>0</v>
      </c>
      <c r="L236" s="2">
        <f xml:space="preserve">  Time!L$14</f>
        <v>1682.2905458462872</v>
      </c>
      <c r="M236" s="2">
        <f xml:space="preserve">  Time!M$14</f>
        <v>0</v>
      </c>
      <c r="N236" s="2">
        <f xml:space="preserve">  Time!N$14</f>
        <v>138.153850729889</v>
      </c>
      <c r="O236" s="2">
        <f xml:space="preserve">  Time!O$14</f>
        <v>141.033957438817</v>
      </c>
      <c r="P236" s="2">
        <f xml:space="preserve">  Time!P$14</f>
        <v>143.83924602398201</v>
      </c>
      <c r="Q236" s="2">
        <f xml:space="preserve">  Time!Q$14</f>
        <v>146.71663933540901</v>
      </c>
      <c r="R236" s="2">
        <f xml:space="preserve">  Time!R$14</f>
        <v>149.65085336166601</v>
      </c>
      <c r="S236" s="2">
        <f xml:space="preserve">  Time!S$14</f>
        <v>152.64387042889933</v>
      </c>
      <c r="T236" s="2">
        <f xml:space="preserve">  Time!T$14</f>
        <v>155.69674783747732</v>
      </c>
      <c r="U236" s="2">
        <f xml:space="preserve">  Time!U$14</f>
        <v>158.81068279422686</v>
      </c>
      <c r="V236" s="2">
        <f xml:space="preserve">  Time!V$14</f>
        <v>161.9868964501114</v>
      </c>
      <c r="W236" s="2">
        <f xml:space="preserve">  Time!W$14</f>
        <v>165.22663437911362</v>
      </c>
      <c r="X236" s="2">
        <f xml:space="preserve">  Time!X$14</f>
        <v>168.5311670666959</v>
      </c>
    </row>
    <row r="237" spans="1:24">
      <c r="A237" s="17"/>
      <c r="B237" s="17"/>
      <c r="C237" s="28"/>
      <c r="D237" s="27"/>
      <c r="E237" s="16" t="s">
        <v>166</v>
      </c>
      <c r="F237" s="16"/>
      <c r="G237" s="16" t="s">
        <v>143</v>
      </c>
      <c r="L237" s="6">
        <f xml:space="preserve"> SUM( N237:X237 )</f>
        <v>61.738277314086737</v>
      </c>
      <c r="M237" s="16"/>
      <c r="N237" s="6">
        <f t="shared" ref="N237:X237" si="73" xml:space="preserve">  N235 * ( N236 / $F234 )</f>
        <v>0</v>
      </c>
      <c r="O237" s="6">
        <f t="shared" si="73"/>
        <v>2.3368366727397212</v>
      </c>
      <c r="P237" s="6">
        <f t="shared" si="73"/>
        <v>2.353619723442673</v>
      </c>
      <c r="Q237" s="6">
        <f t="shared" si="73"/>
        <v>3.7639520154376482</v>
      </c>
      <c r="R237" s="6">
        <f t="shared" si="73"/>
        <v>5.026383123473301</v>
      </c>
      <c r="S237" s="6">
        <f t="shared" si="73"/>
        <v>5.9076122939517832</v>
      </c>
      <c r="T237" s="6">
        <f t="shared" si="73"/>
        <v>6.928003822238562</v>
      </c>
      <c r="U237" s="6">
        <f t="shared" si="73"/>
        <v>7.6829265018237418</v>
      </c>
      <c r="V237" s="6">
        <f t="shared" si="73"/>
        <v>8.5776973183107081</v>
      </c>
      <c r="W237" s="6">
        <f t="shared" si="73"/>
        <v>9.2655066106065735</v>
      </c>
      <c r="X237" s="6">
        <f t="shared" si="73"/>
        <v>9.8957392320620254</v>
      </c>
    </row>
    <row r="240" spans="1:24">
      <c r="B240" s="23" t="s">
        <v>167</v>
      </c>
    </row>
    <row r="241" spans="1:24">
      <c r="A241" s="5"/>
      <c r="B241" s="5"/>
      <c r="C241" s="10"/>
      <c r="D241" s="11"/>
      <c r="E241" s="7" t="str">
        <f xml:space="preserve">  Inputs!E$32</f>
        <v>CPI Index 2024</v>
      </c>
      <c r="F241" s="2">
        <f xml:space="preserve">  Inputs!F$32</f>
        <v>133.85316666666699</v>
      </c>
      <c r="G241" s="7" t="str">
        <f xml:space="preserve">  Inputs!G$32</f>
        <v>index (2015=100)</v>
      </c>
      <c r="L241" s="3"/>
    </row>
    <row r="242" spans="1:24">
      <c r="E242" s="46" t="str">
        <f t="shared" ref="E242:X242" si="74" xml:space="preserve">  E$223</f>
        <v>Determined Cost from 2026 Real (RAB only)</v>
      </c>
      <c r="F242" s="1">
        <f t="shared" si="74"/>
        <v>0</v>
      </c>
      <c r="G242" s="1" t="str">
        <f t="shared" si="74"/>
        <v>£'000 (2024 prices)</v>
      </c>
      <c r="L242" s="1">
        <f t="shared" si="74"/>
        <v>141949.05879240495</v>
      </c>
      <c r="M242" s="1">
        <f t="shared" si="74"/>
        <v>0</v>
      </c>
      <c r="N242" s="1">
        <f t="shared" si="74"/>
        <v>0</v>
      </c>
      <c r="O242" s="1">
        <f t="shared" si="74"/>
        <v>5624.4824549243085</v>
      </c>
      <c r="P242" s="1">
        <f t="shared" si="74"/>
        <v>5624.4824549243085</v>
      </c>
      <c r="Q242" s="1">
        <f t="shared" si="74"/>
        <v>8948.8611386552438</v>
      </c>
      <c r="R242" s="1">
        <f t="shared" si="74"/>
        <v>11823.901126377576</v>
      </c>
      <c r="S242" s="1">
        <f t="shared" si="74"/>
        <v>13784.980014192928</v>
      </c>
      <c r="T242" s="1">
        <f t="shared" si="74"/>
        <v>16015.777610335055</v>
      </c>
      <c r="U242" s="1">
        <f t="shared" si="74"/>
        <v>17613.453602509169</v>
      </c>
      <c r="V242" s="1">
        <f t="shared" si="74"/>
        <v>19498.898245900509</v>
      </c>
      <c r="W242" s="1">
        <f t="shared" si="74"/>
        <v>20889.640697709765</v>
      </c>
      <c r="X242" s="1">
        <f t="shared" si="74"/>
        <v>22124.581446876073</v>
      </c>
    </row>
    <row r="243" spans="1:24">
      <c r="A243" s="5"/>
      <c r="B243" s="5"/>
      <c r="C243" s="10"/>
      <c r="D243" s="11"/>
      <c r="E243" s="7" t="str">
        <f xml:space="preserve">  Time!E$14</f>
        <v>CPI Index Forecast (Calculations)</v>
      </c>
      <c r="F243" s="2">
        <f xml:space="preserve">  Time!F$14</f>
        <v>0</v>
      </c>
      <c r="G243" s="2">
        <f xml:space="preserve">  Time!G$14</f>
        <v>0</v>
      </c>
      <c r="L243" s="2">
        <f xml:space="preserve">  Time!L$14</f>
        <v>1682.2905458462872</v>
      </c>
      <c r="M243" s="2">
        <f xml:space="preserve">  Time!M$14</f>
        <v>0</v>
      </c>
      <c r="N243" s="2">
        <f xml:space="preserve">  Time!N$14</f>
        <v>138.153850729889</v>
      </c>
      <c r="O243" s="2">
        <f xml:space="preserve">  Time!O$14</f>
        <v>141.033957438817</v>
      </c>
      <c r="P243" s="2">
        <f xml:space="preserve">  Time!P$14</f>
        <v>143.83924602398201</v>
      </c>
      <c r="Q243" s="2">
        <f xml:space="preserve">  Time!Q$14</f>
        <v>146.71663933540901</v>
      </c>
      <c r="R243" s="2">
        <f xml:space="preserve">  Time!R$14</f>
        <v>149.65085336166601</v>
      </c>
      <c r="S243" s="2">
        <f xml:space="preserve">  Time!S$14</f>
        <v>152.64387042889933</v>
      </c>
      <c r="T243" s="2">
        <f xml:space="preserve">  Time!T$14</f>
        <v>155.69674783747732</v>
      </c>
      <c r="U243" s="2">
        <f xml:space="preserve">  Time!U$14</f>
        <v>158.81068279422686</v>
      </c>
      <c r="V243" s="2">
        <f xml:space="preserve">  Time!V$14</f>
        <v>161.9868964501114</v>
      </c>
      <c r="W243" s="2">
        <f xml:space="preserve">  Time!W$14</f>
        <v>165.22663437911362</v>
      </c>
      <c r="X243" s="2">
        <f xml:space="preserve">  Time!X$14</f>
        <v>168.5311670666959</v>
      </c>
    </row>
    <row r="244" spans="1:24">
      <c r="A244" s="17"/>
      <c r="B244" s="17"/>
      <c r="C244" s="28"/>
      <c r="D244" s="27"/>
      <c r="E244" s="16" t="s">
        <v>167</v>
      </c>
      <c r="F244" s="16"/>
      <c r="G244" s="16" t="s">
        <v>121</v>
      </c>
      <c r="L244" s="6">
        <f xml:space="preserve"> SUM( N244:X244 )</f>
        <v>167485.33465424523</v>
      </c>
      <c r="M244" s="16"/>
      <c r="N244" s="6">
        <f t="shared" ref="N244:X244" si="75" xml:space="preserve">  N242 * ( N243 / $F241 )</f>
        <v>0</v>
      </c>
      <c r="O244" s="6">
        <f t="shared" si="75"/>
        <v>5926.2178020679321</v>
      </c>
      <c r="P244" s="6">
        <f t="shared" si="75"/>
        <v>6044.0954498007841</v>
      </c>
      <c r="Q244" s="6">
        <f t="shared" si="75"/>
        <v>9808.8589522305101</v>
      </c>
      <c r="R244" s="6">
        <f t="shared" si="75"/>
        <v>13219.387614734782</v>
      </c>
      <c r="S244" s="6">
        <f t="shared" si="75"/>
        <v>15720.156314205695</v>
      </c>
      <c r="T244" s="6">
        <f t="shared" si="75"/>
        <v>18629.402277999492</v>
      </c>
      <c r="U244" s="6">
        <f t="shared" si="75"/>
        <v>20897.560084960576</v>
      </c>
      <c r="V244" s="6">
        <f t="shared" si="75"/>
        <v>23597.245322672759</v>
      </c>
      <c r="W244" s="6">
        <f t="shared" si="75"/>
        <v>25785.904897318094</v>
      </c>
      <c r="X244" s="6">
        <f t="shared" si="75"/>
        <v>27856.505938254599</v>
      </c>
    </row>
    <row r="247" spans="1:24">
      <c r="B247" s="23" t="s">
        <v>168</v>
      </c>
    </row>
    <row r="248" spans="1:24">
      <c r="A248" s="5"/>
      <c r="B248" s="5"/>
      <c r="C248" s="10"/>
      <c r="D248" s="11"/>
      <c r="E248" s="7" t="str">
        <f xml:space="preserve">  Inputs!E$35</f>
        <v>Passengers (PAX) per flight</v>
      </c>
      <c r="F248" s="2">
        <f xml:space="preserve">  Inputs!F$35</f>
        <v>130</v>
      </c>
      <c r="G248" s="7">
        <f xml:space="preserve">  Inputs!G$35</f>
        <v>0</v>
      </c>
      <c r="L248" s="3"/>
    </row>
    <row r="249" spans="1:24">
      <c r="E249" s="46" t="str">
        <f t="shared" ref="E249:X249" si="76" xml:space="preserve">  E$217</f>
        <v>DC per flight from 2026 real (RAB only)</v>
      </c>
      <c r="F249" s="1">
        <f t="shared" si="76"/>
        <v>0</v>
      </c>
      <c r="G249" s="1" t="str">
        <f t="shared" si="76"/>
        <v>£ real</v>
      </c>
      <c r="L249" s="1">
        <f t="shared" si="76"/>
        <v>52.40336668001742</v>
      </c>
      <c r="M249" s="1">
        <f t="shared" si="76"/>
        <v>0</v>
      </c>
      <c r="N249" s="1">
        <f t="shared" si="76"/>
        <v>0</v>
      </c>
      <c r="O249" s="1">
        <f t="shared" si="76"/>
        <v>2.2178558576199956</v>
      </c>
      <c r="P249" s="1">
        <f t="shared" si="76"/>
        <v>2.1902190245032354</v>
      </c>
      <c r="Q249" s="1">
        <f t="shared" si="76"/>
        <v>3.4339451798370084</v>
      </c>
      <c r="R249" s="1">
        <f t="shared" si="76"/>
        <v>4.4957798959610553</v>
      </c>
      <c r="S249" s="1">
        <f t="shared" si="76"/>
        <v>5.1803758039056476</v>
      </c>
      <c r="T249" s="1">
        <f t="shared" si="76"/>
        <v>5.9560348123224456</v>
      </c>
      <c r="U249" s="1">
        <f t="shared" si="76"/>
        <v>6.4755344126871943</v>
      </c>
      <c r="V249" s="1">
        <f t="shared" si="76"/>
        <v>7.0879310235916062</v>
      </c>
      <c r="W249" s="1">
        <f t="shared" si="76"/>
        <v>7.5061590721199298</v>
      </c>
      <c r="X249" s="1">
        <f t="shared" si="76"/>
        <v>7.8595315974692976</v>
      </c>
    </row>
    <row r="250" spans="1:24" s="127" customFormat="1">
      <c r="A250" s="17"/>
      <c r="B250" s="17"/>
      <c r="C250" s="28"/>
      <c r="D250" s="27"/>
      <c r="E250" s="16" t="s">
        <v>168</v>
      </c>
      <c r="F250" s="16"/>
      <c r="G250" s="16" t="s">
        <v>58</v>
      </c>
      <c r="H250"/>
      <c r="I250"/>
      <c r="J250"/>
      <c r="K250"/>
      <c r="L250" s="125">
        <f xml:space="preserve"> SUM( N250:X250 )</f>
        <v>0.40310282061551861</v>
      </c>
      <c r="M250" s="126"/>
      <c r="N250" s="125">
        <f t="shared" ref="N250:X250" si="77" xml:space="preserve">  N249 / $F248</f>
        <v>0</v>
      </c>
      <c r="O250" s="125">
        <f xml:space="preserve">  O249 / $F248</f>
        <v>1.7060429673999965E-2</v>
      </c>
      <c r="P250" s="125">
        <f t="shared" si="77"/>
        <v>1.6847838650024888E-2</v>
      </c>
      <c r="Q250" s="125">
        <f t="shared" si="77"/>
        <v>2.6414962921823142E-2</v>
      </c>
      <c r="R250" s="125">
        <f t="shared" si="77"/>
        <v>3.4582922276623504E-2</v>
      </c>
      <c r="S250" s="125">
        <f t="shared" si="77"/>
        <v>3.9849044645428058E-2</v>
      </c>
      <c r="T250" s="125">
        <f t="shared" si="77"/>
        <v>4.5815652402480353E-2</v>
      </c>
      <c r="U250" s="125">
        <f t="shared" si="77"/>
        <v>4.9811803174516882E-2</v>
      </c>
      <c r="V250" s="125">
        <f t="shared" si="77"/>
        <v>5.4522546335320048E-2</v>
      </c>
      <c r="W250" s="125">
        <f t="shared" si="77"/>
        <v>5.7739685170153307E-2</v>
      </c>
      <c r="X250" s="125">
        <f t="shared" si="77"/>
        <v>6.0457935365148444E-2</v>
      </c>
    </row>
    <row r="253" spans="1:24">
      <c r="B253" s="23" t="s">
        <v>169</v>
      </c>
    </row>
    <row r="254" spans="1:24">
      <c r="A254" s="5"/>
      <c r="B254" s="5"/>
      <c r="C254" s="10"/>
      <c r="D254" s="11"/>
      <c r="E254" s="7" t="str">
        <f xml:space="preserve">  Inputs!E$36</f>
        <v>UK en-route rate</v>
      </c>
      <c r="F254" s="4">
        <f xml:space="preserve">  Inputs!F$36</f>
        <v>75.2</v>
      </c>
      <c r="G254" s="7" t="str">
        <f xml:space="preserve">  Inputs!G$36</f>
        <v>£ real</v>
      </c>
      <c r="L254" s="1"/>
    </row>
    <row r="255" spans="1:24">
      <c r="E255" s="46" t="str">
        <f t="shared" ref="E255:X255" si="78" xml:space="preserve">  E$211</f>
        <v>DC per SU from 2026 real (RAB only)</v>
      </c>
      <c r="F255" s="1">
        <f t="shared" si="78"/>
        <v>0</v>
      </c>
      <c r="G255" s="1" t="str">
        <f t="shared" si="78"/>
        <v>£( 2024 prices)</v>
      </c>
      <c r="L255" s="1">
        <f t="shared" si="78"/>
        <v>10.240340908464701</v>
      </c>
      <c r="M255" s="1">
        <f t="shared" si="78"/>
        <v>0</v>
      </c>
      <c r="N255" s="1">
        <f t="shared" si="78"/>
        <v>0</v>
      </c>
      <c r="O255" s="1">
        <f t="shared" si="78"/>
        <v>0.44709717447729003</v>
      </c>
      <c r="P255" s="1">
        <f t="shared" si="78"/>
        <v>0.43879563542864009</v>
      </c>
      <c r="Q255" s="1">
        <f t="shared" si="78"/>
        <v>0.68405909942327192</v>
      </c>
      <c r="R255" s="1">
        <f t="shared" si="78"/>
        <v>0.89048811013537998</v>
      </c>
      <c r="S255" s="1">
        <f t="shared" si="78"/>
        <v>1.0205804408227532</v>
      </c>
      <c r="T255" s="1">
        <f t="shared" si="78"/>
        <v>1.167586032684629</v>
      </c>
      <c r="U255" s="1">
        <f t="shared" si="78"/>
        <v>1.2625226580538433</v>
      </c>
      <c r="V255" s="1">
        <f t="shared" si="78"/>
        <v>1.3742263898724723</v>
      </c>
      <c r="W255" s="1">
        <f t="shared" si="78"/>
        <v>1.4475532324655094</v>
      </c>
      <c r="X255" s="1">
        <f t="shared" si="78"/>
        <v>1.5074321351009112</v>
      </c>
    </row>
    <row r="256" spans="1:24">
      <c r="A256" s="17"/>
      <c r="B256" s="17"/>
      <c r="C256" s="28"/>
      <c r="D256" s="27"/>
      <c r="E256" s="16" t="s">
        <v>169</v>
      </c>
      <c r="F256" s="16"/>
      <c r="G256" s="16" t="s">
        <v>36</v>
      </c>
      <c r="L256" s="29"/>
      <c r="M256" s="16"/>
      <c r="N256" s="29">
        <f t="shared" ref="N256:X256" si="79" xml:space="preserve">  N255 / $F254</f>
        <v>0</v>
      </c>
      <c r="O256" s="29">
        <f t="shared" si="79"/>
        <v>5.9454411499639632E-3</v>
      </c>
      <c r="P256" s="29">
        <f t="shared" si="79"/>
        <v>5.8350483434659586E-3</v>
      </c>
      <c r="Q256" s="29">
        <f t="shared" si="79"/>
        <v>9.0965305774371261E-3</v>
      </c>
      <c r="R256" s="29">
        <f t="shared" si="79"/>
        <v>1.1841597209247073E-2</v>
      </c>
      <c r="S256" s="29">
        <f t="shared" si="79"/>
        <v>1.3571548415196186E-2</v>
      </c>
      <c r="T256" s="29">
        <f t="shared" si="79"/>
        <v>1.5526410009104109E-2</v>
      </c>
      <c r="U256" s="29">
        <f t="shared" si="79"/>
        <v>1.6788865133694725E-2</v>
      </c>
      <c r="V256" s="29">
        <f t="shared" si="79"/>
        <v>1.8274287099367983E-2</v>
      </c>
      <c r="W256" s="29">
        <f t="shared" si="79"/>
        <v>1.9249378091296666E-2</v>
      </c>
      <c r="X256" s="29">
        <f t="shared" si="79"/>
        <v>2.0045640094427011E-2</v>
      </c>
    </row>
    <row r="259" spans="1:24">
      <c r="B259" s="23" t="s">
        <v>170</v>
      </c>
    </row>
    <row r="260" spans="1:24">
      <c r="E260" s="46" t="str">
        <f t="shared" ref="E260:X260" si="80" xml:space="preserve">  E$223</f>
        <v>Determined Cost from 2026 Real (RAB only)</v>
      </c>
      <c r="F260" s="1">
        <f t="shared" si="80"/>
        <v>0</v>
      </c>
      <c r="G260" s="1" t="str">
        <f t="shared" si="80"/>
        <v>£'000 (2024 prices)</v>
      </c>
      <c r="L260" s="1">
        <f t="shared" si="80"/>
        <v>141949.05879240495</v>
      </c>
      <c r="M260" s="1">
        <f t="shared" si="80"/>
        <v>0</v>
      </c>
      <c r="N260" s="1">
        <f t="shared" si="80"/>
        <v>0</v>
      </c>
      <c r="O260" s="1">
        <f t="shared" si="80"/>
        <v>5624.4824549243085</v>
      </c>
      <c r="P260" s="1">
        <f t="shared" si="80"/>
        <v>5624.4824549243085</v>
      </c>
      <c r="Q260" s="1">
        <f t="shared" si="80"/>
        <v>8948.8611386552438</v>
      </c>
      <c r="R260" s="1">
        <f t="shared" si="80"/>
        <v>11823.901126377576</v>
      </c>
      <c r="S260" s="1">
        <f t="shared" si="80"/>
        <v>13784.980014192928</v>
      </c>
      <c r="T260" s="1">
        <f t="shared" si="80"/>
        <v>16015.777610335055</v>
      </c>
      <c r="U260" s="1">
        <f t="shared" si="80"/>
        <v>17613.453602509169</v>
      </c>
      <c r="V260" s="1">
        <f t="shared" si="80"/>
        <v>19498.898245900509</v>
      </c>
      <c r="W260" s="1">
        <f t="shared" si="80"/>
        <v>20889.640697709765</v>
      </c>
      <c r="X260" s="1">
        <f t="shared" si="80"/>
        <v>22124.581446876073</v>
      </c>
    </row>
    <row r="261" spans="1:24">
      <c r="E261" s="46" t="str">
        <f t="shared" ref="E261:X261" si="81" xml:space="preserve">  E$365</f>
        <v>Forecast Closing RAB for 10-year period only</v>
      </c>
      <c r="F261" s="1">
        <f t="shared" si="81"/>
        <v>88348.842127089461</v>
      </c>
      <c r="G261" s="1" t="str">
        <f t="shared" si="81"/>
        <v>£'000 (2024 prices)</v>
      </c>
      <c r="L261" s="1">
        <f t="shared" si="81"/>
        <v>88348.842127089461</v>
      </c>
      <c r="M261" s="1">
        <f t="shared" si="81"/>
        <v>0</v>
      </c>
      <c r="N261" s="1">
        <f t="shared" si="81"/>
        <v>0</v>
      </c>
      <c r="O261" s="1">
        <f t="shared" si="81"/>
        <v>0</v>
      </c>
      <c r="P261" s="1">
        <f t="shared" si="81"/>
        <v>0</v>
      </c>
      <c r="Q261" s="1">
        <f t="shared" si="81"/>
        <v>0</v>
      </c>
      <c r="R261" s="1">
        <f t="shared" si="81"/>
        <v>0</v>
      </c>
      <c r="S261" s="1">
        <f t="shared" si="81"/>
        <v>0</v>
      </c>
      <c r="T261" s="1">
        <f t="shared" si="81"/>
        <v>0</v>
      </c>
      <c r="U261" s="1">
        <f t="shared" si="81"/>
        <v>0</v>
      </c>
      <c r="V261" s="1">
        <f t="shared" si="81"/>
        <v>0</v>
      </c>
      <c r="W261" s="1">
        <f t="shared" si="81"/>
        <v>0</v>
      </c>
      <c r="X261" s="1">
        <f t="shared" si="81"/>
        <v>88348.842127089461</v>
      </c>
    </row>
    <row r="262" spans="1:24">
      <c r="E262" s="46" t="s">
        <v>170</v>
      </c>
      <c r="L262" s="3">
        <f xml:space="preserve"> SUM( N262:X262 )</f>
        <v>230297.90091949439</v>
      </c>
      <c r="N262" s="3">
        <f t="shared" ref="N262:X262" si="82" xml:space="preserve">  N260 + N261</f>
        <v>0</v>
      </c>
      <c r="O262" s="3">
        <f t="shared" si="82"/>
        <v>5624.4824549243085</v>
      </c>
      <c r="P262" s="3">
        <f t="shared" si="82"/>
        <v>5624.4824549243085</v>
      </c>
      <c r="Q262" s="3">
        <f t="shared" si="82"/>
        <v>8948.8611386552438</v>
      </c>
      <c r="R262" s="3">
        <f t="shared" si="82"/>
        <v>11823.901126377576</v>
      </c>
      <c r="S262" s="3">
        <f t="shared" si="82"/>
        <v>13784.980014192928</v>
      </c>
      <c r="T262" s="3">
        <f t="shared" si="82"/>
        <v>16015.777610335055</v>
      </c>
      <c r="U262" s="3">
        <f t="shared" si="82"/>
        <v>17613.453602509169</v>
      </c>
      <c r="V262" s="3">
        <f t="shared" si="82"/>
        <v>19498.898245900509</v>
      </c>
      <c r="W262" s="3">
        <f t="shared" si="82"/>
        <v>20889.640697709765</v>
      </c>
      <c r="X262" s="3">
        <f t="shared" si="82"/>
        <v>110473.42357396553</v>
      </c>
    </row>
    <row r="265" spans="1:24">
      <c r="B265" s="23" t="s">
        <v>171</v>
      </c>
    </row>
    <row r="266" spans="1:24">
      <c r="A266" s="5"/>
      <c r="B266" s="5"/>
      <c r="C266" s="10"/>
      <c r="D266" s="11"/>
      <c r="E266" s="7" t="str">
        <f xml:space="preserve">  Inputs!E$70</f>
        <v>Real Social Time Preference Rate</v>
      </c>
      <c r="F266" s="35">
        <f xml:space="preserve">  Inputs!F$70</f>
        <v>3.5000000000000003E-2</v>
      </c>
      <c r="G266" s="7" t="str">
        <f xml:space="preserve">  Inputs!G$70</f>
        <v>%</v>
      </c>
      <c r="L266" s="53"/>
    </row>
    <row r="267" spans="1:24">
      <c r="E267" s="46" t="str">
        <f t="shared" ref="E267:X267" si="83" xml:space="preserve">  E$262</f>
        <v>Determined Cost from 2026 Real (RAB only +Terminal Value)</v>
      </c>
      <c r="F267" s="3">
        <f t="shared" si="83"/>
        <v>0</v>
      </c>
      <c r="G267" s="3">
        <f t="shared" si="83"/>
        <v>0</v>
      </c>
      <c r="L267" s="3">
        <f t="shared" si="83"/>
        <v>230297.90091949439</v>
      </c>
      <c r="M267" s="3">
        <f t="shared" si="83"/>
        <v>0</v>
      </c>
      <c r="N267" s="3">
        <f t="shared" si="83"/>
        <v>0</v>
      </c>
      <c r="O267" s="3">
        <f t="shared" si="83"/>
        <v>5624.4824549243085</v>
      </c>
      <c r="P267" s="3">
        <f t="shared" si="83"/>
        <v>5624.4824549243085</v>
      </c>
      <c r="Q267" s="3">
        <f t="shared" si="83"/>
        <v>8948.8611386552438</v>
      </c>
      <c r="R267" s="3">
        <f t="shared" si="83"/>
        <v>11823.901126377576</v>
      </c>
      <c r="S267" s="3">
        <f t="shared" si="83"/>
        <v>13784.980014192928</v>
      </c>
      <c r="T267" s="3">
        <f t="shared" si="83"/>
        <v>16015.777610335055</v>
      </c>
      <c r="U267" s="3">
        <f t="shared" si="83"/>
        <v>17613.453602509169</v>
      </c>
      <c r="V267" s="3">
        <f t="shared" si="83"/>
        <v>19498.898245900509</v>
      </c>
      <c r="W267" s="3">
        <f t="shared" si="83"/>
        <v>20889.640697709765</v>
      </c>
      <c r="X267" s="3">
        <f t="shared" si="83"/>
        <v>110473.42357396553</v>
      </c>
    </row>
    <row r="268" spans="1:24">
      <c r="A268" s="17"/>
      <c r="B268" s="17"/>
      <c r="C268" s="28"/>
      <c r="D268" s="27"/>
      <c r="E268" s="16" t="s">
        <v>171</v>
      </c>
      <c r="F268" s="6">
        <f xml:space="preserve">  NPV( $F266, $N267:$X267 )</f>
        <v>170039.80803190827</v>
      </c>
      <c r="G268" s="16" t="s">
        <v>58</v>
      </c>
      <c r="L268" s="1"/>
    </row>
    <row r="271" spans="1:24">
      <c r="A271" s="23" t="s">
        <v>172</v>
      </c>
    </row>
    <row r="273" spans="1:24" outlineLevel="1">
      <c r="A273" s="23" t="s">
        <v>173</v>
      </c>
    </row>
    <row r="274" spans="1:24" outlineLevel="1"/>
    <row r="275" spans="1:24" outlineLevel="2">
      <c r="B275" s="23" t="s">
        <v>174</v>
      </c>
    </row>
    <row r="276" spans="1:24" outlineLevel="2">
      <c r="A276" s="5"/>
      <c r="B276" s="5"/>
      <c r="C276" s="10"/>
      <c r="D276" s="11"/>
      <c r="E276" s="7" t="str">
        <f xml:space="preserve">  Time!E$33</f>
        <v>Period number</v>
      </c>
      <c r="F276" s="8">
        <f xml:space="preserve">  Time!F$33</f>
        <v>0</v>
      </c>
      <c r="G276" s="8" t="str">
        <f xml:space="preserve">  Time!G$33</f>
        <v>Counter</v>
      </c>
      <c r="L276" s="8">
        <f xml:space="preserve">  Time!L$33</f>
        <v>0</v>
      </c>
      <c r="M276" s="8">
        <f xml:space="preserve">  Time!M$33</f>
        <v>0</v>
      </c>
      <c r="N276" s="8">
        <f xml:space="preserve">  Time!N$33</f>
        <v>1</v>
      </c>
      <c r="O276" s="8">
        <f xml:space="preserve">  Time!O$33</f>
        <v>2</v>
      </c>
      <c r="P276" s="8">
        <f xml:space="preserve">  Time!P$33</f>
        <v>3</v>
      </c>
      <c r="Q276" s="8">
        <f xml:space="preserve">  Time!Q$33</f>
        <v>4</v>
      </c>
      <c r="R276" s="8">
        <f xml:space="preserve">  Time!R$33</f>
        <v>5</v>
      </c>
      <c r="S276" s="8">
        <f xml:space="preserve">  Time!S$33</f>
        <v>6</v>
      </c>
      <c r="T276" s="8">
        <f xml:space="preserve">  Time!T$33</f>
        <v>7</v>
      </c>
      <c r="U276" s="8">
        <f xml:space="preserve">  Time!U$33</f>
        <v>8</v>
      </c>
      <c r="V276" s="8">
        <f xml:space="preserve">  Time!V$33</f>
        <v>9</v>
      </c>
      <c r="W276" s="8">
        <f xml:space="preserve">  Time!W$33</f>
        <v>10</v>
      </c>
      <c r="X276" s="8">
        <f xml:space="preserve">  Time!X$33</f>
        <v>11</v>
      </c>
    </row>
    <row r="277" spans="1:24" outlineLevel="2">
      <c r="E277" s="46" t="str">
        <f t="shared" ref="E277:X277" si="84" xml:space="preserve">  E$223</f>
        <v>Determined Cost from 2026 Real (RAB only)</v>
      </c>
      <c r="F277" s="1">
        <f t="shared" si="84"/>
        <v>0</v>
      </c>
      <c r="G277" s="1" t="str">
        <f t="shared" si="84"/>
        <v>£'000 (2024 prices)</v>
      </c>
      <c r="L277" s="1">
        <f t="shared" si="84"/>
        <v>141949.05879240495</v>
      </c>
      <c r="M277" s="1">
        <f t="shared" si="84"/>
        <v>0</v>
      </c>
      <c r="N277" s="1">
        <f t="shared" si="84"/>
        <v>0</v>
      </c>
      <c r="O277" s="1">
        <f t="shared" si="84"/>
        <v>5624.4824549243085</v>
      </c>
      <c r="P277" s="1">
        <f t="shared" si="84"/>
        <v>5624.4824549243085</v>
      </c>
      <c r="Q277" s="1">
        <f t="shared" si="84"/>
        <v>8948.8611386552438</v>
      </c>
      <c r="R277" s="1">
        <f t="shared" si="84"/>
        <v>11823.901126377576</v>
      </c>
      <c r="S277" s="1">
        <f t="shared" si="84"/>
        <v>13784.980014192928</v>
      </c>
      <c r="T277" s="1">
        <f t="shared" si="84"/>
        <v>16015.777610335055</v>
      </c>
      <c r="U277" s="1">
        <f t="shared" si="84"/>
        <v>17613.453602509169</v>
      </c>
      <c r="V277" s="1">
        <f t="shared" si="84"/>
        <v>19498.898245900509</v>
      </c>
      <c r="W277" s="1">
        <f t="shared" si="84"/>
        <v>20889.640697709765</v>
      </c>
      <c r="X277" s="1">
        <f t="shared" si="84"/>
        <v>22124.581446876073</v>
      </c>
    </row>
    <row r="278" spans="1:24" outlineLevel="2">
      <c r="E278" s="46" t="s">
        <v>174</v>
      </c>
      <c r="G278" s="46" t="s">
        <v>62</v>
      </c>
      <c r="L278" s="1">
        <f xml:space="preserve"> SUM( N278:X278 )</f>
        <v>11248.964909848617</v>
      </c>
      <c r="N278" s="1">
        <f t="shared" ref="N278:X278" si="85" xml:space="preserve">  IF( OR( N276 = 2, N276 = 3 ), N277, 0 )</f>
        <v>0</v>
      </c>
      <c r="O278" s="1">
        <f t="shared" si="85"/>
        <v>5624.4824549243085</v>
      </c>
      <c r="P278" s="1">
        <f t="shared" si="85"/>
        <v>5624.4824549243085</v>
      </c>
      <c r="Q278" s="1">
        <f t="shared" si="85"/>
        <v>0</v>
      </c>
      <c r="R278" s="1">
        <f t="shared" si="85"/>
        <v>0</v>
      </c>
      <c r="S278" s="1">
        <f t="shared" si="85"/>
        <v>0</v>
      </c>
      <c r="T278" s="1">
        <f t="shared" si="85"/>
        <v>0</v>
      </c>
      <c r="U278" s="1">
        <f t="shared" si="85"/>
        <v>0</v>
      </c>
      <c r="V278" s="1">
        <f t="shared" si="85"/>
        <v>0</v>
      </c>
      <c r="W278" s="1">
        <f t="shared" si="85"/>
        <v>0</v>
      </c>
      <c r="X278" s="1">
        <f t="shared" si="85"/>
        <v>0</v>
      </c>
    </row>
    <row r="279" spans="1:24" outlineLevel="2"/>
    <row r="280" spans="1:24" outlineLevel="2"/>
    <row r="281" spans="1:24" outlineLevel="2">
      <c r="B281" s="23" t="s">
        <v>175</v>
      </c>
    </row>
    <row r="282" spans="1:24" outlineLevel="2">
      <c r="E282" s="46" t="str">
        <f t="shared" ref="E282:X282" si="86" xml:space="preserve">  E$278</f>
        <v>Determined Cost from 2026 real (NR23 period)</v>
      </c>
      <c r="F282" s="1">
        <f t="shared" si="86"/>
        <v>0</v>
      </c>
      <c r="G282" s="1" t="str">
        <f t="shared" si="86"/>
        <v>£'000 (2024 prices)</v>
      </c>
      <c r="L282" s="1">
        <f t="shared" si="86"/>
        <v>11248.964909848617</v>
      </c>
      <c r="M282" s="1">
        <f t="shared" si="86"/>
        <v>0</v>
      </c>
      <c r="N282" s="1">
        <f t="shared" si="86"/>
        <v>0</v>
      </c>
      <c r="O282" s="1">
        <f t="shared" si="86"/>
        <v>5624.4824549243085</v>
      </c>
      <c r="P282" s="1">
        <f t="shared" si="86"/>
        <v>5624.4824549243085</v>
      </c>
      <c r="Q282" s="1">
        <f t="shared" si="86"/>
        <v>0</v>
      </c>
      <c r="R282" s="1">
        <f t="shared" si="86"/>
        <v>0</v>
      </c>
      <c r="S282" s="1">
        <f t="shared" si="86"/>
        <v>0</v>
      </c>
      <c r="T282" s="1">
        <f t="shared" si="86"/>
        <v>0</v>
      </c>
      <c r="U282" s="1">
        <f t="shared" si="86"/>
        <v>0</v>
      </c>
      <c r="V282" s="1">
        <f t="shared" si="86"/>
        <v>0</v>
      </c>
      <c r="W282" s="1">
        <f t="shared" si="86"/>
        <v>0</v>
      </c>
      <c r="X282" s="1">
        <f t="shared" si="86"/>
        <v>0</v>
      </c>
    </row>
    <row r="283" spans="1:24" outlineLevel="2">
      <c r="A283" s="17"/>
      <c r="B283" s="17"/>
      <c r="C283" s="28"/>
      <c r="D283" s="27"/>
      <c r="E283" s="16" t="s">
        <v>175</v>
      </c>
      <c r="F283" s="6">
        <f xml:space="preserve">  SUM( $N282:$X282 )</f>
        <v>11248.964909848617</v>
      </c>
      <c r="G283" s="16" t="s">
        <v>62</v>
      </c>
      <c r="L283" s="1"/>
    </row>
    <row r="284" spans="1:24" outlineLevel="2"/>
    <row r="285" spans="1:24" outlineLevel="2"/>
    <row r="286" spans="1:24" outlineLevel="2">
      <c r="B286" s="23" t="s">
        <v>176</v>
      </c>
    </row>
    <row r="287" spans="1:24" outlineLevel="2">
      <c r="E287" s="46" t="str">
        <f t="shared" ref="E287:G287" si="87" xml:space="preserve">  E$283</f>
        <v>Total Determined Cost from 2026 real (NR23 period)</v>
      </c>
      <c r="F287" s="1">
        <f t="shared" si="87"/>
        <v>11248.964909848617</v>
      </c>
      <c r="G287" s="46" t="str">
        <f t="shared" si="87"/>
        <v>£'000 (2024 prices)</v>
      </c>
      <c r="L287" s="1"/>
    </row>
    <row r="288" spans="1:24" outlineLevel="2">
      <c r="A288" s="5"/>
      <c r="B288" s="5"/>
      <c r="C288" s="10"/>
      <c r="D288" s="11"/>
      <c r="E288" s="7" t="str">
        <f xml:space="preserve">  'Scenarios Chosen'!E$48</f>
        <v>Total Service Units forecast for NR23 period (2026 start)</v>
      </c>
      <c r="F288" s="2">
        <f xml:space="preserve">  'Scenarios Chosen'!F$48</f>
        <v>25398</v>
      </c>
      <c r="G288" s="7" t="str">
        <f xml:space="preserve">  'Scenarios Chosen'!G$48</f>
        <v>000</v>
      </c>
      <c r="L288" s="3"/>
    </row>
    <row r="289" spans="1:12" outlineLevel="2">
      <c r="A289" s="17"/>
      <c r="B289" s="17"/>
      <c r="C289" s="28"/>
      <c r="D289" s="27"/>
      <c r="E289" s="16" t="s">
        <v>176</v>
      </c>
      <c r="F289" s="49">
        <f xml:space="preserve">  $F287 / $F288</f>
        <v>0.44290750885300484</v>
      </c>
      <c r="G289" s="16" t="s">
        <v>58</v>
      </c>
      <c r="L289" s="32"/>
    </row>
    <row r="290" spans="1:12" outlineLevel="2"/>
    <row r="291" spans="1:12" outlineLevel="2"/>
    <row r="292" spans="1:12" outlineLevel="2">
      <c r="B292" s="23" t="s">
        <v>177</v>
      </c>
    </row>
    <row r="293" spans="1:12" outlineLevel="2">
      <c r="E293" s="46" t="str">
        <f t="shared" ref="E293:G293" si="88" xml:space="preserve">  E$283</f>
        <v>Total Determined Cost from 2026 real (NR23 period)</v>
      </c>
      <c r="F293" s="1">
        <f t="shared" si="88"/>
        <v>11248.964909848617</v>
      </c>
      <c r="G293" s="46" t="str">
        <f t="shared" si="88"/>
        <v>£'000 (2024 prices)</v>
      </c>
      <c r="L293" s="1"/>
    </row>
    <row r="294" spans="1:12" outlineLevel="2">
      <c r="A294" s="5"/>
      <c r="B294" s="5"/>
      <c r="C294" s="10"/>
      <c r="D294" s="11"/>
      <c r="E294" s="7" t="str">
        <f xml:space="preserve">  'Scenarios Chosen'!E$59</f>
        <v>Total Flights forecast for NR23 period (2026 start)</v>
      </c>
      <c r="F294" s="2">
        <f xml:space="preserve">  'Scenarios Chosen'!F$59</f>
        <v>5104</v>
      </c>
      <c r="G294" s="7" t="str">
        <f xml:space="preserve">  'Scenarios Chosen'!G$59</f>
        <v>000</v>
      </c>
      <c r="L294" s="3"/>
    </row>
    <row r="295" spans="1:12" outlineLevel="2">
      <c r="A295" s="17"/>
      <c r="B295" s="17"/>
      <c r="C295" s="28"/>
      <c r="D295" s="27"/>
      <c r="E295" s="16" t="s">
        <v>177</v>
      </c>
      <c r="F295" s="49">
        <f xml:space="preserve">  $F293 / $F294</f>
        <v>2.2039508052211239</v>
      </c>
      <c r="G295" s="16" t="s">
        <v>140</v>
      </c>
      <c r="L295" s="32"/>
    </row>
    <row r="296" spans="1:12" outlineLevel="2"/>
    <row r="297" spans="1:12" outlineLevel="2"/>
    <row r="298" spans="1:12" outlineLevel="2">
      <c r="B298" s="23" t="s">
        <v>178</v>
      </c>
    </row>
    <row r="299" spans="1:12" outlineLevel="2">
      <c r="E299" s="46" t="str">
        <f t="shared" ref="E299:G299" si="89" xml:space="preserve">  E$295</f>
        <v>Charge per flight (RAB only) real for NR23 period</v>
      </c>
      <c r="F299" s="32">
        <f t="shared" si="89"/>
        <v>2.2039508052211239</v>
      </c>
      <c r="G299" s="46" t="str">
        <f t="shared" si="89"/>
        <v>£( 2024 prices)</v>
      </c>
      <c r="L299" s="32"/>
    </row>
    <row r="300" spans="1:12" outlineLevel="2">
      <c r="A300" s="5"/>
      <c r="B300" s="5"/>
      <c r="C300" s="10"/>
      <c r="D300" s="11"/>
      <c r="E300" s="7" t="str">
        <f xml:space="preserve">  Inputs!E$35</f>
        <v>Passengers (PAX) per flight</v>
      </c>
      <c r="F300" s="2">
        <f xml:space="preserve">  Inputs!F$35</f>
        <v>130</v>
      </c>
      <c r="G300" s="7">
        <f xml:space="preserve">  Inputs!G$35</f>
        <v>0</v>
      </c>
      <c r="L300" s="3"/>
    </row>
    <row r="301" spans="1:12" outlineLevel="2">
      <c r="A301" s="17"/>
      <c r="B301" s="17"/>
      <c r="C301" s="28"/>
      <c r="D301" s="27"/>
      <c r="E301" s="16" t="s">
        <v>178</v>
      </c>
      <c r="F301" s="49">
        <f xml:space="preserve">  $F299 / $F300</f>
        <v>1.6953467732470185E-2</v>
      </c>
      <c r="G301" s="16" t="s">
        <v>140</v>
      </c>
      <c r="L301" s="32"/>
    </row>
    <row r="302" spans="1:12" outlineLevel="2"/>
    <row r="303" spans="1:12" outlineLevel="2"/>
    <row r="304" spans="1:12" outlineLevel="2">
      <c r="B304" s="23" t="s">
        <v>179</v>
      </c>
    </row>
    <row r="305" spans="1:24" outlineLevel="2">
      <c r="E305" s="46" t="str">
        <f t="shared" ref="E305:G305" si="90" xml:space="preserve">  E$289</f>
        <v>Charge per service unit (RAB only) real for NR23 period</v>
      </c>
      <c r="F305" s="32">
        <f t="shared" si="90"/>
        <v>0.44290750885300484</v>
      </c>
      <c r="G305" s="46" t="str">
        <f t="shared" si="90"/>
        <v>£ real</v>
      </c>
      <c r="L305" s="32"/>
    </row>
    <row r="306" spans="1:24" outlineLevel="2">
      <c r="A306" s="5"/>
      <c r="B306" s="5"/>
      <c r="C306" s="10"/>
      <c r="D306" s="11"/>
      <c r="E306" s="7" t="str">
        <f xml:space="preserve">  Inputs!E$36</f>
        <v>UK en-route rate</v>
      </c>
      <c r="F306" s="4">
        <f xml:space="preserve">  Inputs!F$36</f>
        <v>75.2</v>
      </c>
      <c r="G306" s="7" t="str">
        <f xml:space="preserve">  Inputs!G$36</f>
        <v>£ real</v>
      </c>
      <c r="L306" s="1"/>
    </row>
    <row r="307" spans="1:24" outlineLevel="2">
      <c r="A307" s="17"/>
      <c r="B307" s="17"/>
      <c r="C307" s="28"/>
      <c r="D307" s="27"/>
      <c r="E307" s="16" t="s">
        <v>179</v>
      </c>
      <c r="F307" s="78">
        <f xml:space="preserve">  $F305 / $F306</f>
        <v>5.8897275113431492E-3</v>
      </c>
      <c r="G307" s="16" t="s">
        <v>36</v>
      </c>
      <c r="L307" s="39"/>
    </row>
    <row r="308" spans="1:24" outlineLevel="2"/>
    <row r="309" spans="1:24" outlineLevel="2"/>
    <row r="310" spans="1:24" outlineLevel="2">
      <c r="B310" s="23" t="s">
        <v>180</v>
      </c>
    </row>
    <row r="311" spans="1:24" outlineLevel="2">
      <c r="E311" s="46" t="str">
        <f t="shared" ref="E311:X311" si="91" xml:space="preserve">  E$29</f>
        <v>RAB</v>
      </c>
      <c r="F311" s="1">
        <f t="shared" si="91"/>
        <v>0</v>
      </c>
      <c r="G311" s="1" t="str">
        <f t="shared" si="91"/>
        <v>£'000 nominal</v>
      </c>
      <c r="L311" s="1">
        <f t="shared" si="91"/>
        <v>0</v>
      </c>
      <c r="M311" s="1">
        <f t="shared" si="91"/>
        <v>0</v>
      </c>
      <c r="N311" s="1">
        <f t="shared" si="91"/>
        <v>9217.4332759155332</v>
      </c>
      <c r="O311" s="1">
        <f t="shared" si="91"/>
        <v>25742.743502106423</v>
      </c>
      <c r="P311" s="1">
        <f t="shared" si="91"/>
        <v>46363.801206140881</v>
      </c>
      <c r="Q311" s="1">
        <f t="shared" si="91"/>
        <v>60163.206360215372</v>
      </c>
      <c r="R311" s="1">
        <f t="shared" si="91"/>
        <v>78366.552628022066</v>
      </c>
      <c r="S311" s="1">
        <f t="shared" si="91"/>
        <v>87040.365987311365</v>
      </c>
      <c r="T311" s="1">
        <f t="shared" si="91"/>
        <v>98754.403132208565</v>
      </c>
      <c r="U311" s="1">
        <f t="shared" si="91"/>
        <v>103283.74539611445</v>
      </c>
      <c r="V311" s="1">
        <f t="shared" si="91"/>
        <v>110613.5119377732</v>
      </c>
      <c r="W311" s="1">
        <f t="shared" si="91"/>
        <v>111731.56912101313</v>
      </c>
      <c r="X311" s="1">
        <f t="shared" si="91"/>
        <v>111237.81262305799</v>
      </c>
    </row>
    <row r="312" spans="1:24" outlineLevel="2">
      <c r="A312" s="5"/>
      <c r="B312" s="5"/>
      <c r="C312" s="10"/>
      <c r="D312" s="11"/>
      <c r="E312" s="7" t="str">
        <f xml:space="preserve">  Time!E$94</f>
        <v>NR23 specific date flag</v>
      </c>
      <c r="F312" s="2">
        <f xml:space="preserve">  Time!F$94</f>
        <v>0</v>
      </c>
      <c r="G312" s="2" t="str">
        <f xml:space="preserve">  Time!G$94</f>
        <v>flag</v>
      </c>
      <c r="L312" s="2">
        <f xml:space="preserve">  Time!L$94</f>
        <v>1</v>
      </c>
      <c r="M312" s="2">
        <f xml:space="preserve">  Time!M$94</f>
        <v>0</v>
      </c>
      <c r="N312" s="2">
        <f xml:space="preserve">  Time!N$94</f>
        <v>0</v>
      </c>
      <c r="O312" s="2">
        <f xml:space="preserve">  Time!O$94</f>
        <v>0</v>
      </c>
      <c r="P312" s="2">
        <f xml:space="preserve">  Time!P$94</f>
        <v>1</v>
      </c>
      <c r="Q312" s="2">
        <f xml:space="preserve">  Time!Q$94</f>
        <v>0</v>
      </c>
      <c r="R312" s="2">
        <f xml:space="preserve">  Time!R$94</f>
        <v>0</v>
      </c>
      <c r="S312" s="2">
        <f xml:space="preserve">  Time!S$94</f>
        <v>0</v>
      </c>
      <c r="T312" s="2">
        <f xml:space="preserve">  Time!T$94</f>
        <v>0</v>
      </c>
      <c r="U312" s="2">
        <f xml:space="preserve">  Time!U$94</f>
        <v>0</v>
      </c>
      <c r="V312" s="2">
        <f xml:space="preserve">  Time!V$94</f>
        <v>0</v>
      </c>
      <c r="W312" s="2">
        <f xml:space="preserve">  Time!W$94</f>
        <v>0</v>
      </c>
      <c r="X312" s="2">
        <f xml:space="preserve">  Time!X$94</f>
        <v>0</v>
      </c>
    </row>
    <row r="313" spans="1:24" outlineLevel="2">
      <c r="E313" s="46" t="s">
        <v>180</v>
      </c>
      <c r="G313" s="46" t="s">
        <v>62</v>
      </c>
      <c r="L313" s="1">
        <f xml:space="preserve"> SUM( N313:X313 )</f>
        <v>46363.801206140881</v>
      </c>
      <c r="N313" s="1">
        <f t="shared" ref="N313:X313" si="92" xml:space="preserve">  IF( N312, N311, 0 )</f>
        <v>0</v>
      </c>
      <c r="O313" s="1">
        <f t="shared" si="92"/>
        <v>0</v>
      </c>
      <c r="P313" s="1">
        <f t="shared" si="92"/>
        <v>46363.801206140881</v>
      </c>
      <c r="Q313" s="1">
        <f t="shared" si="92"/>
        <v>0</v>
      </c>
      <c r="R313" s="1">
        <f t="shared" si="92"/>
        <v>0</v>
      </c>
      <c r="S313" s="1">
        <f t="shared" si="92"/>
        <v>0</v>
      </c>
      <c r="T313" s="1">
        <f t="shared" si="92"/>
        <v>0</v>
      </c>
      <c r="U313" s="1">
        <f t="shared" si="92"/>
        <v>0</v>
      </c>
      <c r="V313" s="1">
        <f t="shared" si="92"/>
        <v>0</v>
      </c>
      <c r="W313" s="1">
        <f t="shared" si="92"/>
        <v>0</v>
      </c>
      <c r="X313" s="1">
        <f t="shared" si="92"/>
        <v>0</v>
      </c>
    </row>
    <row r="314" spans="1:24" outlineLevel="2"/>
    <row r="315" spans="1:24" outlineLevel="2"/>
    <row r="316" spans="1:24" outlineLevel="2">
      <c r="B316" s="23" t="s">
        <v>181</v>
      </c>
    </row>
    <row r="317" spans="1:24" outlineLevel="2">
      <c r="A317" s="5"/>
      <c r="B317" s="5"/>
      <c r="C317" s="10"/>
      <c r="D317" s="11"/>
      <c r="E317" s="7" t="str">
        <f xml:space="preserve">  Inputs!E$32</f>
        <v>CPI Index 2024</v>
      </c>
      <c r="F317" s="2">
        <f xml:space="preserve">  Inputs!F$32</f>
        <v>133.85316666666699</v>
      </c>
      <c r="G317" s="7" t="str">
        <f xml:space="preserve">  Inputs!G$32</f>
        <v>index (2015=100)</v>
      </c>
      <c r="L317" s="3"/>
    </row>
    <row r="318" spans="1:24" outlineLevel="2">
      <c r="E318" s="46" t="str">
        <f t="shared" ref="E318:X318" si="93" xml:space="preserve">  E$313</f>
        <v>Forecast RAB for NR23 period</v>
      </c>
      <c r="F318" s="1">
        <f t="shared" si="93"/>
        <v>0</v>
      </c>
      <c r="G318" s="1" t="str">
        <f t="shared" si="93"/>
        <v>£'000 (2024 prices)</v>
      </c>
      <c r="L318" s="1">
        <f t="shared" si="93"/>
        <v>46363.801206140881</v>
      </c>
      <c r="M318" s="1">
        <f t="shared" si="93"/>
        <v>0</v>
      </c>
      <c r="N318" s="1">
        <f t="shared" si="93"/>
        <v>0</v>
      </c>
      <c r="O318" s="1">
        <f t="shared" si="93"/>
        <v>0</v>
      </c>
      <c r="P318" s="1">
        <f t="shared" si="93"/>
        <v>46363.801206140881</v>
      </c>
      <c r="Q318" s="1">
        <f t="shared" si="93"/>
        <v>0</v>
      </c>
      <c r="R318" s="1">
        <f t="shared" si="93"/>
        <v>0</v>
      </c>
      <c r="S318" s="1">
        <f t="shared" si="93"/>
        <v>0</v>
      </c>
      <c r="T318" s="1">
        <f t="shared" si="93"/>
        <v>0</v>
      </c>
      <c r="U318" s="1">
        <f t="shared" si="93"/>
        <v>0</v>
      </c>
      <c r="V318" s="1">
        <f t="shared" si="93"/>
        <v>0</v>
      </c>
      <c r="W318" s="1">
        <f t="shared" si="93"/>
        <v>0</v>
      </c>
      <c r="X318" s="1">
        <f t="shared" si="93"/>
        <v>0</v>
      </c>
    </row>
    <row r="319" spans="1:24" outlineLevel="2">
      <c r="A319" s="5"/>
      <c r="B319" s="5"/>
      <c r="C319" s="10"/>
      <c r="D319" s="11"/>
      <c r="E319" s="7" t="str">
        <f xml:space="preserve">  Time!E$14</f>
        <v>CPI Index Forecast (Calculations)</v>
      </c>
      <c r="F319" s="2">
        <f xml:space="preserve">  Time!F$14</f>
        <v>0</v>
      </c>
      <c r="G319" s="2">
        <f xml:space="preserve">  Time!G$14</f>
        <v>0</v>
      </c>
      <c r="L319" s="2">
        <f xml:space="preserve">  Time!L$14</f>
        <v>1682.2905458462872</v>
      </c>
      <c r="M319" s="2">
        <f xml:space="preserve">  Time!M$14</f>
        <v>0</v>
      </c>
      <c r="N319" s="2">
        <f xml:space="preserve">  Time!N$14</f>
        <v>138.153850729889</v>
      </c>
      <c r="O319" s="2">
        <f xml:space="preserve">  Time!O$14</f>
        <v>141.033957438817</v>
      </c>
      <c r="P319" s="2">
        <f xml:space="preserve">  Time!P$14</f>
        <v>143.83924602398201</v>
      </c>
      <c r="Q319" s="2">
        <f xml:space="preserve">  Time!Q$14</f>
        <v>146.71663933540901</v>
      </c>
      <c r="R319" s="2">
        <f xml:space="preserve">  Time!R$14</f>
        <v>149.65085336166601</v>
      </c>
      <c r="S319" s="2">
        <f xml:space="preserve">  Time!S$14</f>
        <v>152.64387042889933</v>
      </c>
      <c r="T319" s="2">
        <f xml:space="preserve">  Time!T$14</f>
        <v>155.69674783747732</v>
      </c>
      <c r="U319" s="2">
        <f xml:space="preserve">  Time!U$14</f>
        <v>158.81068279422686</v>
      </c>
      <c r="V319" s="2">
        <f xml:space="preserve">  Time!V$14</f>
        <v>161.9868964501114</v>
      </c>
      <c r="W319" s="2">
        <f xml:space="preserve">  Time!W$14</f>
        <v>165.22663437911362</v>
      </c>
      <c r="X319" s="2">
        <f xml:space="preserve">  Time!X$14</f>
        <v>168.5311670666959</v>
      </c>
    </row>
    <row r="320" spans="1:24" outlineLevel="2">
      <c r="A320" s="17"/>
      <c r="B320" s="17"/>
      <c r="C320" s="28"/>
      <c r="D320" s="27"/>
      <c r="E320" s="16" t="s">
        <v>181</v>
      </c>
      <c r="F320" s="16">
        <f>L320</f>
        <v>43144.981510199854</v>
      </c>
      <c r="G320" s="16" t="s">
        <v>62</v>
      </c>
      <c r="L320" s="6">
        <f xml:space="preserve"> SUM( N320:X320 )</f>
        <v>43144.981510199854</v>
      </c>
      <c r="M320" s="16"/>
      <c r="N320" s="6">
        <f t="shared" ref="N320:X320" si="94" xml:space="preserve">  SUM( $N318:$X318 * $F317 / N319 )</f>
        <v>0</v>
      </c>
      <c r="O320" s="6">
        <f t="shared" si="94"/>
        <v>0</v>
      </c>
      <c r="P320" s="6">
        <f t="shared" si="94"/>
        <v>43144.981510199854</v>
      </c>
      <c r="Q320" s="6">
        <f t="shared" si="94"/>
        <v>0</v>
      </c>
      <c r="R320" s="6">
        <f t="shared" si="94"/>
        <v>0</v>
      </c>
      <c r="S320" s="6">
        <f t="shared" si="94"/>
        <v>0</v>
      </c>
      <c r="T320" s="6">
        <f t="shared" si="94"/>
        <v>0</v>
      </c>
      <c r="U320" s="6">
        <f t="shared" si="94"/>
        <v>0</v>
      </c>
      <c r="V320" s="6">
        <f t="shared" si="94"/>
        <v>0</v>
      </c>
      <c r="W320" s="6">
        <f t="shared" si="94"/>
        <v>0</v>
      </c>
      <c r="X320" s="6">
        <f t="shared" si="94"/>
        <v>0</v>
      </c>
    </row>
    <row r="321" spans="1:24" outlineLevel="2"/>
    <row r="322" spans="1:24" outlineLevel="1"/>
    <row r="323" spans="1:24" outlineLevel="1">
      <c r="A323" s="23" t="s">
        <v>182</v>
      </c>
    </row>
    <row r="324" spans="1:24" outlineLevel="1"/>
    <row r="325" spans="1:24" outlineLevel="2">
      <c r="B325" s="23" t="s">
        <v>183</v>
      </c>
    </row>
    <row r="326" spans="1:24" outlineLevel="2">
      <c r="A326" s="5"/>
      <c r="B326" s="5"/>
      <c r="C326" s="10"/>
      <c r="D326" s="11"/>
      <c r="E326" s="7" t="str">
        <f xml:space="preserve">  Time!E$33</f>
        <v>Period number</v>
      </c>
      <c r="F326" s="8">
        <f xml:space="preserve">  Time!F$33</f>
        <v>0</v>
      </c>
      <c r="G326" s="8" t="str">
        <f xml:space="preserve">  Time!G$33</f>
        <v>Counter</v>
      </c>
      <c r="L326" s="8">
        <f xml:space="preserve">  Time!L$33</f>
        <v>0</v>
      </c>
      <c r="M326" s="8">
        <f xml:space="preserve">  Time!M$33</f>
        <v>0</v>
      </c>
      <c r="N326" s="8">
        <f xml:space="preserve">  Time!N$33</f>
        <v>1</v>
      </c>
      <c r="O326" s="8">
        <f xml:space="preserve">  Time!O$33</f>
        <v>2</v>
      </c>
      <c r="P326" s="8">
        <f xml:space="preserve">  Time!P$33</f>
        <v>3</v>
      </c>
      <c r="Q326" s="8">
        <f xml:space="preserve">  Time!Q$33</f>
        <v>4</v>
      </c>
      <c r="R326" s="8">
        <f xml:space="preserve">  Time!R$33</f>
        <v>5</v>
      </c>
      <c r="S326" s="8">
        <f xml:space="preserve">  Time!S$33</f>
        <v>6</v>
      </c>
      <c r="T326" s="8">
        <f xml:space="preserve">  Time!T$33</f>
        <v>7</v>
      </c>
      <c r="U326" s="8">
        <f xml:space="preserve">  Time!U$33</f>
        <v>8</v>
      </c>
      <c r="V326" s="8">
        <f xml:space="preserve">  Time!V$33</f>
        <v>9</v>
      </c>
      <c r="W326" s="8">
        <f xml:space="preserve">  Time!W$33</f>
        <v>10</v>
      </c>
      <c r="X326" s="8">
        <f xml:space="preserve">  Time!X$33</f>
        <v>11</v>
      </c>
    </row>
    <row r="327" spans="1:24" outlineLevel="2">
      <c r="E327" s="46" t="str">
        <f t="shared" ref="E327:X327" si="95" xml:space="preserve">  E$223</f>
        <v>Determined Cost from 2026 Real (RAB only)</v>
      </c>
      <c r="F327" s="1">
        <f t="shared" si="95"/>
        <v>0</v>
      </c>
      <c r="G327" s="1" t="str">
        <f t="shared" si="95"/>
        <v>£'000 (2024 prices)</v>
      </c>
      <c r="L327" s="1">
        <f t="shared" si="95"/>
        <v>141949.05879240495</v>
      </c>
      <c r="M327" s="1">
        <f t="shared" si="95"/>
        <v>0</v>
      </c>
      <c r="N327" s="1">
        <f t="shared" si="95"/>
        <v>0</v>
      </c>
      <c r="O327" s="1">
        <f t="shared" si="95"/>
        <v>5624.4824549243085</v>
      </c>
      <c r="P327" s="1">
        <f t="shared" si="95"/>
        <v>5624.4824549243085</v>
      </c>
      <c r="Q327" s="1">
        <f t="shared" si="95"/>
        <v>8948.8611386552438</v>
      </c>
      <c r="R327" s="1">
        <f t="shared" si="95"/>
        <v>11823.901126377576</v>
      </c>
      <c r="S327" s="1">
        <f t="shared" si="95"/>
        <v>13784.980014192928</v>
      </c>
      <c r="T327" s="1">
        <f t="shared" si="95"/>
        <v>16015.777610335055</v>
      </c>
      <c r="U327" s="1">
        <f t="shared" si="95"/>
        <v>17613.453602509169</v>
      </c>
      <c r="V327" s="1">
        <f t="shared" si="95"/>
        <v>19498.898245900509</v>
      </c>
      <c r="W327" s="1">
        <f t="shared" si="95"/>
        <v>20889.640697709765</v>
      </c>
      <c r="X327" s="1">
        <f t="shared" si="95"/>
        <v>22124.581446876073</v>
      </c>
    </row>
    <row r="328" spans="1:24" outlineLevel="2">
      <c r="E328" s="46" t="s">
        <v>183</v>
      </c>
      <c r="G328" s="46" t="s">
        <v>62</v>
      </c>
      <c r="L328" s="1">
        <f xml:space="preserve"> SUM( N328:X328 )</f>
        <v>130886.76806896691</v>
      </c>
      <c r="N328" s="1">
        <f t="shared" ref="N328:X328" si="96" xml:space="preserve">  IF( N326 = 11, N327 / 2, N327 )</f>
        <v>0</v>
      </c>
      <c r="O328" s="1">
        <f t="shared" si="96"/>
        <v>5624.4824549243085</v>
      </c>
      <c r="P328" s="1">
        <f t="shared" si="96"/>
        <v>5624.4824549243085</v>
      </c>
      <c r="Q328" s="1">
        <f t="shared" si="96"/>
        <v>8948.8611386552438</v>
      </c>
      <c r="R328" s="1">
        <f t="shared" si="96"/>
        <v>11823.901126377576</v>
      </c>
      <c r="S328" s="1">
        <f t="shared" si="96"/>
        <v>13784.980014192928</v>
      </c>
      <c r="T328" s="1">
        <f t="shared" si="96"/>
        <v>16015.777610335055</v>
      </c>
      <c r="U328" s="1">
        <f t="shared" si="96"/>
        <v>17613.453602509169</v>
      </c>
      <c r="V328" s="1">
        <f t="shared" si="96"/>
        <v>19498.898245900509</v>
      </c>
      <c r="W328" s="1">
        <f t="shared" si="96"/>
        <v>20889.640697709765</v>
      </c>
      <c r="X328" s="1">
        <f t="shared" si="96"/>
        <v>11062.290723438036</v>
      </c>
    </row>
    <row r="329" spans="1:24" outlineLevel="2"/>
    <row r="330" spans="1:24" outlineLevel="2"/>
    <row r="331" spans="1:24" outlineLevel="2">
      <c r="B331" s="23" t="s">
        <v>184</v>
      </c>
    </row>
    <row r="332" spans="1:24" outlineLevel="2">
      <c r="E332" s="46" t="str">
        <f t="shared" ref="E332:X332" si="97" xml:space="preserve">  E$328</f>
        <v>Determined Cost from 2026 real (10-year period)</v>
      </c>
      <c r="F332" s="1">
        <f t="shared" si="97"/>
        <v>0</v>
      </c>
      <c r="G332" s="1" t="str">
        <f t="shared" si="97"/>
        <v>£'000 (2024 prices)</v>
      </c>
      <c r="L332" s="1">
        <f t="shared" si="97"/>
        <v>130886.76806896691</v>
      </c>
      <c r="M332" s="1">
        <f t="shared" si="97"/>
        <v>0</v>
      </c>
      <c r="N332" s="1">
        <f t="shared" si="97"/>
        <v>0</v>
      </c>
      <c r="O332" s="1">
        <f t="shared" si="97"/>
        <v>5624.4824549243085</v>
      </c>
      <c r="P332" s="1">
        <f t="shared" si="97"/>
        <v>5624.4824549243085</v>
      </c>
      <c r="Q332" s="1">
        <f t="shared" si="97"/>
        <v>8948.8611386552438</v>
      </c>
      <c r="R332" s="1">
        <f t="shared" si="97"/>
        <v>11823.901126377576</v>
      </c>
      <c r="S332" s="1">
        <f t="shared" si="97"/>
        <v>13784.980014192928</v>
      </c>
      <c r="T332" s="1">
        <f t="shared" si="97"/>
        <v>16015.777610335055</v>
      </c>
      <c r="U332" s="1">
        <f t="shared" si="97"/>
        <v>17613.453602509169</v>
      </c>
      <c r="V332" s="1">
        <f t="shared" si="97"/>
        <v>19498.898245900509</v>
      </c>
      <c r="W332" s="1">
        <f t="shared" si="97"/>
        <v>20889.640697709765</v>
      </c>
      <c r="X332" s="1">
        <f t="shared" si="97"/>
        <v>11062.290723438036</v>
      </c>
    </row>
    <row r="333" spans="1:24" outlineLevel="2">
      <c r="A333" s="17"/>
      <c r="B333" s="17"/>
      <c r="C333" s="28"/>
      <c r="D333" s="27"/>
      <c r="E333" s="16" t="s">
        <v>184</v>
      </c>
      <c r="F333" s="6">
        <f xml:space="preserve">  SUM( $N332:$X332 )</f>
        <v>130886.76806896691</v>
      </c>
      <c r="G333" s="16" t="s">
        <v>62</v>
      </c>
      <c r="L333" s="1"/>
    </row>
    <row r="334" spans="1:24" outlineLevel="2"/>
    <row r="335" spans="1:24" outlineLevel="2"/>
    <row r="336" spans="1:24" outlineLevel="2">
      <c r="B336" s="23" t="s">
        <v>185</v>
      </c>
    </row>
    <row r="337" spans="1:12" outlineLevel="2">
      <c r="E337" s="46" t="str">
        <f t="shared" ref="E337:G337" si="98" xml:space="preserve">  E$333</f>
        <v>Total Determined Cost from 2026 real (10-year period)</v>
      </c>
      <c r="F337" s="1">
        <f t="shared" si="98"/>
        <v>130886.76806896691</v>
      </c>
      <c r="G337" s="46" t="str">
        <f t="shared" si="98"/>
        <v>£'000 (2024 prices)</v>
      </c>
      <c r="L337" s="1"/>
    </row>
    <row r="338" spans="1:12" outlineLevel="2">
      <c r="A338" s="5"/>
      <c r="B338" s="5"/>
      <c r="C338" s="10"/>
      <c r="D338" s="11"/>
      <c r="E338" s="7" t="str">
        <f xml:space="preserve">  'Scenarios Chosen'!E$84</f>
        <v>Total Service Units forecast for 10-year period (2026 start)</v>
      </c>
      <c r="F338" s="2">
        <f xml:space="preserve">  'Scenarios Chosen'!F$84</f>
        <v>136230</v>
      </c>
      <c r="G338" s="7" t="str">
        <f xml:space="preserve">  'Scenarios Chosen'!G$84</f>
        <v>000</v>
      </c>
      <c r="L338" s="3"/>
    </row>
    <row r="339" spans="1:12" outlineLevel="2">
      <c r="A339" s="17"/>
      <c r="B339" s="17"/>
      <c r="C339" s="28"/>
      <c r="D339" s="27"/>
      <c r="E339" s="16" t="s">
        <v>185</v>
      </c>
      <c r="F339" s="49">
        <f xml:space="preserve">  $F337 / $F338</f>
        <v>0.9607778614766711</v>
      </c>
      <c r="G339" s="16" t="s">
        <v>140</v>
      </c>
      <c r="L339" s="32"/>
    </row>
    <row r="340" spans="1:12" outlineLevel="2"/>
    <row r="341" spans="1:12" outlineLevel="2"/>
    <row r="342" spans="1:12" outlineLevel="2">
      <c r="B342" s="23" t="s">
        <v>186</v>
      </c>
    </row>
    <row r="343" spans="1:12" outlineLevel="2">
      <c r="E343" s="46" t="str">
        <f t="shared" ref="E343:G343" si="99" xml:space="preserve">  E$333</f>
        <v>Total Determined Cost from 2026 real (10-year period)</v>
      </c>
      <c r="F343" s="1">
        <f t="shared" si="99"/>
        <v>130886.76806896691</v>
      </c>
      <c r="G343" s="46" t="str">
        <f t="shared" si="99"/>
        <v>£'000 (2024 prices)</v>
      </c>
      <c r="L343" s="1"/>
    </row>
    <row r="344" spans="1:12" outlineLevel="2">
      <c r="A344" s="5"/>
      <c r="B344" s="5"/>
      <c r="C344" s="10"/>
      <c r="D344" s="11"/>
      <c r="E344" s="7" t="str">
        <f xml:space="preserve">  'Scenarios Chosen'!E$95</f>
        <v>Total Flights forecast for 10-year period (2026 start)</v>
      </c>
      <c r="F344" s="2">
        <f xml:space="preserve">  'Scenarios Chosen'!F$95</f>
        <v>26759</v>
      </c>
      <c r="G344" s="7" t="str">
        <f xml:space="preserve">  'Scenarios Chosen'!G$95</f>
        <v>000</v>
      </c>
      <c r="L344" s="3"/>
    </row>
    <row r="345" spans="1:12" outlineLevel="2">
      <c r="A345" s="17"/>
      <c r="B345" s="17"/>
      <c r="C345" s="28"/>
      <c r="D345" s="27"/>
      <c r="E345" s="16" t="s">
        <v>186</v>
      </c>
      <c r="F345" s="49">
        <f xml:space="preserve">  $F343 / $F344</f>
        <v>4.8913176153431337</v>
      </c>
      <c r="G345" s="16" t="s">
        <v>140</v>
      </c>
      <c r="L345" s="32"/>
    </row>
    <row r="346" spans="1:12" outlineLevel="2"/>
    <row r="347" spans="1:12" outlineLevel="2"/>
    <row r="348" spans="1:12" outlineLevel="2">
      <c r="B348" s="23" t="s">
        <v>187</v>
      </c>
    </row>
    <row r="349" spans="1:12" outlineLevel="2">
      <c r="E349" s="46" t="str">
        <f t="shared" ref="E349:G349" si="100" xml:space="preserve">  E$345</f>
        <v>Charge per flight (RAB only) real for 10-year period</v>
      </c>
      <c r="F349" s="32">
        <f t="shared" si="100"/>
        <v>4.8913176153431337</v>
      </c>
      <c r="G349" s="46" t="str">
        <f t="shared" si="100"/>
        <v>£( 2024 prices)</v>
      </c>
      <c r="L349" s="32"/>
    </row>
    <row r="350" spans="1:12" outlineLevel="2">
      <c r="A350" s="5"/>
      <c r="B350" s="5"/>
      <c r="C350" s="10"/>
      <c r="D350" s="11"/>
      <c r="E350" s="7" t="str">
        <f xml:space="preserve">  Inputs!E$35</f>
        <v>Passengers (PAX) per flight</v>
      </c>
      <c r="F350" s="2">
        <f xml:space="preserve">  Inputs!F$35</f>
        <v>130</v>
      </c>
      <c r="G350" s="7">
        <f xml:space="preserve">  Inputs!G$35</f>
        <v>0</v>
      </c>
      <c r="L350" s="3"/>
    </row>
    <row r="351" spans="1:12" outlineLevel="2">
      <c r="A351" s="17"/>
      <c r="B351" s="17"/>
      <c r="C351" s="28"/>
      <c r="D351" s="27"/>
      <c r="E351" s="16" t="s">
        <v>187</v>
      </c>
      <c r="F351" s="49">
        <f xml:space="preserve">  $F349 / $F350</f>
        <v>3.7625520118024107E-2</v>
      </c>
      <c r="G351" s="16" t="s">
        <v>140</v>
      </c>
      <c r="L351" s="32"/>
    </row>
    <row r="352" spans="1:12" outlineLevel="2"/>
    <row r="353" spans="1:24" outlineLevel="2"/>
    <row r="354" spans="1:24" outlineLevel="2">
      <c r="B354" s="23" t="s">
        <v>188</v>
      </c>
    </row>
    <row r="355" spans="1:24" outlineLevel="2">
      <c r="E355" s="46" t="str">
        <f t="shared" ref="E355:G355" si="101" xml:space="preserve">  E$339</f>
        <v>Charge per service unit (RAB only) real for 10-year period</v>
      </c>
      <c r="F355" s="32">
        <f t="shared" si="101"/>
        <v>0.9607778614766711</v>
      </c>
      <c r="G355" s="46" t="str">
        <f t="shared" si="101"/>
        <v>£( 2024 prices)</v>
      </c>
      <c r="L355" s="32"/>
    </row>
    <row r="356" spans="1:24" outlineLevel="2">
      <c r="A356" s="5"/>
      <c r="B356" s="5"/>
      <c r="C356" s="10"/>
      <c r="D356" s="11"/>
      <c r="E356" s="7" t="str">
        <f xml:space="preserve">  Inputs!E$36</f>
        <v>UK en-route rate</v>
      </c>
      <c r="F356" s="4">
        <f xml:space="preserve">  Inputs!F$36</f>
        <v>75.2</v>
      </c>
      <c r="G356" s="7" t="str">
        <f xml:space="preserve">  Inputs!G$36</f>
        <v>£ real</v>
      </c>
      <c r="L356" s="1"/>
    </row>
    <row r="357" spans="1:24" outlineLevel="2">
      <c r="A357" s="17"/>
      <c r="B357" s="17"/>
      <c r="C357" s="28"/>
      <c r="D357" s="27"/>
      <c r="E357" s="16" t="s">
        <v>188</v>
      </c>
      <c r="F357" s="78">
        <f xml:space="preserve">  $F355 / $F356</f>
        <v>1.2776301349423817E-2</v>
      </c>
      <c r="G357" s="16" t="s">
        <v>36</v>
      </c>
      <c r="L357" s="39"/>
    </row>
    <row r="358" spans="1:24" outlineLevel="2"/>
    <row r="359" spans="1:24" outlineLevel="2"/>
    <row r="360" spans="1:24" outlineLevel="2">
      <c r="B360" s="23" t="s">
        <v>189</v>
      </c>
    </row>
    <row r="361" spans="1:24" outlineLevel="2">
      <c r="A361" s="5"/>
      <c r="B361" s="5"/>
      <c r="C361" s="10"/>
      <c r="D361" s="11"/>
      <c r="E361" s="7" t="str">
        <f xml:space="preserve">  Inputs!E$32</f>
        <v>CPI Index 2024</v>
      </c>
      <c r="F361" s="2">
        <f xml:space="preserve">  Inputs!F$32</f>
        <v>133.85316666666699</v>
      </c>
      <c r="G361" s="7" t="str">
        <f xml:space="preserve">  Inputs!G$32</f>
        <v>index (2015=100)</v>
      </c>
      <c r="L361" s="3"/>
    </row>
    <row r="362" spans="1:24" outlineLevel="2">
      <c r="E362" s="46" t="str">
        <f t="shared" ref="E362:X362" si="102" xml:space="preserve">  E$29</f>
        <v>RAB</v>
      </c>
      <c r="F362" s="1">
        <f t="shared" si="102"/>
        <v>0</v>
      </c>
      <c r="G362" s="1" t="str">
        <f t="shared" si="102"/>
        <v>£'000 nominal</v>
      </c>
      <c r="L362" s="1">
        <f t="shared" si="102"/>
        <v>0</v>
      </c>
      <c r="M362" s="1">
        <f t="shared" si="102"/>
        <v>0</v>
      </c>
      <c r="N362" s="1">
        <f t="shared" si="102"/>
        <v>9217.4332759155332</v>
      </c>
      <c r="O362" s="1">
        <f t="shared" si="102"/>
        <v>25742.743502106423</v>
      </c>
      <c r="P362" s="1">
        <f t="shared" si="102"/>
        <v>46363.801206140881</v>
      </c>
      <c r="Q362" s="1">
        <f t="shared" si="102"/>
        <v>60163.206360215372</v>
      </c>
      <c r="R362" s="1">
        <f t="shared" si="102"/>
        <v>78366.552628022066</v>
      </c>
      <c r="S362" s="1">
        <f t="shared" si="102"/>
        <v>87040.365987311365</v>
      </c>
      <c r="T362" s="1">
        <f t="shared" si="102"/>
        <v>98754.403132208565</v>
      </c>
      <c r="U362" s="1">
        <f t="shared" si="102"/>
        <v>103283.74539611445</v>
      </c>
      <c r="V362" s="1">
        <f t="shared" si="102"/>
        <v>110613.5119377732</v>
      </c>
      <c r="W362" s="1">
        <f t="shared" si="102"/>
        <v>111731.56912101313</v>
      </c>
      <c r="X362" s="1">
        <f t="shared" si="102"/>
        <v>111237.81262305799</v>
      </c>
    </row>
    <row r="363" spans="1:24" outlineLevel="2">
      <c r="A363" s="5"/>
      <c r="B363" s="5"/>
      <c r="C363" s="10"/>
      <c r="D363" s="11"/>
      <c r="E363" s="7" t="str">
        <f xml:space="preserve">  Time!E$14</f>
        <v>CPI Index Forecast (Calculations)</v>
      </c>
      <c r="F363" s="2">
        <f xml:space="preserve">  Time!F$14</f>
        <v>0</v>
      </c>
      <c r="G363" s="2">
        <f xml:space="preserve">  Time!G$14</f>
        <v>0</v>
      </c>
      <c r="L363" s="2">
        <f xml:space="preserve">  Time!L$14</f>
        <v>1682.2905458462872</v>
      </c>
      <c r="M363" s="2">
        <f xml:space="preserve">  Time!M$14</f>
        <v>0</v>
      </c>
      <c r="N363" s="2">
        <f xml:space="preserve">  Time!N$14</f>
        <v>138.153850729889</v>
      </c>
      <c r="O363" s="2">
        <f xml:space="preserve">  Time!O$14</f>
        <v>141.033957438817</v>
      </c>
      <c r="P363" s="2">
        <f xml:space="preserve">  Time!P$14</f>
        <v>143.83924602398201</v>
      </c>
      <c r="Q363" s="2">
        <f xml:space="preserve">  Time!Q$14</f>
        <v>146.71663933540901</v>
      </c>
      <c r="R363" s="2">
        <f xml:space="preserve">  Time!R$14</f>
        <v>149.65085336166601</v>
      </c>
      <c r="S363" s="2">
        <f xml:space="preserve">  Time!S$14</f>
        <v>152.64387042889933</v>
      </c>
      <c r="T363" s="2">
        <f xml:space="preserve">  Time!T$14</f>
        <v>155.69674783747732</v>
      </c>
      <c r="U363" s="2">
        <f xml:space="preserve">  Time!U$14</f>
        <v>158.81068279422686</v>
      </c>
      <c r="V363" s="2">
        <f xml:space="preserve">  Time!V$14</f>
        <v>161.9868964501114</v>
      </c>
      <c r="W363" s="2">
        <f xml:space="preserve">  Time!W$14</f>
        <v>165.22663437911362</v>
      </c>
      <c r="X363" s="2">
        <f xml:space="preserve">  Time!X$14</f>
        <v>168.5311670666959</v>
      </c>
    </row>
    <row r="364" spans="1:24" outlineLevel="2">
      <c r="A364" s="5"/>
      <c r="B364" s="5"/>
      <c r="C364" s="10"/>
      <c r="D364" s="11"/>
      <c r="E364" s="7" t="str">
        <f xml:space="preserve">  Time!E$85</f>
        <v>NR33 (Closing RAB end date) flag</v>
      </c>
      <c r="F364" s="2">
        <f xml:space="preserve">  Time!F$85</f>
        <v>0</v>
      </c>
      <c r="G364" s="2" t="str">
        <f xml:space="preserve">  Time!G$85</f>
        <v>flag</v>
      </c>
      <c r="L364" s="2">
        <f xml:space="preserve">  Time!L$85</f>
        <v>1</v>
      </c>
      <c r="M364" s="2">
        <f xml:space="preserve">  Time!M$85</f>
        <v>0</v>
      </c>
      <c r="N364" s="2">
        <f xml:space="preserve">  Time!N$85</f>
        <v>0</v>
      </c>
      <c r="O364" s="2">
        <f xml:space="preserve">  Time!O$85</f>
        <v>0</v>
      </c>
      <c r="P364" s="2">
        <f xml:space="preserve">  Time!P$85</f>
        <v>0</v>
      </c>
      <c r="Q364" s="2">
        <f xml:space="preserve">  Time!Q$85</f>
        <v>0</v>
      </c>
      <c r="R364" s="2">
        <f xml:space="preserve">  Time!R$85</f>
        <v>0</v>
      </c>
      <c r="S364" s="2">
        <f xml:space="preserve">  Time!S$85</f>
        <v>0</v>
      </c>
      <c r="T364" s="2">
        <f xml:space="preserve">  Time!T$85</f>
        <v>0</v>
      </c>
      <c r="U364" s="2">
        <f xml:space="preserve">  Time!U$85</f>
        <v>0</v>
      </c>
      <c r="V364" s="2">
        <f xml:space="preserve">  Time!V$85</f>
        <v>0</v>
      </c>
      <c r="W364" s="2">
        <f xml:space="preserve">  Time!W$85</f>
        <v>0</v>
      </c>
      <c r="X364" s="2">
        <f xml:space="preserve">  Time!X$85</f>
        <v>1</v>
      </c>
    </row>
    <row r="365" spans="1:24" outlineLevel="2">
      <c r="E365" s="46" t="s">
        <v>189</v>
      </c>
      <c r="F365" s="46">
        <f>L365</f>
        <v>88348.842127089461</v>
      </c>
      <c r="G365" s="46" t="s">
        <v>62</v>
      </c>
      <c r="L365" s="1">
        <f xml:space="preserve"> SUM( N365:X365 )</f>
        <v>88348.842127089461</v>
      </c>
      <c r="N365" s="1">
        <f t="shared" ref="N365:X365" si="103" xml:space="preserve">  IF( N364, N362 * $F361 / N363, 0 )</f>
        <v>0</v>
      </c>
      <c r="O365" s="1">
        <f t="shared" si="103"/>
        <v>0</v>
      </c>
      <c r="P365" s="1">
        <f t="shared" si="103"/>
        <v>0</v>
      </c>
      <c r="Q365" s="1">
        <f t="shared" si="103"/>
        <v>0</v>
      </c>
      <c r="R365" s="1">
        <f t="shared" si="103"/>
        <v>0</v>
      </c>
      <c r="S365" s="1">
        <f t="shared" si="103"/>
        <v>0</v>
      </c>
      <c r="T365" s="1">
        <f t="shared" si="103"/>
        <v>0</v>
      </c>
      <c r="U365" s="1">
        <f t="shared" si="103"/>
        <v>0</v>
      </c>
      <c r="V365" s="1">
        <f t="shared" si="103"/>
        <v>0</v>
      </c>
      <c r="W365" s="1">
        <f t="shared" si="103"/>
        <v>0</v>
      </c>
      <c r="X365" s="1">
        <f t="shared" si="103"/>
        <v>88348.842127089461</v>
      </c>
    </row>
    <row r="366" spans="1:24" outlineLevel="2"/>
    <row r="369" spans="1:1">
      <c r="A369" s="23" t="s">
        <v>100</v>
      </c>
    </row>
  </sheetData>
  <printOptions headings="1"/>
  <pageMargins left="0.74803149606299213" right="0.74803149606299213" top="0.98425196850393704" bottom="0.98425196850393704" header="0.51181102362204722" footer="0.51181102362204722"/>
  <pageSetup paperSize="9" scale="49" orientation="landscape" blackAndWhite="1"/>
  <headerFooter>
    <oddHeader>&amp;LPROJECT [XXX]&amp;C&amp;"Calibri"&amp;8&amp;K000000 OFFICIAL - Public. This information has been cleared for unrestricted distribution. &amp;1#_x000D_&amp;"Tahomai"&amp;8&amp;K000000&amp;"Tahomai"&amp;8&amp;K000000&amp;"Tahomai"&amp;8&amp;K000000Sheet:&amp;A&amp;RSTRICTLY CONFIDENTIAL</oddHeader>
    <oddFooter>&amp;L&amp;F ( Printed on &amp;D at &amp;T )&amp;C_x000D_&amp;1#&amp;"Calibri"&amp;8&amp;K000000 OFFICIAL - Public&amp;RPage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X187"/>
  <sheetViews>
    <sheetView defaultGridColor="0" colorId="22" zoomScale="80" workbookViewId="0">
      <pane xSplit="13" ySplit="5" topLeftCell="N6" activePane="bottomRight" state="frozen"/>
      <selection pane="topRight" activeCell="J6" sqref="J6"/>
      <selection pane="bottomLeft" activeCell="J6" sqref="J6"/>
      <selection pane="bottomRight"/>
    </sheetView>
  </sheetViews>
  <sheetFormatPr defaultColWidth="0" defaultRowHeight="13" outlineLevelRow="2"/>
  <cols>
    <col min="1" max="2" width="1.44140625" style="23" customWidth="1"/>
    <col min="3" max="3" width="1.44140625" style="51" customWidth="1"/>
    <col min="4" max="4" width="1.44140625" style="75" customWidth="1"/>
    <col min="5" max="5" width="71.44140625" style="46" customWidth="1"/>
    <col min="6" max="6" width="16.33203125" style="46" customWidth="1"/>
    <col min="7" max="7" width="23.44140625" style="46" customWidth="1"/>
    <col min="8" max="11" width="15.109375" customWidth="1"/>
    <col min="12" max="12" width="15.109375" style="46" customWidth="1"/>
    <col min="13" max="13" width="3.44140625" style="46" customWidth="1"/>
    <col min="14" max="14" width="15.109375" style="46" customWidth="1"/>
    <col min="15" max="15" width="12.109375" style="46" bestFit="1" customWidth="1"/>
    <col min="16" max="24" width="15.109375" style="46" customWidth="1"/>
    <col min="25" max="25" width="15.109375" style="46" hidden="1" customWidth="1"/>
    <col min="26" max="16384" width="15.109375" style="46" hidden="1"/>
  </cols>
  <sheetData>
    <row r="1" spans="1:24" s="55" customFormat="1" ht="25">
      <c r="A1" s="50" t="str">
        <f ca="1" xml:space="preserve"> RIGHT(CELL("filename", A1), LEN(CELL("filename", A1)) - SEARCH("]", CELL("filename", A1)))</f>
        <v>Cost+ Operating Margin</v>
      </c>
      <c r="B1" s="66"/>
      <c r="C1" s="70"/>
      <c r="D1" s="76"/>
      <c r="F1" s="57" t="str">
        <f>HYPERLINK("#Contents!A1","Go to contents")</f>
        <v>Go to contents</v>
      </c>
      <c r="H1" s="89"/>
      <c r="I1" s="89"/>
      <c r="J1" s="89"/>
      <c r="K1" s="89"/>
      <c r="N1" s="43"/>
      <c r="P1" s="43"/>
    </row>
    <row r="2" spans="1:24" s="9" customFormat="1">
      <c r="A2" s="48"/>
      <c r="B2" s="48"/>
      <c r="C2" s="71"/>
      <c r="D2" s="68"/>
      <c r="E2" s="15" t="s">
        <v>10</v>
      </c>
      <c r="F2" s="37"/>
      <c r="G2" s="37"/>
      <c r="H2" s="37"/>
      <c r="I2" s="37"/>
      <c r="J2" s="37"/>
      <c r="K2" s="37"/>
      <c r="L2" s="37"/>
      <c r="M2" s="37"/>
      <c r="N2" s="9">
        <f xml:space="preserve"> Time!N$29</f>
        <v>46022</v>
      </c>
      <c r="O2" s="9">
        <f xml:space="preserve"> Time!O$29</f>
        <v>46387</v>
      </c>
      <c r="P2" s="9">
        <f xml:space="preserve"> Time!P$29</f>
        <v>46752</v>
      </c>
      <c r="Q2" s="9">
        <f xml:space="preserve"> Time!Q$29</f>
        <v>47118</v>
      </c>
      <c r="R2" s="9">
        <f xml:space="preserve"> Time!R$29</f>
        <v>47483</v>
      </c>
      <c r="S2" s="9">
        <f xml:space="preserve"> Time!S$29</f>
        <v>47848</v>
      </c>
      <c r="T2" s="9">
        <f xml:space="preserve"> Time!T$29</f>
        <v>48213</v>
      </c>
      <c r="U2" s="9">
        <f xml:space="preserve"> Time!U$29</f>
        <v>48579</v>
      </c>
      <c r="V2" s="9">
        <f xml:space="preserve"> Time!V$29</f>
        <v>48944</v>
      </c>
      <c r="W2" s="9">
        <f xml:space="preserve"> Time!W$29</f>
        <v>49309</v>
      </c>
      <c r="X2" s="9">
        <f xml:space="preserve"> Time!X$29</f>
        <v>49674</v>
      </c>
    </row>
    <row r="3" spans="1:24" s="40" customFormat="1">
      <c r="A3" s="48"/>
      <c r="B3" s="48"/>
      <c r="C3" s="71"/>
      <c r="D3" s="68"/>
      <c r="E3" s="31" t="s">
        <v>11</v>
      </c>
      <c r="F3" s="37"/>
      <c r="G3" s="37"/>
      <c r="H3" s="37"/>
      <c r="I3" s="37"/>
      <c r="J3" s="37"/>
      <c r="K3" s="37"/>
      <c r="L3" s="37"/>
      <c r="M3" s="37"/>
      <c r="N3" s="15" t="str">
        <f xml:space="preserve"> Inputs!N$76</f>
        <v>NR23</v>
      </c>
      <c r="O3" s="15" t="str">
        <f xml:space="preserve"> Inputs!O$76</f>
        <v>NR23</v>
      </c>
      <c r="P3" s="15" t="str">
        <f xml:space="preserve"> Inputs!P$76</f>
        <v>NR23</v>
      </c>
      <c r="Q3" s="15" t="str">
        <f xml:space="preserve"> Inputs!Q$76</f>
        <v>NR28</v>
      </c>
      <c r="R3" s="15" t="str">
        <f xml:space="preserve"> Inputs!R$76</f>
        <v>NR28</v>
      </c>
      <c r="S3" s="15" t="str">
        <f xml:space="preserve"> Inputs!S$76</f>
        <v>NR28</v>
      </c>
      <c r="T3" s="15" t="str">
        <f xml:space="preserve"> Inputs!T$76</f>
        <v>NR28</v>
      </c>
      <c r="U3" s="15" t="str">
        <f xml:space="preserve"> Inputs!U$76</f>
        <v>NR28</v>
      </c>
      <c r="V3" s="15" t="str">
        <f xml:space="preserve"> Inputs!V$76</f>
        <v>NR33</v>
      </c>
      <c r="W3" s="15" t="str">
        <f xml:space="preserve"> Inputs!W$76</f>
        <v>NR33</v>
      </c>
      <c r="X3" s="15" t="str">
        <f xml:space="preserve"> Inputs!X$76</f>
        <v>NR33</v>
      </c>
    </row>
    <row r="4" spans="1:24" s="36" customFormat="1">
      <c r="A4" s="48"/>
      <c r="B4" s="48"/>
      <c r="C4" s="71"/>
      <c r="D4" s="68"/>
      <c r="E4" s="15" t="s">
        <v>12</v>
      </c>
      <c r="F4" s="23"/>
      <c r="G4" s="15"/>
      <c r="H4"/>
      <c r="I4"/>
      <c r="J4"/>
      <c r="K4"/>
      <c r="L4" s="15"/>
      <c r="M4" s="15"/>
      <c r="N4" s="15">
        <f xml:space="preserve"> Time!N$33</f>
        <v>1</v>
      </c>
      <c r="O4" s="15">
        <f xml:space="preserve"> Time!O$33</f>
        <v>2</v>
      </c>
      <c r="P4" s="15">
        <f xml:space="preserve"> Time!P$33</f>
        <v>3</v>
      </c>
      <c r="Q4" s="15">
        <f xml:space="preserve"> Time!Q$33</f>
        <v>4</v>
      </c>
      <c r="R4" s="15">
        <f xml:space="preserve"> Time!R$33</f>
        <v>5</v>
      </c>
      <c r="S4" s="15">
        <f xml:space="preserve"> Time!S$33</f>
        <v>6</v>
      </c>
      <c r="T4" s="15">
        <f xml:space="preserve"> Time!T$33</f>
        <v>7</v>
      </c>
      <c r="U4" s="15">
        <f xml:space="preserve"> Time!U$33</f>
        <v>8</v>
      </c>
      <c r="V4" s="15">
        <f xml:space="preserve"> Time!V$33</f>
        <v>9</v>
      </c>
      <c r="W4" s="15">
        <f xml:space="preserve"> Time!W$33</f>
        <v>10</v>
      </c>
      <c r="X4" s="15">
        <f xml:space="preserve"> Time!X$33</f>
        <v>11</v>
      </c>
    </row>
    <row r="5" spans="1:24" s="40" customFormat="1">
      <c r="A5" s="48"/>
      <c r="B5" s="48"/>
      <c r="C5" s="71"/>
      <c r="D5" s="68"/>
      <c r="E5" s="15" t="s">
        <v>13</v>
      </c>
      <c r="F5" s="23" t="s">
        <v>14</v>
      </c>
      <c r="G5" s="23" t="s">
        <v>15</v>
      </c>
      <c r="H5" s="38" t="s">
        <v>16</v>
      </c>
      <c r="I5" s="38" t="s">
        <v>17</v>
      </c>
      <c r="J5" s="38" t="s">
        <v>18</v>
      </c>
      <c r="K5" s="38"/>
      <c r="L5" s="23" t="s">
        <v>19</v>
      </c>
      <c r="M5" s="23"/>
      <c r="O5" s="15"/>
      <c r="P5" s="20"/>
      <c r="Q5" s="20"/>
      <c r="R5" s="20"/>
      <c r="S5" s="20"/>
      <c r="T5" s="20"/>
      <c r="U5" s="20"/>
    </row>
    <row r="6" spans="1:24" s="31" customFormat="1">
      <c r="A6" s="23"/>
      <c r="B6" s="23"/>
      <c r="C6" s="51"/>
      <c r="D6" s="72"/>
      <c r="F6" s="23"/>
      <c r="G6" s="23"/>
      <c r="H6" s="38"/>
      <c r="I6" s="38"/>
      <c r="J6" s="38"/>
      <c r="K6" s="38"/>
      <c r="L6" s="23"/>
      <c r="M6" s="23"/>
      <c r="N6" s="23"/>
      <c r="P6" s="31" t="s">
        <v>190</v>
      </c>
    </row>
    <row r="8" spans="1:24">
      <c r="B8" s="23" t="s">
        <v>191</v>
      </c>
      <c r="H8" s="33"/>
      <c r="I8" s="33"/>
      <c r="J8" s="33"/>
      <c r="K8" s="33"/>
    </row>
    <row r="9" spans="1:24">
      <c r="E9" s="7" t="s">
        <v>35</v>
      </c>
      <c r="F9" s="35">
        <f>Inputs!F$24</f>
        <v>1.24E-2</v>
      </c>
      <c r="G9" s="7" t="str">
        <f xml:space="preserve">  Inputs!G$34</f>
        <v>%</v>
      </c>
    </row>
    <row r="10" spans="1:24">
      <c r="A10" s="5"/>
      <c r="B10" s="5"/>
      <c r="C10" s="10"/>
      <c r="D10" s="11"/>
      <c r="E10" s="7" t="str">
        <f xml:space="preserve">  Inputs!E$33</f>
        <v>Operating Margin for Opex</v>
      </c>
      <c r="F10" s="35">
        <f xml:space="preserve">  Inputs!F$33</f>
        <v>0.01</v>
      </c>
      <c r="G10" s="7" t="str">
        <f xml:space="preserve">  Inputs!G$33</f>
        <v>%</v>
      </c>
      <c r="H10" s="33"/>
      <c r="I10" s="33"/>
      <c r="J10" s="33"/>
      <c r="K10" s="33"/>
      <c r="L10" s="53"/>
    </row>
    <row r="11" spans="1:24">
      <c r="A11" s="5"/>
      <c r="B11" s="5"/>
      <c r="C11" s="10"/>
      <c r="D11" s="11"/>
      <c r="E11" s="7" t="str">
        <f xml:space="preserve">  'Scenarios Chosen'!E$21</f>
        <v>UKADS1 scenario chosen</v>
      </c>
      <c r="F11" s="4">
        <f xml:space="preserve">  'Scenarios Chosen'!F$21</f>
        <v>0</v>
      </c>
      <c r="G11" s="4" t="str">
        <f xml:space="preserve">  'Scenarios Chosen'!G$21</f>
        <v>£'000 (2024 prices)</v>
      </c>
      <c r="H11" s="33"/>
      <c r="I11" s="33"/>
      <c r="J11" s="33"/>
      <c r="K11" s="33"/>
      <c r="L11" s="4">
        <f xml:space="preserve">  'Scenarios Chosen'!L$21</f>
        <v>127391.93999999996</v>
      </c>
      <c r="M11" s="4">
        <f xml:space="preserve">  'Scenarios Chosen'!M$21</f>
        <v>0</v>
      </c>
      <c r="N11" s="4">
        <f xml:space="preserve">  'Scenarios Chosen'!N$21</f>
        <v>7484.3149999999987</v>
      </c>
      <c r="O11" s="4">
        <f xml:space="preserve">  'Scenarios Chosen'!O$21</f>
        <v>8792.9</v>
      </c>
      <c r="P11" s="4">
        <f xml:space="preserve">  'Scenarios Chosen'!P$21</f>
        <v>15278.899999999998</v>
      </c>
      <c r="Q11" s="4">
        <f xml:space="preserve">  'Scenarios Chosen'!Q$21</f>
        <v>10224.65</v>
      </c>
      <c r="R11" s="4">
        <f xml:space="preserve">  'Scenarios Chosen'!R$21</f>
        <v>15278.899999999998</v>
      </c>
      <c r="S11" s="4">
        <f xml:space="preserve">  'Scenarios Chosen'!S$21</f>
        <v>10224.65</v>
      </c>
      <c r="T11" s="4">
        <f xml:space="preserve">  'Scenarios Chosen'!T$21</f>
        <v>15278.899999999998</v>
      </c>
      <c r="U11" s="4">
        <f xml:space="preserve">  'Scenarios Chosen'!U$21</f>
        <v>10224.65</v>
      </c>
      <c r="V11" s="4">
        <f xml:space="preserve">  'Scenarios Chosen'!V$21</f>
        <v>14154.774999999998</v>
      </c>
      <c r="W11" s="4">
        <f xml:space="preserve">  'Scenarios Chosen'!W$21</f>
        <v>10224.65</v>
      </c>
      <c r="X11" s="4">
        <f xml:space="preserve">  'Scenarios Chosen'!X$21</f>
        <v>10224.65</v>
      </c>
    </row>
    <row r="12" spans="1:24">
      <c r="A12" s="5"/>
      <c r="B12" s="5"/>
      <c r="C12" s="10"/>
      <c r="D12" s="11"/>
      <c r="E12" s="7" t="str">
        <f xml:space="preserve">  'Scenarios Chosen'!E$13</f>
        <v>UKADSF scenarios chosen</v>
      </c>
      <c r="F12" s="4">
        <f xml:space="preserve">  'Scenarios Chosen'!F$13</f>
        <v>0</v>
      </c>
      <c r="G12" s="4" t="str">
        <f xml:space="preserve">  'Scenarios Chosen'!G$13</f>
        <v>£'000 (2024 prices)</v>
      </c>
      <c r="H12" s="33"/>
      <c r="I12" s="33"/>
      <c r="J12" s="33"/>
      <c r="K12" s="33"/>
      <c r="L12" s="4">
        <f xml:space="preserve">  'Scenarios Chosen'!L$13</f>
        <v>74380.773437852215</v>
      </c>
      <c r="M12" s="4">
        <f xml:space="preserve">  'Scenarios Chosen'!M$13</f>
        <v>0</v>
      </c>
      <c r="N12" s="4">
        <f xml:space="preserve">  'Scenarios Chosen'!N$13</f>
        <v>2438.4601122851013</v>
      </c>
      <c r="O12" s="4">
        <f xml:space="preserve">  'Scenarios Chosen'!O$13</f>
        <v>9511.0549027019752</v>
      </c>
      <c r="P12" s="4">
        <f xml:space="preserve">  'Scenarios Chosen'!P$13</f>
        <v>8566.3138299810635</v>
      </c>
      <c r="Q12" s="4">
        <f xml:space="preserve">  'Scenarios Chosen'!Q$13</f>
        <v>8414.2389541468656</v>
      </c>
      <c r="R12" s="4">
        <f xml:space="preserve">  'Scenarios Chosen'!R$13</f>
        <v>9127.5948093498828</v>
      </c>
      <c r="S12" s="4">
        <f xml:space="preserve">  'Scenarios Chosen'!S$13</f>
        <v>6722.2516212665705</v>
      </c>
      <c r="T12" s="4">
        <f xml:space="preserve">  'Scenarios Chosen'!T$13</f>
        <v>5920.1718416241501</v>
      </c>
      <c r="U12" s="4">
        <f xml:space="preserve">  'Scenarios Chosen'!U$13</f>
        <v>5920.1718416241501</v>
      </c>
      <c r="V12" s="4">
        <f xml:space="preserve">  'Scenarios Chosen'!V$13</f>
        <v>5920.1718416241501</v>
      </c>
      <c r="W12" s="4">
        <f xml:space="preserve">  'Scenarios Chosen'!W$13</f>
        <v>5920.1718416241501</v>
      </c>
      <c r="X12" s="4">
        <f xml:space="preserve">  'Scenarios Chosen'!X$13</f>
        <v>5920.1718416241501</v>
      </c>
    </row>
    <row r="13" spans="1:24">
      <c r="E13" s="46" t="s">
        <v>191</v>
      </c>
      <c r="G13" s="46" t="s">
        <v>62</v>
      </c>
      <c r="H13" s="33"/>
      <c r="I13" s="33"/>
      <c r="J13" s="33"/>
      <c r="K13" s="33"/>
      <c r="L13" s="1">
        <f xml:space="preserve"> SUM( N13:X13 )</f>
        <v>206317.44203532638</v>
      </c>
      <c r="N13" s="1">
        <f>((  ( N11 + N12 ) *(1+$F$9)))* ( 1 + $F10 )</f>
        <v>10146.275698914209</v>
      </c>
      <c r="O13" s="1">
        <f t="shared" ref="O13:X13" si="0">((  ( O11 + O12 ) *(1+$F$9)))* ( 1 + $F10 )</f>
        <v>18716.233182930435</v>
      </c>
      <c r="P13" s="1">
        <f t="shared" si="0"/>
        <v>24382.303426287552</v>
      </c>
      <c r="Q13" s="1">
        <f t="shared" si="0"/>
        <v>19058.711288950071</v>
      </c>
      <c r="R13" s="1">
        <f t="shared" si="0"/>
        <v>24956.226698435679</v>
      </c>
      <c r="S13" s="1">
        <f t="shared" si="0"/>
        <v>17328.613633383979</v>
      </c>
      <c r="T13" s="1">
        <f t="shared" si="0"/>
        <v>21676.559735784889</v>
      </c>
      <c r="U13" s="1">
        <f t="shared" si="0"/>
        <v>16508.467808784892</v>
      </c>
      <c r="V13" s="1">
        <f t="shared" si="0"/>
        <v>20527.114944284887</v>
      </c>
      <c r="W13" s="1">
        <f t="shared" si="0"/>
        <v>16508.467808784892</v>
      </c>
      <c r="X13" s="1">
        <f t="shared" si="0"/>
        <v>16508.467808784892</v>
      </c>
    </row>
    <row r="14" spans="1:24">
      <c r="H14" s="33"/>
      <c r="I14" s="33"/>
      <c r="J14" s="33"/>
      <c r="K14" s="33"/>
    </row>
    <row r="15" spans="1:24">
      <c r="H15" s="33"/>
      <c r="I15" s="33"/>
      <c r="J15" s="33"/>
      <c r="K15" s="33"/>
    </row>
    <row r="16" spans="1:24">
      <c r="B16" s="23" t="s">
        <v>192</v>
      </c>
      <c r="H16" s="34"/>
      <c r="I16" s="34"/>
      <c r="J16" s="34"/>
      <c r="K16" s="34"/>
    </row>
    <row r="17" spans="1:24">
      <c r="E17" s="46" t="str">
        <f t="shared" ref="E17:X17" si="1" xml:space="preserve">  E$13</f>
        <v>Determined Cost Real</v>
      </c>
      <c r="F17" s="1">
        <f t="shared" si="1"/>
        <v>0</v>
      </c>
      <c r="G17" s="1" t="str">
        <f t="shared" si="1"/>
        <v>£'000 (2024 prices)</v>
      </c>
      <c r="H17" s="33"/>
      <c r="I17" s="33"/>
      <c r="J17" s="33"/>
      <c r="K17" s="33"/>
      <c r="L17" s="1">
        <f t="shared" si="1"/>
        <v>206317.44203532638</v>
      </c>
      <c r="M17" s="1">
        <f t="shared" si="1"/>
        <v>0</v>
      </c>
      <c r="N17" s="1">
        <f t="shared" si="1"/>
        <v>10146.275698914209</v>
      </c>
      <c r="O17" s="1">
        <f t="shared" si="1"/>
        <v>18716.233182930435</v>
      </c>
      <c r="P17" s="1">
        <f t="shared" si="1"/>
        <v>24382.303426287552</v>
      </c>
      <c r="Q17" s="1">
        <f t="shared" si="1"/>
        <v>19058.711288950071</v>
      </c>
      <c r="R17" s="1">
        <f t="shared" si="1"/>
        <v>24956.226698435679</v>
      </c>
      <c r="S17" s="1">
        <f t="shared" si="1"/>
        <v>17328.613633383979</v>
      </c>
      <c r="T17" s="1">
        <f t="shared" si="1"/>
        <v>21676.559735784889</v>
      </c>
      <c r="U17" s="1">
        <f t="shared" si="1"/>
        <v>16508.467808784892</v>
      </c>
      <c r="V17" s="1">
        <f t="shared" si="1"/>
        <v>20527.114944284887</v>
      </c>
      <c r="W17" s="1">
        <f t="shared" si="1"/>
        <v>16508.467808784892</v>
      </c>
      <c r="X17" s="1">
        <f t="shared" si="1"/>
        <v>16508.467808784892</v>
      </c>
    </row>
    <row r="18" spans="1:24">
      <c r="A18" s="5"/>
      <c r="B18" s="5"/>
      <c r="C18" s="10"/>
      <c r="D18" s="11"/>
      <c r="E18" s="7" t="str">
        <f xml:space="preserve">  Inputs!E$52</f>
        <v>Flights</v>
      </c>
      <c r="F18" s="2">
        <f xml:space="preserve">  Inputs!F$52</f>
        <v>0</v>
      </c>
      <c r="G18" s="2" t="str">
        <f xml:space="preserve">  Inputs!G$52</f>
        <v>000</v>
      </c>
      <c r="H18" s="33"/>
      <c r="I18" s="33"/>
      <c r="J18" s="33"/>
      <c r="K18" s="33"/>
      <c r="L18" s="2">
        <f xml:space="preserve">  Inputs!L$52</f>
        <v>29269</v>
      </c>
      <c r="M18" s="2">
        <f xml:space="preserve">  Inputs!M$52</f>
        <v>0</v>
      </c>
      <c r="N18" s="2">
        <f xml:space="preserve">  Inputs!N$52</f>
        <v>2510</v>
      </c>
      <c r="O18" s="2">
        <f xml:space="preserve">  Inputs!O$52</f>
        <v>2536</v>
      </c>
      <c r="P18" s="2">
        <f xml:space="preserve">  Inputs!P$52</f>
        <v>2568</v>
      </c>
      <c r="Q18" s="2">
        <f xml:space="preserve">  Inputs!Q$52</f>
        <v>2606</v>
      </c>
      <c r="R18" s="2">
        <f xml:space="preserve">  Inputs!R$52</f>
        <v>2630</v>
      </c>
      <c r="S18" s="2">
        <f xml:space="preserve">  Inputs!S$52</f>
        <v>2661</v>
      </c>
      <c r="T18" s="2">
        <f xml:space="preserve">  Inputs!T$52</f>
        <v>2689</v>
      </c>
      <c r="U18" s="2">
        <f xml:space="preserve">  Inputs!U$52</f>
        <v>2720</v>
      </c>
      <c r="V18" s="2">
        <f xml:space="preserve">  Inputs!V$52</f>
        <v>2751</v>
      </c>
      <c r="W18" s="2">
        <f xml:space="preserve">  Inputs!W$52</f>
        <v>2783</v>
      </c>
      <c r="X18" s="2">
        <f xml:space="preserve">  Inputs!X$52</f>
        <v>2815</v>
      </c>
    </row>
    <row r="19" spans="1:24">
      <c r="E19" s="46" t="s">
        <v>192</v>
      </c>
      <c r="G19" s="46" t="s">
        <v>140</v>
      </c>
      <c r="H19" s="33"/>
      <c r="I19" s="33"/>
      <c r="J19" s="33"/>
      <c r="K19" s="33"/>
      <c r="L19" s="1">
        <f xml:space="preserve"> SUM( N19:X19 )</f>
        <v>77.620289965538319</v>
      </c>
      <c r="N19" s="1">
        <f t="shared" ref="N19:X19" si="2" xml:space="preserve">  N17 / N18</f>
        <v>4.0423409159020753</v>
      </c>
      <c r="O19" s="1">
        <f t="shared" si="2"/>
        <v>7.380218132070361</v>
      </c>
      <c r="P19" s="1">
        <f t="shared" si="2"/>
        <v>9.4946664432583923</v>
      </c>
      <c r="Q19" s="1">
        <f t="shared" si="2"/>
        <v>7.3133965038181392</v>
      </c>
      <c r="R19" s="1">
        <f t="shared" si="2"/>
        <v>9.4890595811542511</v>
      </c>
      <c r="S19" s="1">
        <f t="shared" si="2"/>
        <v>6.5120682575663205</v>
      </c>
      <c r="T19" s="1">
        <f t="shared" si="2"/>
        <v>8.0611973729211197</v>
      </c>
      <c r="U19" s="1">
        <f t="shared" si="2"/>
        <v>6.0692896355826811</v>
      </c>
      <c r="V19" s="1">
        <f t="shared" si="2"/>
        <v>7.4616920917066114</v>
      </c>
      <c r="W19" s="1">
        <f t="shared" si="2"/>
        <v>5.9318964458443739</v>
      </c>
      <c r="X19" s="1">
        <f t="shared" si="2"/>
        <v>5.8644645857139936</v>
      </c>
    </row>
    <row r="20" spans="1:24">
      <c r="H20" s="33"/>
      <c r="I20" s="33"/>
      <c r="J20" s="33"/>
      <c r="K20" s="33"/>
    </row>
    <row r="21" spans="1:24">
      <c r="H21" s="33"/>
      <c r="I21" s="33"/>
      <c r="J21" s="33"/>
      <c r="K21" s="33"/>
    </row>
    <row r="22" spans="1:24">
      <c r="B22" s="23" t="s">
        <v>193</v>
      </c>
      <c r="H22" s="33"/>
      <c r="I22" s="33"/>
      <c r="J22" s="33"/>
      <c r="K22" s="33"/>
    </row>
    <row r="23" spans="1:24">
      <c r="E23" s="46" t="str">
        <f t="shared" ref="E23:X23" si="3" xml:space="preserve">  E$13</f>
        <v>Determined Cost Real</v>
      </c>
      <c r="F23" s="1">
        <f t="shared" si="3"/>
        <v>0</v>
      </c>
      <c r="G23" s="1" t="str">
        <f t="shared" si="3"/>
        <v>£'000 (2024 prices)</v>
      </c>
      <c r="H23" s="33"/>
      <c r="I23" s="33"/>
      <c r="J23" s="33"/>
      <c r="K23" s="33"/>
      <c r="L23" s="1">
        <f t="shared" si="3"/>
        <v>206317.44203532638</v>
      </c>
      <c r="M23" s="1">
        <f t="shared" si="3"/>
        <v>0</v>
      </c>
      <c r="N23" s="1">
        <f t="shared" si="3"/>
        <v>10146.275698914209</v>
      </c>
      <c r="O23" s="1">
        <f t="shared" si="3"/>
        <v>18716.233182930435</v>
      </c>
      <c r="P23" s="1">
        <f t="shared" si="3"/>
        <v>24382.303426287552</v>
      </c>
      <c r="Q23" s="1">
        <f t="shared" si="3"/>
        <v>19058.711288950071</v>
      </c>
      <c r="R23" s="1">
        <f t="shared" si="3"/>
        <v>24956.226698435679</v>
      </c>
      <c r="S23" s="1">
        <f t="shared" si="3"/>
        <v>17328.613633383979</v>
      </c>
      <c r="T23" s="1">
        <f t="shared" si="3"/>
        <v>21676.559735784889</v>
      </c>
      <c r="U23" s="1">
        <f t="shared" si="3"/>
        <v>16508.467808784892</v>
      </c>
      <c r="V23" s="1">
        <f t="shared" si="3"/>
        <v>20527.114944284887</v>
      </c>
      <c r="W23" s="1">
        <f t="shared" si="3"/>
        <v>16508.467808784892</v>
      </c>
      <c r="X23" s="1">
        <f t="shared" si="3"/>
        <v>16508.467808784892</v>
      </c>
    </row>
    <row r="24" spans="1:24">
      <c r="A24" s="5"/>
      <c r="B24" s="5"/>
      <c r="C24" s="10"/>
      <c r="D24" s="11"/>
      <c r="E24" s="7" t="str">
        <f xml:space="preserve">  Inputs!E$53</f>
        <v>Service Units</v>
      </c>
      <c r="F24" s="2">
        <f xml:space="preserve">  Inputs!F$53</f>
        <v>0</v>
      </c>
      <c r="G24" s="2" t="str">
        <f xml:space="preserve">  Inputs!G$53</f>
        <v>000</v>
      </c>
      <c r="H24" s="41"/>
      <c r="I24" s="41"/>
      <c r="J24" s="41"/>
      <c r="K24" s="41"/>
      <c r="L24" s="2">
        <f xml:space="preserve">  Inputs!L$53</f>
        <v>148622</v>
      </c>
      <c r="M24" s="2">
        <f xml:space="preserve">  Inputs!M$53</f>
        <v>0</v>
      </c>
      <c r="N24" s="2">
        <f xml:space="preserve">  Inputs!N$53</f>
        <v>12392</v>
      </c>
      <c r="O24" s="2">
        <f xml:space="preserve">  Inputs!O$53</f>
        <v>12580</v>
      </c>
      <c r="P24" s="2">
        <f xml:space="preserve">  Inputs!P$53</f>
        <v>12818</v>
      </c>
      <c r="Q24" s="2">
        <f xml:space="preserve">  Inputs!Q$53</f>
        <v>13082</v>
      </c>
      <c r="R24" s="2">
        <f xml:space="preserve">  Inputs!R$53</f>
        <v>13278</v>
      </c>
      <c r="S24" s="2">
        <f xml:space="preserve">  Inputs!S$53</f>
        <v>13507</v>
      </c>
      <c r="T24" s="2">
        <f xml:space="preserve">  Inputs!T$53</f>
        <v>13717</v>
      </c>
      <c r="U24" s="2">
        <f xml:space="preserve">  Inputs!U$53</f>
        <v>13951</v>
      </c>
      <c r="V24" s="2">
        <f xml:space="preserve">  Inputs!V$53</f>
        <v>14189</v>
      </c>
      <c r="W24" s="2">
        <f xml:space="preserve">  Inputs!W$53</f>
        <v>14431</v>
      </c>
      <c r="X24" s="2">
        <f xml:space="preserve">  Inputs!X$53</f>
        <v>14677</v>
      </c>
    </row>
    <row r="25" spans="1:24">
      <c r="E25" s="46" t="s">
        <v>193</v>
      </c>
      <c r="G25" s="46" t="s">
        <v>140</v>
      </c>
      <c r="H25" s="41"/>
      <c r="I25" s="41"/>
      <c r="J25" s="41"/>
      <c r="K25" s="41"/>
      <c r="L25" s="1">
        <f xml:space="preserve"> SUM( N25:X25 )</f>
        <v>15.307087032096613</v>
      </c>
      <c r="N25" s="1">
        <f t="shared" ref="N25:X25" si="4" xml:space="preserve">  N23 / N24</f>
        <v>0.81877628299824157</v>
      </c>
      <c r="O25" s="1">
        <f t="shared" si="4"/>
        <v>1.487776882585885</v>
      </c>
      <c r="P25" s="1">
        <f t="shared" si="4"/>
        <v>1.9021924969798372</v>
      </c>
      <c r="Q25" s="1">
        <f t="shared" si="4"/>
        <v>1.4568652567612042</v>
      </c>
      <c r="R25" s="1">
        <f t="shared" si="4"/>
        <v>1.8795169979240609</v>
      </c>
      <c r="S25" s="1">
        <f t="shared" si="4"/>
        <v>1.2829357839182631</v>
      </c>
      <c r="T25" s="1">
        <f t="shared" si="4"/>
        <v>1.5802697190190924</v>
      </c>
      <c r="U25" s="1">
        <f t="shared" si="4"/>
        <v>1.1833178846523469</v>
      </c>
      <c r="V25" s="1">
        <f t="shared" si="4"/>
        <v>1.4466921519687708</v>
      </c>
      <c r="W25" s="1">
        <f t="shared" si="4"/>
        <v>1.1439586867704865</v>
      </c>
      <c r="X25" s="1">
        <f t="shared" si="4"/>
        <v>1.1247848885184228</v>
      </c>
    </row>
    <row r="26" spans="1:24">
      <c r="H26" s="41"/>
      <c r="I26" s="41"/>
      <c r="J26" s="41"/>
      <c r="K26" s="41"/>
    </row>
    <row r="27" spans="1:24">
      <c r="H27" s="34"/>
      <c r="I27" s="34"/>
      <c r="J27" s="34"/>
      <c r="K27" s="34"/>
    </row>
    <row r="28" spans="1:24">
      <c r="B28" s="23" t="s">
        <v>194</v>
      </c>
      <c r="H28" s="33"/>
      <c r="I28" s="33"/>
      <c r="J28" s="33"/>
      <c r="K28" s="33"/>
    </row>
    <row r="29" spans="1:24">
      <c r="E29" s="46" t="str">
        <f t="shared" ref="E29:X29" si="5" xml:space="preserve">  E$13</f>
        <v>Determined Cost Real</v>
      </c>
      <c r="F29" s="1">
        <f t="shared" si="5"/>
        <v>0</v>
      </c>
      <c r="G29" s="1" t="str">
        <f t="shared" si="5"/>
        <v>£'000 (2024 prices)</v>
      </c>
      <c r="H29" s="33"/>
      <c r="I29" s="33"/>
      <c r="J29" s="33"/>
      <c r="K29" s="33"/>
      <c r="L29" s="1">
        <f t="shared" si="5"/>
        <v>206317.44203532638</v>
      </c>
      <c r="M29" s="1">
        <f t="shared" si="5"/>
        <v>0</v>
      </c>
      <c r="N29" s="1">
        <f t="shared" si="5"/>
        <v>10146.275698914209</v>
      </c>
      <c r="O29" s="1">
        <f t="shared" si="5"/>
        <v>18716.233182930435</v>
      </c>
      <c r="P29" s="1">
        <f t="shared" si="5"/>
        <v>24382.303426287552</v>
      </c>
      <c r="Q29" s="1">
        <f t="shared" si="5"/>
        <v>19058.711288950071</v>
      </c>
      <c r="R29" s="1">
        <f t="shared" si="5"/>
        <v>24956.226698435679</v>
      </c>
      <c r="S29" s="1">
        <f t="shared" si="5"/>
        <v>17328.613633383979</v>
      </c>
      <c r="T29" s="1">
        <f t="shared" si="5"/>
        <v>21676.559735784889</v>
      </c>
      <c r="U29" s="1">
        <f t="shared" si="5"/>
        <v>16508.467808784892</v>
      </c>
      <c r="V29" s="1">
        <f t="shared" si="5"/>
        <v>20527.114944284887</v>
      </c>
      <c r="W29" s="1">
        <f t="shared" si="5"/>
        <v>16508.467808784892</v>
      </c>
      <c r="X29" s="1">
        <f t="shared" si="5"/>
        <v>16508.467808784892</v>
      </c>
    </row>
    <row r="30" spans="1:24">
      <c r="A30" s="5"/>
      <c r="B30" s="5"/>
      <c r="C30" s="10"/>
      <c r="D30" s="11"/>
      <c r="E30" s="7" t="str">
        <f xml:space="preserve">  Time!E$58</f>
        <v>NR23 flag</v>
      </c>
      <c r="F30" s="2">
        <f xml:space="preserve">  Time!F$58</f>
        <v>0</v>
      </c>
      <c r="G30" s="2" t="str">
        <f xml:space="preserve">  Time!G$58</f>
        <v>flag</v>
      </c>
      <c r="H30" s="33"/>
      <c r="I30" s="33"/>
      <c r="J30" s="33"/>
      <c r="K30" s="33"/>
      <c r="L30" s="2">
        <f xml:space="preserve">  Time!L$58</f>
        <v>3</v>
      </c>
      <c r="M30" s="2">
        <f xml:space="preserve">  Time!M$58</f>
        <v>0</v>
      </c>
      <c r="N30" s="2">
        <f xml:space="preserve">  Time!N$58</f>
        <v>1</v>
      </c>
      <c r="O30" s="2">
        <f xml:space="preserve">  Time!O$58</f>
        <v>1</v>
      </c>
      <c r="P30" s="2">
        <f xml:space="preserve">  Time!P$58</f>
        <v>1</v>
      </c>
      <c r="Q30" s="2">
        <f xml:space="preserve">  Time!Q$58</f>
        <v>0</v>
      </c>
      <c r="R30" s="2">
        <f xml:space="preserve">  Time!R$58</f>
        <v>0</v>
      </c>
      <c r="S30" s="2">
        <f xml:space="preserve">  Time!S$58</f>
        <v>0</v>
      </c>
      <c r="T30" s="2">
        <f xml:space="preserve">  Time!T$58</f>
        <v>0</v>
      </c>
      <c r="U30" s="2">
        <f xml:space="preserve">  Time!U$58</f>
        <v>0</v>
      </c>
      <c r="V30" s="2">
        <f xml:space="preserve">  Time!V$58</f>
        <v>0</v>
      </c>
      <c r="W30" s="2">
        <f xml:space="preserve">  Time!W$58</f>
        <v>0</v>
      </c>
      <c r="X30" s="2">
        <f xml:space="preserve">  Time!X$58</f>
        <v>0</v>
      </c>
    </row>
    <row r="31" spans="1:24">
      <c r="E31" s="46" t="s">
        <v>194</v>
      </c>
      <c r="G31" s="46" t="s">
        <v>62</v>
      </c>
      <c r="H31" s="33"/>
      <c r="I31" s="33"/>
      <c r="J31" s="33"/>
      <c r="K31" s="33"/>
      <c r="L31" s="1">
        <f xml:space="preserve"> SUM( N31:X31 )</f>
        <v>53244.812308132197</v>
      </c>
      <c r="N31" s="1">
        <f t="shared" ref="N31:X31" si="6" xml:space="preserve">  N29 * N30</f>
        <v>10146.275698914209</v>
      </c>
      <c r="O31" s="1">
        <f t="shared" si="6"/>
        <v>18716.233182930435</v>
      </c>
      <c r="P31" s="1">
        <f t="shared" si="6"/>
        <v>24382.303426287552</v>
      </c>
      <c r="Q31" s="1">
        <f t="shared" si="6"/>
        <v>0</v>
      </c>
      <c r="R31" s="1">
        <f t="shared" si="6"/>
        <v>0</v>
      </c>
      <c r="S31" s="1">
        <f t="shared" si="6"/>
        <v>0</v>
      </c>
      <c r="T31" s="1">
        <f t="shared" si="6"/>
        <v>0</v>
      </c>
      <c r="U31" s="1">
        <f t="shared" si="6"/>
        <v>0</v>
      </c>
      <c r="V31" s="1">
        <f t="shared" si="6"/>
        <v>0</v>
      </c>
      <c r="W31" s="1">
        <f t="shared" si="6"/>
        <v>0</v>
      </c>
      <c r="X31" s="1">
        <f t="shared" si="6"/>
        <v>0</v>
      </c>
    </row>
    <row r="32" spans="1:24">
      <c r="H32" s="41"/>
      <c r="I32" s="41"/>
      <c r="J32" s="41"/>
      <c r="K32" s="41"/>
    </row>
    <row r="33" spans="1:24">
      <c r="H33" s="41"/>
      <c r="I33" s="41"/>
      <c r="J33" s="41"/>
      <c r="K33" s="41"/>
    </row>
    <row r="34" spans="1:24">
      <c r="B34" s="23" t="s">
        <v>195</v>
      </c>
      <c r="H34" s="41"/>
      <c r="I34" s="41"/>
      <c r="J34" s="41"/>
      <c r="K34" s="41"/>
    </row>
    <row r="35" spans="1:24">
      <c r="A35" s="5"/>
      <c r="B35" s="5"/>
      <c r="C35" s="10"/>
      <c r="D35" s="11"/>
      <c r="E35" s="7" t="str">
        <f xml:space="preserve">  Inputs!E$27</f>
        <v>factor dividing the determined costs for 2026 and 2027</v>
      </c>
      <c r="F35" s="74">
        <f xml:space="preserve">  Inputs!F$27</f>
        <v>2</v>
      </c>
      <c r="G35" s="7" t="str">
        <f xml:space="preserve">  Inputs!G$27</f>
        <v>factor</v>
      </c>
      <c r="H35" s="34"/>
      <c r="I35" s="34"/>
      <c r="J35" s="34"/>
      <c r="K35" s="34"/>
      <c r="L35" s="73"/>
    </row>
    <row r="36" spans="1:24">
      <c r="E36" s="46" t="str">
        <f t="shared" ref="E36:X36" si="7" xml:space="preserve">  E$31</f>
        <v>Bridge to determine costs used for calculation for Determined costs real for NR23 only</v>
      </c>
      <c r="F36" s="1">
        <f t="shared" si="7"/>
        <v>0</v>
      </c>
      <c r="G36" s="1" t="str">
        <f t="shared" si="7"/>
        <v>£'000 (2024 prices)</v>
      </c>
      <c r="L36" s="1">
        <f t="shared" si="7"/>
        <v>53244.812308132197</v>
      </c>
      <c r="M36" s="1">
        <f t="shared" si="7"/>
        <v>0</v>
      </c>
      <c r="N36" s="1">
        <f t="shared" si="7"/>
        <v>10146.275698914209</v>
      </c>
      <c r="O36" s="1">
        <f t="shared" si="7"/>
        <v>18716.233182930435</v>
      </c>
      <c r="P36" s="1">
        <f t="shared" si="7"/>
        <v>24382.303426287552</v>
      </c>
      <c r="Q36" s="1">
        <f t="shared" si="7"/>
        <v>0</v>
      </c>
      <c r="R36" s="1">
        <f t="shared" si="7"/>
        <v>0</v>
      </c>
      <c r="S36" s="1">
        <f t="shared" si="7"/>
        <v>0</v>
      </c>
      <c r="T36" s="1">
        <f t="shared" si="7"/>
        <v>0</v>
      </c>
      <c r="U36" s="1">
        <f t="shared" si="7"/>
        <v>0</v>
      </c>
      <c r="V36" s="1">
        <f t="shared" si="7"/>
        <v>0</v>
      </c>
      <c r="W36" s="1">
        <f t="shared" si="7"/>
        <v>0</v>
      </c>
      <c r="X36" s="1">
        <f t="shared" si="7"/>
        <v>0</v>
      </c>
    </row>
    <row r="37" spans="1:24">
      <c r="E37" s="46" t="s">
        <v>195</v>
      </c>
      <c r="G37" s="46" t="s">
        <v>62</v>
      </c>
      <c r="L37" s="1">
        <f xml:space="preserve"> SUM( N37:X37 )</f>
        <v>26622.406154066099</v>
      </c>
      <c r="N37" s="1">
        <f t="shared" ref="N37:X37" si="8" xml:space="preserve">  ( SUM( N36 ) / $F35 )</f>
        <v>5073.1378494571045</v>
      </c>
      <c r="O37" s="1">
        <f t="shared" si="8"/>
        <v>9358.1165914652174</v>
      </c>
      <c r="P37" s="1">
        <f t="shared" si="8"/>
        <v>12191.151713143776</v>
      </c>
      <c r="Q37" s="1">
        <f t="shared" si="8"/>
        <v>0</v>
      </c>
      <c r="R37" s="1">
        <f t="shared" si="8"/>
        <v>0</v>
      </c>
      <c r="S37" s="1">
        <f t="shared" si="8"/>
        <v>0</v>
      </c>
      <c r="T37" s="1">
        <f t="shared" si="8"/>
        <v>0</v>
      </c>
      <c r="U37" s="1">
        <f t="shared" si="8"/>
        <v>0</v>
      </c>
      <c r="V37" s="1">
        <f t="shared" si="8"/>
        <v>0</v>
      </c>
      <c r="W37" s="1">
        <f t="shared" si="8"/>
        <v>0</v>
      </c>
      <c r="X37" s="1">
        <f t="shared" si="8"/>
        <v>0</v>
      </c>
    </row>
    <row r="40" spans="1:24">
      <c r="B40" s="23" t="s">
        <v>196</v>
      </c>
    </row>
    <row r="41" spans="1:24">
      <c r="E41" s="46" t="str">
        <f t="shared" ref="E41:X41" si="9" xml:space="preserve">  E$37</f>
        <v>Determined costs real for NR23 only</v>
      </c>
      <c r="F41" s="1">
        <f t="shared" si="9"/>
        <v>0</v>
      </c>
      <c r="G41" s="1" t="str">
        <f t="shared" si="9"/>
        <v>£'000 (2024 prices)</v>
      </c>
      <c r="L41" s="1">
        <f t="shared" si="9"/>
        <v>26622.406154066099</v>
      </c>
      <c r="M41" s="1">
        <f t="shared" si="9"/>
        <v>0</v>
      </c>
      <c r="N41" s="1">
        <f t="shared" si="9"/>
        <v>5073.1378494571045</v>
      </c>
      <c r="O41" s="1">
        <f t="shared" si="9"/>
        <v>9358.1165914652174</v>
      </c>
      <c r="P41" s="1">
        <f t="shared" si="9"/>
        <v>12191.151713143776</v>
      </c>
      <c r="Q41" s="1">
        <f t="shared" si="9"/>
        <v>0</v>
      </c>
      <c r="R41" s="1">
        <f t="shared" si="9"/>
        <v>0</v>
      </c>
      <c r="S41" s="1">
        <f t="shared" si="9"/>
        <v>0</v>
      </c>
      <c r="T41" s="1">
        <f t="shared" si="9"/>
        <v>0</v>
      </c>
      <c r="U41" s="1">
        <f t="shared" si="9"/>
        <v>0</v>
      </c>
      <c r="V41" s="1">
        <f t="shared" si="9"/>
        <v>0</v>
      </c>
      <c r="W41" s="1">
        <f t="shared" si="9"/>
        <v>0</v>
      </c>
      <c r="X41" s="1">
        <f t="shared" si="9"/>
        <v>0</v>
      </c>
    </row>
    <row r="42" spans="1:24">
      <c r="A42" s="5"/>
      <c r="B42" s="5"/>
      <c r="C42" s="10"/>
      <c r="D42" s="11"/>
      <c r="E42" s="7" t="str">
        <f xml:space="preserve">  Time!E$76</f>
        <v>2026 flag</v>
      </c>
      <c r="F42" s="2">
        <f xml:space="preserve">  Time!F$76</f>
        <v>0</v>
      </c>
      <c r="G42" s="2" t="str">
        <f xml:space="preserve">  Time!G$76</f>
        <v>flag</v>
      </c>
      <c r="L42" s="2">
        <f xml:space="preserve">  Time!L$76</f>
        <v>1</v>
      </c>
      <c r="M42" s="2">
        <f xml:space="preserve">  Time!M$76</f>
        <v>0</v>
      </c>
      <c r="N42" s="2">
        <f xml:space="preserve">  Time!N$76</f>
        <v>0</v>
      </c>
      <c r="O42" s="2">
        <f xml:space="preserve">  Time!O$76</f>
        <v>1</v>
      </c>
      <c r="P42" s="2">
        <f xml:space="preserve">  Time!P$76</f>
        <v>0</v>
      </c>
      <c r="Q42" s="2">
        <f xml:space="preserve">  Time!Q$76</f>
        <v>0</v>
      </c>
      <c r="R42" s="2">
        <f xml:space="preserve">  Time!R$76</f>
        <v>0</v>
      </c>
      <c r="S42" s="2">
        <f xml:space="preserve">  Time!S$76</f>
        <v>0</v>
      </c>
      <c r="T42" s="2">
        <f xml:space="preserve">  Time!T$76</f>
        <v>0</v>
      </c>
      <c r="U42" s="2">
        <f xml:space="preserve">  Time!U$76</f>
        <v>0</v>
      </c>
      <c r="V42" s="2">
        <f xml:space="preserve">  Time!V$76</f>
        <v>0</v>
      </c>
      <c r="W42" s="2">
        <f xml:space="preserve">  Time!W$76</f>
        <v>0</v>
      </c>
      <c r="X42" s="2">
        <f xml:space="preserve">  Time!X$76</f>
        <v>0</v>
      </c>
    </row>
    <row r="43" spans="1:24">
      <c r="E43" s="46" t="s">
        <v>196</v>
      </c>
      <c r="G43" s="46" t="s">
        <v>62</v>
      </c>
      <c r="L43" s="1">
        <f xml:space="preserve"> SUM( N43:X43 )</f>
        <v>26622.406154066099</v>
      </c>
      <c r="N43" s="1">
        <f t="shared" ref="N43:X43" si="10" xml:space="preserve">  IF( N42, SUM( $N41:$X41 ), 0 )</f>
        <v>0</v>
      </c>
      <c r="O43" s="1">
        <f t="shared" si="10"/>
        <v>26622.406154066099</v>
      </c>
      <c r="P43" s="1">
        <f t="shared" si="10"/>
        <v>0</v>
      </c>
      <c r="Q43" s="1">
        <f t="shared" si="10"/>
        <v>0</v>
      </c>
      <c r="R43" s="1">
        <f t="shared" si="10"/>
        <v>0</v>
      </c>
      <c r="S43" s="1">
        <f t="shared" si="10"/>
        <v>0</v>
      </c>
      <c r="T43" s="1">
        <f t="shared" si="10"/>
        <v>0</v>
      </c>
      <c r="U43" s="1">
        <f t="shared" si="10"/>
        <v>0</v>
      </c>
      <c r="V43" s="1">
        <f t="shared" si="10"/>
        <v>0</v>
      </c>
      <c r="W43" s="1">
        <f t="shared" si="10"/>
        <v>0</v>
      </c>
      <c r="X43" s="1">
        <f t="shared" si="10"/>
        <v>0</v>
      </c>
    </row>
    <row r="46" spans="1:24">
      <c r="B46" s="23" t="s">
        <v>197</v>
      </c>
    </row>
    <row r="47" spans="1:24">
      <c r="A47" s="5"/>
      <c r="B47" s="5"/>
      <c r="C47" s="10"/>
      <c r="D47" s="11"/>
      <c r="E47" s="7" t="str">
        <f xml:space="preserve">  Inputs!E$27</f>
        <v>factor dividing the determined costs for 2026 and 2027</v>
      </c>
      <c r="F47" s="74">
        <f xml:space="preserve">  Inputs!F$27</f>
        <v>2</v>
      </c>
      <c r="G47" s="7" t="str">
        <f xml:space="preserve">  Inputs!G$27</f>
        <v>factor</v>
      </c>
      <c r="L47" s="73"/>
    </row>
    <row r="48" spans="1:24">
      <c r="E48" s="46" t="str">
        <f t="shared" ref="E48:X48" si="11" xml:space="preserve">  E$13</f>
        <v>Determined Cost Real</v>
      </c>
      <c r="F48" s="1">
        <f t="shared" si="11"/>
        <v>0</v>
      </c>
      <c r="G48" s="1" t="str">
        <f t="shared" si="11"/>
        <v>£'000 (2024 prices)</v>
      </c>
      <c r="L48" s="1">
        <f t="shared" si="11"/>
        <v>206317.44203532638</v>
      </c>
      <c r="M48" s="1">
        <f t="shared" si="11"/>
        <v>0</v>
      </c>
      <c r="N48" s="1">
        <f t="shared" si="11"/>
        <v>10146.275698914209</v>
      </c>
      <c r="O48" s="1">
        <f t="shared" si="11"/>
        <v>18716.233182930435</v>
      </c>
      <c r="P48" s="1">
        <f t="shared" si="11"/>
        <v>24382.303426287552</v>
      </c>
      <c r="Q48" s="1">
        <f t="shared" si="11"/>
        <v>19058.711288950071</v>
      </c>
      <c r="R48" s="1">
        <f t="shared" si="11"/>
        <v>24956.226698435679</v>
      </c>
      <c r="S48" s="1">
        <f t="shared" si="11"/>
        <v>17328.613633383979</v>
      </c>
      <c r="T48" s="1">
        <f t="shared" si="11"/>
        <v>21676.559735784889</v>
      </c>
      <c r="U48" s="1">
        <f t="shared" si="11"/>
        <v>16508.467808784892</v>
      </c>
      <c r="V48" s="1">
        <f t="shared" si="11"/>
        <v>20527.114944284887</v>
      </c>
      <c r="W48" s="1">
        <f t="shared" si="11"/>
        <v>16508.467808784892</v>
      </c>
      <c r="X48" s="1">
        <f t="shared" si="11"/>
        <v>16508.467808784892</v>
      </c>
    </row>
    <row r="49" spans="1:24">
      <c r="A49" s="5"/>
      <c r="B49" s="5"/>
      <c r="C49" s="10"/>
      <c r="D49" s="11"/>
      <c r="E49" s="7" t="str">
        <f xml:space="preserve">  Time!E$67</f>
        <v>2025 flag</v>
      </c>
      <c r="F49" s="2">
        <f xml:space="preserve">  Time!F$67</f>
        <v>0</v>
      </c>
      <c r="G49" s="2" t="str">
        <f xml:space="preserve">  Time!G$67</f>
        <v>flag</v>
      </c>
      <c r="L49" s="2">
        <f xml:space="preserve">  Time!L$67</f>
        <v>1</v>
      </c>
      <c r="M49" s="2">
        <f xml:space="preserve">  Time!M$67</f>
        <v>0</v>
      </c>
      <c r="N49" s="2">
        <f xml:space="preserve">  Time!N$67</f>
        <v>1</v>
      </c>
      <c r="O49" s="2">
        <f xml:space="preserve">  Time!O$67</f>
        <v>0</v>
      </c>
      <c r="P49" s="2">
        <f xml:space="preserve">  Time!P$67</f>
        <v>0</v>
      </c>
      <c r="Q49" s="2">
        <f xml:space="preserve">  Time!Q$67</f>
        <v>0</v>
      </c>
      <c r="R49" s="2">
        <f xml:space="preserve">  Time!R$67</f>
        <v>0</v>
      </c>
      <c r="S49" s="2">
        <f xml:space="preserve">  Time!S$67</f>
        <v>0</v>
      </c>
      <c r="T49" s="2">
        <f xml:space="preserve">  Time!T$67</f>
        <v>0</v>
      </c>
      <c r="U49" s="2">
        <f xml:space="preserve">  Time!U$67</f>
        <v>0</v>
      </c>
      <c r="V49" s="2">
        <f xml:space="preserve">  Time!V$67</f>
        <v>0</v>
      </c>
      <c r="W49" s="2">
        <f xml:space="preserve">  Time!W$67</f>
        <v>0</v>
      </c>
      <c r="X49" s="2">
        <f xml:space="preserve">  Time!X$67</f>
        <v>0</v>
      </c>
    </row>
    <row r="50" spans="1:24">
      <c r="A50" s="5"/>
      <c r="B50" s="5"/>
      <c r="C50" s="10"/>
      <c r="D50" s="11"/>
      <c r="E50" s="7" t="str">
        <f xml:space="preserve">  Time!E$76</f>
        <v>2026 flag</v>
      </c>
      <c r="F50" s="2">
        <f xml:space="preserve">  Time!F$76</f>
        <v>0</v>
      </c>
      <c r="G50" s="2" t="str">
        <f xml:space="preserve">  Time!G$76</f>
        <v>flag</v>
      </c>
      <c r="L50" s="2">
        <f xml:space="preserve">  Time!L$76</f>
        <v>1</v>
      </c>
      <c r="M50" s="2">
        <f xml:space="preserve">  Time!M$76</f>
        <v>0</v>
      </c>
      <c r="N50" s="2">
        <f xml:space="preserve">  Time!N$76</f>
        <v>0</v>
      </c>
      <c r="O50" s="2">
        <f xml:space="preserve">  Time!O$76</f>
        <v>1</v>
      </c>
      <c r="P50" s="2">
        <f xml:space="preserve">  Time!P$76</f>
        <v>0</v>
      </c>
      <c r="Q50" s="2">
        <f xml:space="preserve">  Time!Q$76</f>
        <v>0</v>
      </c>
      <c r="R50" s="2">
        <f xml:space="preserve">  Time!R$76</f>
        <v>0</v>
      </c>
      <c r="S50" s="2">
        <f xml:space="preserve">  Time!S$76</f>
        <v>0</v>
      </c>
      <c r="T50" s="2">
        <f xml:space="preserve">  Time!T$76</f>
        <v>0</v>
      </c>
      <c r="U50" s="2">
        <f xml:space="preserve">  Time!U$76</f>
        <v>0</v>
      </c>
      <c r="V50" s="2">
        <f xml:space="preserve">  Time!V$76</f>
        <v>0</v>
      </c>
      <c r="W50" s="2">
        <f xml:space="preserve">  Time!W$76</f>
        <v>0</v>
      </c>
      <c r="X50" s="2">
        <f xml:space="preserve">  Time!X$76</f>
        <v>0</v>
      </c>
    </row>
    <row r="51" spans="1:24">
      <c r="A51" s="5"/>
      <c r="B51" s="5"/>
      <c r="C51" s="10"/>
      <c r="D51" s="11"/>
      <c r="E51" s="7" t="str">
        <f xml:space="preserve">  Time!E$58</f>
        <v>NR23 flag</v>
      </c>
      <c r="F51" s="2">
        <f xml:space="preserve">  Time!F$58</f>
        <v>0</v>
      </c>
      <c r="G51" s="2" t="str">
        <f xml:space="preserve">  Time!G$58</f>
        <v>flag</v>
      </c>
      <c r="L51" s="2">
        <f xml:space="preserve">  Time!L$58</f>
        <v>3</v>
      </c>
      <c r="M51" s="2">
        <f xml:space="preserve">  Time!M$58</f>
        <v>0</v>
      </c>
      <c r="N51" s="2">
        <f xml:space="preserve">  Time!N$58</f>
        <v>1</v>
      </c>
      <c r="O51" s="2">
        <f xml:space="preserve">  Time!O$58</f>
        <v>1</v>
      </c>
      <c r="P51" s="2">
        <f xml:space="preserve">  Time!P$58</f>
        <v>1</v>
      </c>
      <c r="Q51" s="2">
        <f xml:space="preserve">  Time!Q$58</f>
        <v>0</v>
      </c>
      <c r="R51" s="2">
        <f xml:space="preserve">  Time!R$58</f>
        <v>0</v>
      </c>
      <c r="S51" s="2">
        <f xml:space="preserve">  Time!S$58</f>
        <v>0</v>
      </c>
      <c r="T51" s="2">
        <f xml:space="preserve">  Time!T$58</f>
        <v>0</v>
      </c>
      <c r="U51" s="2">
        <f xml:space="preserve">  Time!U$58</f>
        <v>0</v>
      </c>
      <c r="V51" s="2">
        <f xml:space="preserve">  Time!V$58</f>
        <v>0</v>
      </c>
      <c r="W51" s="2">
        <f xml:space="preserve">  Time!W$58</f>
        <v>0</v>
      </c>
      <c r="X51" s="2">
        <f xml:space="preserve">  Time!X$58</f>
        <v>0</v>
      </c>
    </row>
    <row r="52" spans="1:24">
      <c r="E52" s="46" t="s">
        <v>197</v>
      </c>
      <c r="G52" s="46" t="s">
        <v>62</v>
      </c>
      <c r="L52" s="1">
        <f xml:space="preserve"> SUM( N52:X52 )</f>
        <v>179695.03588126026</v>
      </c>
      <c r="N52" s="1">
        <f t="shared" ref="N52:X52" si="12" xml:space="preserve">  IF( N49, 0, IF( N50, 0, IF( N51, SUM( L$48:N$48 ) / $F47, N48 ) ) )</f>
        <v>0</v>
      </c>
      <c r="O52" s="1">
        <f t="shared" si="12"/>
        <v>0</v>
      </c>
      <c r="P52" s="1">
        <f t="shared" si="12"/>
        <v>26622.406154066099</v>
      </c>
      <c r="Q52" s="1">
        <f t="shared" si="12"/>
        <v>19058.711288950071</v>
      </c>
      <c r="R52" s="1">
        <f t="shared" si="12"/>
        <v>24956.226698435679</v>
      </c>
      <c r="S52" s="1">
        <f t="shared" si="12"/>
        <v>17328.613633383979</v>
      </c>
      <c r="T52" s="1">
        <f t="shared" si="12"/>
        <v>21676.559735784889</v>
      </c>
      <c r="U52" s="1">
        <f t="shared" si="12"/>
        <v>16508.467808784892</v>
      </c>
      <c r="V52" s="1">
        <f t="shared" si="12"/>
        <v>20527.114944284887</v>
      </c>
      <c r="W52" s="1">
        <f t="shared" si="12"/>
        <v>16508.467808784892</v>
      </c>
      <c r="X52" s="1">
        <f t="shared" si="12"/>
        <v>16508.467808784892</v>
      </c>
    </row>
    <row r="55" spans="1:24">
      <c r="B55" s="23" t="s">
        <v>198</v>
      </c>
    </row>
    <row r="56" spans="1:24">
      <c r="E56" s="46" t="str">
        <f t="shared" ref="E56:X56" si="13" xml:space="preserve">  E$43</f>
        <v>Determined costs real for 2026 only</v>
      </c>
      <c r="F56" s="1">
        <f t="shared" si="13"/>
        <v>0</v>
      </c>
      <c r="G56" s="1" t="str">
        <f t="shared" si="13"/>
        <v>£'000 (2024 prices)</v>
      </c>
      <c r="L56" s="1">
        <f t="shared" si="13"/>
        <v>26622.406154066099</v>
      </c>
      <c r="M56" s="1">
        <f t="shared" si="13"/>
        <v>0</v>
      </c>
      <c r="N56" s="1">
        <f t="shared" si="13"/>
        <v>0</v>
      </c>
      <c r="O56" s="1">
        <f t="shared" si="13"/>
        <v>26622.406154066099</v>
      </c>
      <c r="P56" s="1">
        <f t="shared" si="13"/>
        <v>0</v>
      </c>
      <c r="Q56" s="1">
        <f t="shared" si="13"/>
        <v>0</v>
      </c>
      <c r="R56" s="1">
        <f t="shared" si="13"/>
        <v>0</v>
      </c>
      <c r="S56" s="1">
        <f t="shared" si="13"/>
        <v>0</v>
      </c>
      <c r="T56" s="1">
        <f t="shared" si="13"/>
        <v>0</v>
      </c>
      <c r="U56" s="1">
        <f t="shared" si="13"/>
        <v>0</v>
      </c>
      <c r="V56" s="1">
        <f t="shared" si="13"/>
        <v>0</v>
      </c>
      <c r="W56" s="1">
        <f t="shared" si="13"/>
        <v>0</v>
      </c>
      <c r="X56" s="1">
        <f t="shared" si="13"/>
        <v>0</v>
      </c>
    </row>
    <row r="57" spans="1:24">
      <c r="E57" s="46" t="str">
        <f t="shared" ref="E57:X57" si="14" xml:space="preserve">  E$52</f>
        <v>Initial Calculations Determined Cost Real from 2026</v>
      </c>
      <c r="F57" s="1">
        <f t="shared" si="14"/>
        <v>0</v>
      </c>
      <c r="G57" s="1" t="str">
        <f t="shared" si="14"/>
        <v>£'000 (2024 prices)</v>
      </c>
      <c r="L57" s="1">
        <f t="shared" si="14"/>
        <v>179695.03588126026</v>
      </c>
      <c r="M57" s="1">
        <f t="shared" si="14"/>
        <v>0</v>
      </c>
      <c r="N57" s="1">
        <f t="shared" si="14"/>
        <v>0</v>
      </c>
      <c r="O57" s="1">
        <f t="shared" si="14"/>
        <v>0</v>
      </c>
      <c r="P57" s="1">
        <f t="shared" si="14"/>
        <v>26622.406154066099</v>
      </c>
      <c r="Q57" s="1">
        <f t="shared" si="14"/>
        <v>19058.711288950071</v>
      </c>
      <c r="R57" s="1">
        <f t="shared" si="14"/>
        <v>24956.226698435679</v>
      </c>
      <c r="S57" s="1">
        <f t="shared" si="14"/>
        <v>17328.613633383979</v>
      </c>
      <c r="T57" s="1">
        <f t="shared" si="14"/>
        <v>21676.559735784889</v>
      </c>
      <c r="U57" s="1">
        <f t="shared" si="14"/>
        <v>16508.467808784892</v>
      </c>
      <c r="V57" s="1">
        <f t="shared" si="14"/>
        <v>20527.114944284887</v>
      </c>
      <c r="W57" s="1">
        <f t="shared" si="14"/>
        <v>16508.467808784892</v>
      </c>
      <c r="X57" s="1">
        <f t="shared" si="14"/>
        <v>16508.467808784892</v>
      </c>
    </row>
    <row r="58" spans="1:24">
      <c r="A58" s="17"/>
      <c r="B58" s="17"/>
      <c r="C58" s="28"/>
      <c r="D58" s="27"/>
      <c r="E58" s="16" t="s">
        <v>198</v>
      </c>
      <c r="F58" s="16"/>
      <c r="G58" s="16" t="s">
        <v>62</v>
      </c>
      <c r="L58" s="6">
        <f xml:space="preserve"> SUM( N58:X58 )</f>
        <v>206317.44203532638</v>
      </c>
      <c r="M58" s="16"/>
      <c r="N58" s="6">
        <f t="shared" ref="N58:X58" si="15" xml:space="preserve">  N56 + N57</f>
        <v>0</v>
      </c>
      <c r="O58" s="6">
        <f t="shared" si="15"/>
        <v>26622.406154066099</v>
      </c>
      <c r="P58" s="6">
        <f t="shared" si="15"/>
        <v>26622.406154066099</v>
      </c>
      <c r="Q58" s="6">
        <f t="shared" si="15"/>
        <v>19058.711288950071</v>
      </c>
      <c r="R58" s="6">
        <f t="shared" si="15"/>
        <v>24956.226698435679</v>
      </c>
      <c r="S58" s="6">
        <f t="shared" si="15"/>
        <v>17328.613633383979</v>
      </c>
      <c r="T58" s="6">
        <f t="shared" si="15"/>
        <v>21676.559735784889</v>
      </c>
      <c r="U58" s="6">
        <f t="shared" si="15"/>
        <v>16508.467808784892</v>
      </c>
      <c r="V58" s="6">
        <f t="shared" si="15"/>
        <v>20527.114944284887</v>
      </c>
      <c r="W58" s="6">
        <f t="shared" si="15"/>
        <v>16508.467808784892</v>
      </c>
      <c r="X58" s="6">
        <f t="shared" si="15"/>
        <v>16508.467808784892</v>
      </c>
    </row>
    <row r="61" spans="1:24">
      <c r="B61" s="23" t="s">
        <v>199</v>
      </c>
    </row>
    <row r="62" spans="1:24">
      <c r="E62" s="46" t="str">
        <f t="shared" ref="E62:X62" si="16" xml:space="preserve">  E$58</f>
        <v>Determined costs real from 2026</v>
      </c>
      <c r="F62" s="1">
        <f t="shared" si="16"/>
        <v>0</v>
      </c>
      <c r="G62" s="1" t="str">
        <f t="shared" si="16"/>
        <v>£'000 (2024 prices)</v>
      </c>
      <c r="L62" s="1">
        <f t="shared" si="16"/>
        <v>206317.44203532638</v>
      </c>
      <c r="M62" s="1">
        <f t="shared" si="16"/>
        <v>0</v>
      </c>
      <c r="N62" s="1">
        <f t="shared" si="16"/>
        <v>0</v>
      </c>
      <c r="O62" s="1">
        <f t="shared" si="16"/>
        <v>26622.406154066099</v>
      </c>
      <c r="P62" s="1">
        <f t="shared" si="16"/>
        <v>26622.406154066099</v>
      </c>
      <c r="Q62" s="1">
        <f t="shared" si="16"/>
        <v>19058.711288950071</v>
      </c>
      <c r="R62" s="1">
        <f t="shared" si="16"/>
        <v>24956.226698435679</v>
      </c>
      <c r="S62" s="1">
        <f t="shared" si="16"/>
        <v>17328.613633383979</v>
      </c>
      <c r="T62" s="1">
        <f t="shared" si="16"/>
        <v>21676.559735784889</v>
      </c>
      <c r="U62" s="1">
        <f t="shared" si="16"/>
        <v>16508.467808784892</v>
      </c>
      <c r="V62" s="1">
        <f t="shared" si="16"/>
        <v>20527.114944284887</v>
      </c>
      <c r="W62" s="1">
        <f t="shared" si="16"/>
        <v>16508.467808784892</v>
      </c>
      <c r="X62" s="1">
        <f t="shared" si="16"/>
        <v>16508.467808784892</v>
      </c>
    </row>
    <row r="63" spans="1:24">
      <c r="A63" s="5"/>
      <c r="B63" s="5"/>
      <c r="C63" s="10"/>
      <c r="D63" s="11"/>
      <c r="E63" s="7" t="str">
        <f xml:space="preserve">  Inputs!E$52</f>
        <v>Flights</v>
      </c>
      <c r="F63" s="2">
        <f xml:space="preserve">  Inputs!F$52</f>
        <v>0</v>
      </c>
      <c r="G63" s="2" t="str">
        <f xml:space="preserve">  Inputs!G$52</f>
        <v>000</v>
      </c>
      <c r="L63" s="2">
        <f xml:space="preserve">  Inputs!L$52</f>
        <v>29269</v>
      </c>
      <c r="M63" s="2">
        <f xml:space="preserve">  Inputs!M$52</f>
        <v>0</v>
      </c>
      <c r="N63" s="2">
        <f xml:space="preserve">  Inputs!N$52</f>
        <v>2510</v>
      </c>
      <c r="O63" s="2">
        <f xml:space="preserve">  Inputs!O$52</f>
        <v>2536</v>
      </c>
      <c r="P63" s="2">
        <f xml:space="preserve">  Inputs!P$52</f>
        <v>2568</v>
      </c>
      <c r="Q63" s="2">
        <f xml:space="preserve">  Inputs!Q$52</f>
        <v>2606</v>
      </c>
      <c r="R63" s="2">
        <f xml:space="preserve">  Inputs!R$52</f>
        <v>2630</v>
      </c>
      <c r="S63" s="2">
        <f xml:space="preserve">  Inputs!S$52</f>
        <v>2661</v>
      </c>
      <c r="T63" s="2">
        <f xml:space="preserve">  Inputs!T$52</f>
        <v>2689</v>
      </c>
      <c r="U63" s="2">
        <f xml:space="preserve">  Inputs!U$52</f>
        <v>2720</v>
      </c>
      <c r="V63" s="2">
        <f xml:space="preserve">  Inputs!V$52</f>
        <v>2751</v>
      </c>
      <c r="W63" s="2">
        <f xml:space="preserve">  Inputs!W$52</f>
        <v>2783</v>
      </c>
      <c r="X63" s="2">
        <f xml:space="preserve">  Inputs!X$52</f>
        <v>2815</v>
      </c>
    </row>
    <row r="64" spans="1:24">
      <c r="A64" s="17"/>
      <c r="B64" s="17"/>
      <c r="C64" s="28"/>
      <c r="D64" s="27"/>
      <c r="E64" s="16" t="s">
        <v>199</v>
      </c>
      <c r="F64" s="16"/>
      <c r="G64" s="16" t="s">
        <v>143</v>
      </c>
      <c r="L64" s="6">
        <f xml:space="preserve"> SUM( N64:X64 )</f>
        <v>77.567839288686557</v>
      </c>
      <c r="M64" s="16"/>
      <c r="N64" s="6">
        <f t="shared" ref="N64:X64" si="17" xml:space="preserve">  N62 / N63</f>
        <v>0</v>
      </c>
      <c r="O64" s="6">
        <f t="shared" si="17"/>
        <v>10.497794224789471</v>
      </c>
      <c r="P64" s="6">
        <f t="shared" si="17"/>
        <v>10.366980589589602</v>
      </c>
      <c r="Q64" s="6">
        <f t="shared" si="17"/>
        <v>7.3133965038181392</v>
      </c>
      <c r="R64" s="6">
        <f t="shared" si="17"/>
        <v>9.4890595811542511</v>
      </c>
      <c r="S64" s="6">
        <f t="shared" si="17"/>
        <v>6.5120682575663205</v>
      </c>
      <c r="T64" s="6">
        <f t="shared" si="17"/>
        <v>8.0611973729211197</v>
      </c>
      <c r="U64" s="6">
        <f t="shared" si="17"/>
        <v>6.0692896355826811</v>
      </c>
      <c r="V64" s="6">
        <f t="shared" si="17"/>
        <v>7.4616920917066114</v>
      </c>
      <c r="W64" s="6">
        <f t="shared" si="17"/>
        <v>5.9318964458443739</v>
      </c>
      <c r="X64" s="6">
        <f t="shared" si="17"/>
        <v>5.8644645857139936</v>
      </c>
    </row>
    <row r="67" spans="1:24">
      <c r="B67" s="23" t="s">
        <v>200</v>
      </c>
    </row>
    <row r="68" spans="1:24">
      <c r="E68" s="46" t="str">
        <f t="shared" ref="E68:X68" si="18" xml:space="preserve">  E$58</f>
        <v>Determined costs real from 2026</v>
      </c>
      <c r="F68" s="1">
        <f t="shared" si="18"/>
        <v>0</v>
      </c>
      <c r="G68" s="1" t="str">
        <f t="shared" si="18"/>
        <v>£'000 (2024 prices)</v>
      </c>
      <c r="L68" s="1">
        <f t="shared" si="18"/>
        <v>206317.44203532638</v>
      </c>
      <c r="M68" s="1">
        <f t="shared" si="18"/>
        <v>0</v>
      </c>
      <c r="N68" s="1">
        <f t="shared" si="18"/>
        <v>0</v>
      </c>
      <c r="O68" s="1">
        <f t="shared" si="18"/>
        <v>26622.406154066099</v>
      </c>
      <c r="P68" s="1">
        <f t="shared" si="18"/>
        <v>26622.406154066099</v>
      </c>
      <c r="Q68" s="1">
        <f t="shared" si="18"/>
        <v>19058.711288950071</v>
      </c>
      <c r="R68" s="1">
        <f t="shared" si="18"/>
        <v>24956.226698435679</v>
      </c>
      <c r="S68" s="1">
        <f t="shared" si="18"/>
        <v>17328.613633383979</v>
      </c>
      <c r="T68" s="1">
        <f t="shared" si="18"/>
        <v>21676.559735784889</v>
      </c>
      <c r="U68" s="1">
        <f t="shared" si="18"/>
        <v>16508.467808784892</v>
      </c>
      <c r="V68" s="1">
        <f t="shared" si="18"/>
        <v>20527.114944284887</v>
      </c>
      <c r="W68" s="1">
        <f t="shared" si="18"/>
        <v>16508.467808784892</v>
      </c>
      <c r="X68" s="1">
        <f t="shared" si="18"/>
        <v>16508.467808784892</v>
      </c>
    </row>
    <row r="69" spans="1:24">
      <c r="A69" s="5"/>
      <c r="B69" s="5"/>
      <c r="C69" s="10"/>
      <c r="D69" s="11"/>
      <c r="E69" s="7" t="str">
        <f xml:space="preserve">  Inputs!E$53</f>
        <v>Service Units</v>
      </c>
      <c r="F69" s="2">
        <f xml:space="preserve">  Inputs!F$53</f>
        <v>0</v>
      </c>
      <c r="G69" s="2" t="str">
        <f xml:space="preserve">  Inputs!G$53</f>
        <v>000</v>
      </c>
      <c r="L69" s="2">
        <f xml:space="preserve">  Inputs!L$53</f>
        <v>148622</v>
      </c>
      <c r="M69" s="2">
        <f xml:space="preserve">  Inputs!M$53</f>
        <v>0</v>
      </c>
      <c r="N69" s="2">
        <f xml:space="preserve">  Inputs!N$53</f>
        <v>12392</v>
      </c>
      <c r="O69" s="2">
        <f xml:space="preserve">  Inputs!O$53</f>
        <v>12580</v>
      </c>
      <c r="P69" s="2">
        <f xml:space="preserve">  Inputs!P$53</f>
        <v>12818</v>
      </c>
      <c r="Q69" s="2">
        <f xml:space="preserve">  Inputs!Q$53</f>
        <v>13082</v>
      </c>
      <c r="R69" s="2">
        <f xml:space="preserve">  Inputs!R$53</f>
        <v>13278</v>
      </c>
      <c r="S69" s="2">
        <f xml:space="preserve">  Inputs!S$53</f>
        <v>13507</v>
      </c>
      <c r="T69" s="2">
        <f xml:space="preserve">  Inputs!T$53</f>
        <v>13717</v>
      </c>
      <c r="U69" s="2">
        <f xml:space="preserve">  Inputs!U$53</f>
        <v>13951</v>
      </c>
      <c r="V69" s="2">
        <f xml:space="preserve">  Inputs!V$53</f>
        <v>14189</v>
      </c>
      <c r="W69" s="2">
        <f xml:space="preserve">  Inputs!W$53</f>
        <v>14431</v>
      </c>
      <c r="X69" s="2">
        <f xml:space="preserve">  Inputs!X$53</f>
        <v>14677</v>
      </c>
    </row>
    <row r="70" spans="1:24">
      <c r="A70" s="17"/>
      <c r="B70" s="17"/>
      <c r="C70" s="28"/>
      <c r="D70" s="27"/>
      <c r="E70" s="16" t="s">
        <v>200</v>
      </c>
      <c r="F70" s="16"/>
      <c r="G70" s="16" t="s">
        <v>140</v>
      </c>
      <c r="L70" s="6">
        <f xml:space="preserve"> SUM( N70:X70 )</f>
        <v>15.291544634596427</v>
      </c>
      <c r="M70" s="16"/>
      <c r="N70" s="6">
        <f t="shared" ref="N70:X70" si="19" xml:space="preserve">  N68 / N69</f>
        <v>0</v>
      </c>
      <c r="O70" s="6">
        <f t="shared" si="19"/>
        <v>2.1162485019130446</v>
      </c>
      <c r="P70" s="6">
        <f t="shared" si="19"/>
        <v>2.0769547631507335</v>
      </c>
      <c r="Q70" s="6">
        <f t="shared" si="19"/>
        <v>1.4568652567612042</v>
      </c>
      <c r="R70" s="6">
        <f t="shared" si="19"/>
        <v>1.8795169979240609</v>
      </c>
      <c r="S70" s="6">
        <f t="shared" si="19"/>
        <v>1.2829357839182631</v>
      </c>
      <c r="T70" s="6">
        <f t="shared" si="19"/>
        <v>1.5802697190190924</v>
      </c>
      <c r="U70" s="6">
        <f t="shared" si="19"/>
        <v>1.1833178846523469</v>
      </c>
      <c r="V70" s="6">
        <f t="shared" si="19"/>
        <v>1.4466921519687708</v>
      </c>
      <c r="W70" s="6">
        <f t="shared" si="19"/>
        <v>1.1439586867704865</v>
      </c>
      <c r="X70" s="6">
        <f t="shared" si="19"/>
        <v>1.1247848885184228</v>
      </c>
    </row>
    <row r="73" spans="1:24">
      <c r="B73" s="23" t="s">
        <v>201</v>
      </c>
    </row>
    <row r="74" spans="1:24">
      <c r="A74" s="5"/>
      <c r="B74" s="5"/>
      <c r="C74" s="10"/>
      <c r="D74" s="11"/>
      <c r="E74" s="7" t="str">
        <f xml:space="preserve">  Inputs!E$32</f>
        <v>CPI Index 2024</v>
      </c>
      <c r="F74" s="2">
        <f xml:space="preserve">  Inputs!F$32</f>
        <v>133.85316666666699</v>
      </c>
      <c r="G74" s="7" t="str">
        <f xml:space="preserve">  Inputs!G$32</f>
        <v>index (2015=100)</v>
      </c>
      <c r="L74" s="3"/>
    </row>
    <row r="75" spans="1:24">
      <c r="E75" s="46" t="str">
        <f t="shared" ref="E75:X75" si="20" xml:space="preserve">  E$58</f>
        <v>Determined costs real from 2026</v>
      </c>
      <c r="F75" s="1">
        <f t="shared" si="20"/>
        <v>0</v>
      </c>
      <c r="G75" s="1" t="str">
        <f t="shared" si="20"/>
        <v>£'000 (2024 prices)</v>
      </c>
      <c r="L75" s="1">
        <f t="shared" si="20"/>
        <v>206317.44203532638</v>
      </c>
      <c r="M75" s="1">
        <f t="shared" si="20"/>
        <v>0</v>
      </c>
      <c r="N75" s="1">
        <f t="shared" si="20"/>
        <v>0</v>
      </c>
      <c r="O75" s="1">
        <f t="shared" si="20"/>
        <v>26622.406154066099</v>
      </c>
      <c r="P75" s="1">
        <f t="shared" si="20"/>
        <v>26622.406154066099</v>
      </c>
      <c r="Q75" s="1">
        <f t="shared" si="20"/>
        <v>19058.711288950071</v>
      </c>
      <c r="R75" s="1">
        <f t="shared" si="20"/>
        <v>24956.226698435679</v>
      </c>
      <c r="S75" s="1">
        <f t="shared" si="20"/>
        <v>17328.613633383979</v>
      </c>
      <c r="T75" s="1">
        <f t="shared" si="20"/>
        <v>21676.559735784889</v>
      </c>
      <c r="U75" s="1">
        <f t="shared" si="20"/>
        <v>16508.467808784892</v>
      </c>
      <c r="V75" s="1">
        <f t="shared" si="20"/>
        <v>20527.114944284887</v>
      </c>
      <c r="W75" s="1">
        <f t="shared" si="20"/>
        <v>16508.467808784892</v>
      </c>
      <c r="X75" s="1">
        <f t="shared" si="20"/>
        <v>16508.467808784892</v>
      </c>
    </row>
    <row r="76" spans="1:24">
      <c r="A76" s="5"/>
      <c r="B76" s="5"/>
      <c r="C76" s="10"/>
      <c r="D76" s="11"/>
      <c r="E76" s="7" t="str">
        <f xml:space="preserve">  Time!E$14</f>
        <v>CPI Index Forecast (Calculations)</v>
      </c>
      <c r="F76" s="2">
        <f xml:space="preserve">  Time!F$14</f>
        <v>0</v>
      </c>
      <c r="G76" s="2">
        <f xml:space="preserve">  Time!G$14</f>
        <v>0</v>
      </c>
      <c r="L76" s="2">
        <f xml:space="preserve">  Time!L$14</f>
        <v>1682.2905458462872</v>
      </c>
      <c r="M76" s="2">
        <f xml:space="preserve">  Time!M$14</f>
        <v>0</v>
      </c>
      <c r="N76" s="2">
        <f xml:space="preserve">  Time!N$14</f>
        <v>138.153850729889</v>
      </c>
      <c r="O76" s="2">
        <f xml:space="preserve">  Time!O$14</f>
        <v>141.033957438817</v>
      </c>
      <c r="P76" s="2">
        <f xml:space="preserve">  Time!P$14</f>
        <v>143.83924602398201</v>
      </c>
      <c r="Q76" s="2">
        <f xml:space="preserve">  Time!Q$14</f>
        <v>146.71663933540901</v>
      </c>
      <c r="R76" s="2">
        <f xml:space="preserve">  Time!R$14</f>
        <v>149.65085336166601</v>
      </c>
      <c r="S76" s="2">
        <f xml:space="preserve">  Time!S$14</f>
        <v>152.64387042889933</v>
      </c>
      <c r="T76" s="2">
        <f xml:space="preserve">  Time!T$14</f>
        <v>155.69674783747732</v>
      </c>
      <c r="U76" s="2">
        <f xml:space="preserve">  Time!U$14</f>
        <v>158.81068279422686</v>
      </c>
      <c r="V76" s="2">
        <f xml:space="preserve">  Time!V$14</f>
        <v>161.9868964501114</v>
      </c>
      <c r="W76" s="2">
        <f xml:space="preserve">  Time!W$14</f>
        <v>165.22663437911362</v>
      </c>
      <c r="X76" s="2">
        <f xml:space="preserve">  Time!X$14</f>
        <v>168.5311670666959</v>
      </c>
    </row>
    <row r="77" spans="1:24">
      <c r="A77" s="17"/>
      <c r="B77" s="17"/>
      <c r="C77" s="28"/>
      <c r="D77" s="27"/>
      <c r="E77" s="16" t="s">
        <v>201</v>
      </c>
      <c r="F77" s="16"/>
      <c r="G77" s="16" t="s">
        <v>121</v>
      </c>
      <c r="L77" s="6">
        <f xml:space="preserve"> SUM( N77:X77 )</f>
        <v>236017.66564168746</v>
      </c>
      <c r="M77" s="16"/>
      <c r="N77" s="6">
        <f t="shared" ref="N77:X77" si="21" xml:space="preserve">  N75 * ( N76 / $F74 )</f>
        <v>0</v>
      </c>
      <c r="O77" s="6">
        <f t="shared" si="21"/>
        <v>28050.612398298003</v>
      </c>
      <c r="P77" s="6">
        <f t="shared" si="21"/>
        <v>28608.563576842862</v>
      </c>
      <c r="Q77" s="6">
        <f t="shared" si="21"/>
        <v>20890.279550441985</v>
      </c>
      <c r="R77" s="6">
        <f t="shared" si="21"/>
        <v>27901.623212311624</v>
      </c>
      <c r="S77" s="6">
        <f t="shared" si="21"/>
        <v>19761.25571054887</v>
      </c>
      <c r="T77" s="6">
        <f t="shared" si="21"/>
        <v>25213.97094452881</v>
      </c>
      <c r="U77" s="6">
        <f t="shared" si="21"/>
        <v>19586.54479298562</v>
      </c>
      <c r="V77" s="6">
        <f t="shared" si="21"/>
        <v>24841.576226432713</v>
      </c>
      <c r="W77" s="6">
        <f t="shared" si="21"/>
        <v>20377.84120262224</v>
      </c>
      <c r="X77" s="6">
        <f t="shared" si="21"/>
        <v>20785.398026674684</v>
      </c>
    </row>
    <row r="80" spans="1:24">
      <c r="B80" s="23" t="s">
        <v>202</v>
      </c>
    </row>
    <row r="81" spans="1:24">
      <c r="E81" s="46" t="str">
        <f t="shared" ref="E81:X81" si="22" xml:space="preserve">  E$77</f>
        <v>Determined Cost nominal from 2026</v>
      </c>
      <c r="F81" s="1">
        <f t="shared" si="22"/>
        <v>0</v>
      </c>
      <c r="G81" s="1" t="str">
        <f t="shared" si="22"/>
        <v>£'000 nominal</v>
      </c>
      <c r="L81" s="1">
        <f t="shared" si="22"/>
        <v>236017.66564168746</v>
      </c>
      <c r="M81" s="1">
        <f t="shared" si="22"/>
        <v>0</v>
      </c>
      <c r="N81" s="1">
        <f t="shared" si="22"/>
        <v>0</v>
      </c>
      <c r="O81" s="1">
        <f t="shared" si="22"/>
        <v>28050.612398298003</v>
      </c>
      <c r="P81" s="1">
        <f t="shared" si="22"/>
        <v>28608.563576842862</v>
      </c>
      <c r="Q81" s="1">
        <f t="shared" si="22"/>
        <v>20890.279550441985</v>
      </c>
      <c r="R81" s="1">
        <f t="shared" si="22"/>
        <v>27901.623212311624</v>
      </c>
      <c r="S81" s="1">
        <f t="shared" si="22"/>
        <v>19761.25571054887</v>
      </c>
      <c r="T81" s="1">
        <f t="shared" si="22"/>
        <v>25213.97094452881</v>
      </c>
      <c r="U81" s="1">
        <f t="shared" si="22"/>
        <v>19586.54479298562</v>
      </c>
      <c r="V81" s="1">
        <f t="shared" si="22"/>
        <v>24841.576226432713</v>
      </c>
      <c r="W81" s="1">
        <f t="shared" si="22"/>
        <v>20377.84120262224</v>
      </c>
      <c r="X81" s="1">
        <f t="shared" si="22"/>
        <v>20785.398026674684</v>
      </c>
    </row>
    <row r="82" spans="1:24">
      <c r="A82" s="5"/>
      <c r="B82" s="5"/>
      <c r="C82" s="10"/>
      <c r="D82" s="11"/>
      <c r="E82" s="7" t="str">
        <f xml:space="preserve">  Inputs!E$53</f>
        <v>Service Units</v>
      </c>
      <c r="F82" s="2">
        <f xml:space="preserve">  Inputs!F$53</f>
        <v>0</v>
      </c>
      <c r="G82" s="2" t="str">
        <f xml:space="preserve">  Inputs!G$53</f>
        <v>000</v>
      </c>
      <c r="L82" s="2">
        <f xml:space="preserve">  Inputs!L$53</f>
        <v>148622</v>
      </c>
      <c r="M82" s="2">
        <f xml:space="preserve">  Inputs!M$53</f>
        <v>0</v>
      </c>
      <c r="N82" s="2">
        <f xml:space="preserve">  Inputs!N$53</f>
        <v>12392</v>
      </c>
      <c r="O82" s="2">
        <f xml:space="preserve">  Inputs!O$53</f>
        <v>12580</v>
      </c>
      <c r="P82" s="2">
        <f xml:space="preserve">  Inputs!P$53</f>
        <v>12818</v>
      </c>
      <c r="Q82" s="2">
        <f xml:space="preserve">  Inputs!Q$53</f>
        <v>13082</v>
      </c>
      <c r="R82" s="2">
        <f xml:space="preserve">  Inputs!R$53</f>
        <v>13278</v>
      </c>
      <c r="S82" s="2">
        <f xml:space="preserve">  Inputs!S$53</f>
        <v>13507</v>
      </c>
      <c r="T82" s="2">
        <f xml:space="preserve">  Inputs!T$53</f>
        <v>13717</v>
      </c>
      <c r="U82" s="2">
        <f xml:space="preserve">  Inputs!U$53</f>
        <v>13951</v>
      </c>
      <c r="V82" s="2">
        <f xml:space="preserve">  Inputs!V$53</f>
        <v>14189</v>
      </c>
      <c r="W82" s="2">
        <f xml:space="preserve">  Inputs!W$53</f>
        <v>14431</v>
      </c>
      <c r="X82" s="2">
        <f xml:space="preserve">  Inputs!X$53</f>
        <v>14677</v>
      </c>
    </row>
    <row r="83" spans="1:24">
      <c r="A83" s="17"/>
      <c r="B83" s="17"/>
      <c r="C83" s="28"/>
      <c r="D83" s="27"/>
      <c r="E83" s="16" t="s">
        <v>202</v>
      </c>
      <c r="F83" s="16"/>
      <c r="G83" s="16" t="s">
        <v>143</v>
      </c>
      <c r="L83" s="6">
        <f xml:space="preserve"> SUM( N83:X83 )</f>
        <v>17.44408331717819</v>
      </c>
      <c r="M83" s="16"/>
      <c r="N83" s="6">
        <f t="shared" ref="N83:X83" si="23" xml:space="preserve">  N81 / N82</f>
        <v>0</v>
      </c>
      <c r="O83" s="6">
        <f t="shared" si="23"/>
        <v>2.2297784100395868</v>
      </c>
      <c r="P83" s="6">
        <f t="shared" si="23"/>
        <v>2.2319054124545845</v>
      </c>
      <c r="Q83" s="6">
        <f t="shared" si="23"/>
        <v>1.5968720035500676</v>
      </c>
      <c r="R83" s="6">
        <f t="shared" si="23"/>
        <v>2.1013423115161638</v>
      </c>
      <c r="S83" s="6">
        <f t="shared" si="23"/>
        <v>1.4630381069481655</v>
      </c>
      <c r="T83" s="6">
        <f t="shared" si="23"/>
        <v>1.8381549132119859</v>
      </c>
      <c r="U83" s="6">
        <f t="shared" si="23"/>
        <v>1.4039527484041014</v>
      </c>
      <c r="V83" s="6">
        <f t="shared" si="23"/>
        <v>1.7507630013695619</v>
      </c>
      <c r="W83" s="6">
        <f t="shared" si="23"/>
        <v>1.4120879497347543</v>
      </c>
      <c r="X83" s="6">
        <f t="shared" si="23"/>
        <v>1.4161884599492187</v>
      </c>
    </row>
    <row r="86" spans="1:24">
      <c r="B86" s="23" t="s">
        <v>203</v>
      </c>
    </row>
    <row r="87" spans="1:24">
      <c r="E87" s="46" t="str">
        <f t="shared" ref="E87:X87" si="24" xml:space="preserve">  E$77</f>
        <v>Determined Cost nominal from 2026</v>
      </c>
      <c r="F87" s="1">
        <f t="shared" si="24"/>
        <v>0</v>
      </c>
      <c r="G87" s="1" t="str">
        <f t="shared" si="24"/>
        <v>£'000 nominal</v>
      </c>
      <c r="L87" s="1">
        <f t="shared" si="24"/>
        <v>236017.66564168746</v>
      </c>
      <c r="M87" s="1">
        <f t="shared" si="24"/>
        <v>0</v>
      </c>
      <c r="N87" s="1">
        <f t="shared" si="24"/>
        <v>0</v>
      </c>
      <c r="O87" s="1">
        <f t="shared" si="24"/>
        <v>28050.612398298003</v>
      </c>
      <c r="P87" s="1">
        <f t="shared" si="24"/>
        <v>28608.563576842862</v>
      </c>
      <c r="Q87" s="1">
        <f t="shared" si="24"/>
        <v>20890.279550441985</v>
      </c>
      <c r="R87" s="1">
        <f t="shared" si="24"/>
        <v>27901.623212311624</v>
      </c>
      <c r="S87" s="1">
        <f t="shared" si="24"/>
        <v>19761.25571054887</v>
      </c>
      <c r="T87" s="1">
        <f t="shared" si="24"/>
        <v>25213.97094452881</v>
      </c>
      <c r="U87" s="1">
        <f t="shared" si="24"/>
        <v>19586.54479298562</v>
      </c>
      <c r="V87" s="1">
        <f t="shared" si="24"/>
        <v>24841.576226432713</v>
      </c>
      <c r="W87" s="1">
        <f t="shared" si="24"/>
        <v>20377.84120262224</v>
      </c>
      <c r="X87" s="1">
        <f t="shared" si="24"/>
        <v>20785.398026674684</v>
      </c>
    </row>
    <row r="88" spans="1:24">
      <c r="A88" s="5"/>
      <c r="B88" s="5"/>
      <c r="C88" s="10"/>
      <c r="D88" s="11"/>
      <c r="E88" s="7" t="str">
        <f xml:space="preserve">  Inputs!E$52</f>
        <v>Flights</v>
      </c>
      <c r="F88" s="2">
        <f xml:space="preserve">  Inputs!F$52</f>
        <v>0</v>
      </c>
      <c r="G88" s="2" t="str">
        <f xml:space="preserve">  Inputs!G$52</f>
        <v>000</v>
      </c>
      <c r="L88" s="2">
        <f xml:space="preserve">  Inputs!L$52</f>
        <v>29269</v>
      </c>
      <c r="M88" s="2">
        <f xml:space="preserve">  Inputs!M$52</f>
        <v>0</v>
      </c>
      <c r="N88" s="2">
        <f xml:space="preserve">  Inputs!N$52</f>
        <v>2510</v>
      </c>
      <c r="O88" s="2">
        <f xml:space="preserve">  Inputs!O$52</f>
        <v>2536</v>
      </c>
      <c r="P88" s="2">
        <f xml:space="preserve">  Inputs!P$52</f>
        <v>2568</v>
      </c>
      <c r="Q88" s="2">
        <f xml:space="preserve">  Inputs!Q$52</f>
        <v>2606</v>
      </c>
      <c r="R88" s="2">
        <f xml:space="preserve">  Inputs!R$52</f>
        <v>2630</v>
      </c>
      <c r="S88" s="2">
        <f xml:space="preserve">  Inputs!S$52</f>
        <v>2661</v>
      </c>
      <c r="T88" s="2">
        <f xml:space="preserve">  Inputs!T$52</f>
        <v>2689</v>
      </c>
      <c r="U88" s="2">
        <f xml:space="preserve">  Inputs!U$52</f>
        <v>2720</v>
      </c>
      <c r="V88" s="2">
        <f xml:space="preserve">  Inputs!V$52</f>
        <v>2751</v>
      </c>
      <c r="W88" s="2">
        <f xml:space="preserve">  Inputs!W$52</f>
        <v>2783</v>
      </c>
      <c r="X88" s="2">
        <f xml:space="preserve">  Inputs!X$52</f>
        <v>2815</v>
      </c>
    </row>
    <row r="89" spans="1:24">
      <c r="A89" s="17"/>
      <c r="B89" s="17"/>
      <c r="C89" s="28"/>
      <c r="D89" s="27"/>
      <c r="E89" s="16" t="s">
        <v>203</v>
      </c>
      <c r="F89" s="16"/>
      <c r="G89" s="16" t="s">
        <v>143</v>
      </c>
      <c r="L89" s="6">
        <f xml:space="preserve"> SUM( N89:X89 )</f>
        <v>88.566550131921574</v>
      </c>
      <c r="M89" s="16"/>
      <c r="N89" s="6">
        <f t="shared" ref="N89:X89" si="25" xml:space="preserve">  N87 / N88</f>
        <v>0</v>
      </c>
      <c r="O89" s="6">
        <f t="shared" si="25"/>
        <v>11.060967034029181</v>
      </c>
      <c r="P89" s="6">
        <f t="shared" si="25"/>
        <v>11.140406377275259</v>
      </c>
      <c r="Q89" s="6">
        <f t="shared" si="25"/>
        <v>8.0162239257260115</v>
      </c>
      <c r="R89" s="6">
        <f t="shared" si="25"/>
        <v>10.60898221000442</v>
      </c>
      <c r="S89" s="6">
        <f t="shared" si="25"/>
        <v>7.4262516762678956</v>
      </c>
      <c r="T89" s="6">
        <f t="shared" si="25"/>
        <v>9.3767091649419143</v>
      </c>
      <c r="U89" s="6">
        <f t="shared" si="25"/>
        <v>7.2009355856564783</v>
      </c>
      <c r="V89" s="6">
        <f t="shared" si="25"/>
        <v>9.0300168035015318</v>
      </c>
      <c r="W89" s="6">
        <f t="shared" si="25"/>
        <v>7.3222569898031766</v>
      </c>
      <c r="X89" s="6">
        <f t="shared" si="25"/>
        <v>7.3838003647156958</v>
      </c>
    </row>
    <row r="92" spans="1:24">
      <c r="B92" s="23" t="s">
        <v>204</v>
      </c>
    </row>
    <row r="93" spans="1:24">
      <c r="A93" s="5"/>
      <c r="B93" s="5"/>
      <c r="C93" s="10"/>
      <c r="D93" s="11"/>
      <c r="E93" s="7" t="str">
        <f xml:space="preserve">  Inputs!E$35</f>
        <v>Passengers (PAX) per flight</v>
      </c>
      <c r="F93" s="2">
        <f xml:space="preserve">  Inputs!F$35</f>
        <v>130</v>
      </c>
      <c r="G93" s="7">
        <f xml:space="preserve">  Inputs!G$35</f>
        <v>0</v>
      </c>
      <c r="L93" s="3"/>
    </row>
    <row r="94" spans="1:24">
      <c r="A94" s="5"/>
      <c r="B94" s="5"/>
      <c r="C94" s="10"/>
      <c r="D94" s="11"/>
      <c r="E94" s="7" t="str">
        <f>E64</f>
        <v>DC per flight real from 2026</v>
      </c>
      <c r="F94" s="7">
        <f t="shared" ref="F94:X94" si="26">F64</f>
        <v>0</v>
      </c>
      <c r="G94" s="7" t="str">
        <f t="shared" si="26"/>
        <v>£ nominal</v>
      </c>
      <c r="H94" s="7">
        <f t="shared" si="26"/>
        <v>0</v>
      </c>
      <c r="I94" s="7">
        <f t="shared" si="26"/>
        <v>0</v>
      </c>
      <c r="J94" s="7">
        <f t="shared" si="26"/>
        <v>0</v>
      </c>
      <c r="K94" s="7">
        <f t="shared" si="26"/>
        <v>0</v>
      </c>
      <c r="L94" s="7">
        <f t="shared" si="26"/>
        <v>77.567839288686557</v>
      </c>
      <c r="M94" s="7">
        <f t="shared" si="26"/>
        <v>0</v>
      </c>
      <c r="N94" s="7">
        <f t="shared" si="26"/>
        <v>0</v>
      </c>
      <c r="O94" s="7">
        <f t="shared" si="26"/>
        <v>10.497794224789471</v>
      </c>
      <c r="P94" s="7">
        <f t="shared" si="26"/>
        <v>10.366980589589602</v>
      </c>
      <c r="Q94" s="7">
        <f t="shared" si="26"/>
        <v>7.3133965038181392</v>
      </c>
      <c r="R94" s="7">
        <f t="shared" si="26"/>
        <v>9.4890595811542511</v>
      </c>
      <c r="S94" s="7">
        <f t="shared" si="26"/>
        <v>6.5120682575663205</v>
      </c>
      <c r="T94" s="7">
        <f t="shared" si="26"/>
        <v>8.0611973729211197</v>
      </c>
      <c r="U94" s="7">
        <f t="shared" si="26"/>
        <v>6.0692896355826811</v>
      </c>
      <c r="V94" s="7">
        <f t="shared" si="26"/>
        <v>7.4616920917066114</v>
      </c>
      <c r="W94" s="7">
        <f t="shared" si="26"/>
        <v>5.9318964458443739</v>
      </c>
      <c r="X94" s="7">
        <f t="shared" si="26"/>
        <v>5.8644645857139936</v>
      </c>
    </row>
    <row r="95" spans="1:24">
      <c r="A95" s="17"/>
      <c r="B95" s="17"/>
      <c r="C95" s="28"/>
      <c r="D95" s="27"/>
      <c r="E95" s="16" t="s">
        <v>204</v>
      </c>
      <c r="F95" s="16"/>
      <c r="G95" s="16" t="s">
        <v>58</v>
      </c>
      <c r="L95" s="6">
        <f xml:space="preserve"> SUM( N95:X95 )</f>
        <v>0.59667568683605032</v>
      </c>
      <c r="M95" s="16"/>
      <c r="N95" s="6">
        <f t="shared" ref="N95:X95" si="27" xml:space="preserve">  N94 / $F93</f>
        <v>0</v>
      </c>
      <c r="O95" s="6">
        <f t="shared" si="27"/>
        <v>8.0752263267611313E-2</v>
      </c>
      <c r="P95" s="6">
        <f t="shared" si="27"/>
        <v>7.9746004535304629E-2</v>
      </c>
      <c r="Q95" s="6">
        <f t="shared" si="27"/>
        <v>5.6256896183216457E-2</v>
      </c>
      <c r="R95" s="6">
        <f t="shared" si="27"/>
        <v>7.2992766008878857E-2</v>
      </c>
      <c r="S95" s="6">
        <f t="shared" si="27"/>
        <v>5.0092832750510158E-2</v>
      </c>
      <c r="T95" s="6">
        <f t="shared" si="27"/>
        <v>6.2009210560931692E-2</v>
      </c>
      <c r="U95" s="6">
        <f t="shared" si="27"/>
        <v>4.6686843350636005E-2</v>
      </c>
      <c r="V95" s="6">
        <f t="shared" si="27"/>
        <v>5.7397631474666241E-2</v>
      </c>
      <c r="W95" s="6">
        <f t="shared" si="27"/>
        <v>4.5629972660341335E-2</v>
      </c>
      <c r="X95" s="6">
        <f t="shared" si="27"/>
        <v>4.5111266043953796E-2</v>
      </c>
    </row>
    <row r="98" spans="1:24">
      <c r="B98" s="23" t="s">
        <v>205</v>
      </c>
    </row>
    <row r="99" spans="1:24">
      <c r="A99" s="5"/>
      <c r="B99" s="5"/>
      <c r="C99" s="10"/>
      <c r="D99" s="11"/>
      <c r="E99" s="7" t="str">
        <f xml:space="preserve">  Inputs!E$36</f>
        <v>UK en-route rate</v>
      </c>
      <c r="F99" s="4">
        <f xml:space="preserve">  Inputs!F$36</f>
        <v>75.2</v>
      </c>
      <c r="G99" s="7" t="str">
        <f xml:space="preserve">  Inputs!G$36</f>
        <v>£ real</v>
      </c>
      <c r="L99" s="1"/>
    </row>
    <row r="100" spans="1:24">
      <c r="E100" s="46" t="str">
        <f t="shared" ref="E100:X100" si="28" xml:space="preserve">  E$70</f>
        <v>DC per SU real from 2026</v>
      </c>
      <c r="F100" s="1">
        <f t="shared" si="28"/>
        <v>0</v>
      </c>
      <c r="G100" s="1" t="str">
        <f t="shared" si="28"/>
        <v>£( 2024 prices)</v>
      </c>
      <c r="L100" s="1">
        <f t="shared" si="28"/>
        <v>15.291544634596427</v>
      </c>
      <c r="M100" s="1">
        <f t="shared" si="28"/>
        <v>0</v>
      </c>
      <c r="N100" s="1">
        <f t="shared" si="28"/>
        <v>0</v>
      </c>
      <c r="O100" s="1">
        <f t="shared" si="28"/>
        <v>2.1162485019130446</v>
      </c>
      <c r="P100" s="1">
        <f t="shared" si="28"/>
        <v>2.0769547631507335</v>
      </c>
      <c r="Q100" s="1">
        <f t="shared" si="28"/>
        <v>1.4568652567612042</v>
      </c>
      <c r="R100" s="1">
        <f t="shared" si="28"/>
        <v>1.8795169979240609</v>
      </c>
      <c r="S100" s="1">
        <f t="shared" si="28"/>
        <v>1.2829357839182631</v>
      </c>
      <c r="T100" s="1">
        <f t="shared" si="28"/>
        <v>1.5802697190190924</v>
      </c>
      <c r="U100" s="1">
        <f t="shared" si="28"/>
        <v>1.1833178846523469</v>
      </c>
      <c r="V100" s="1">
        <f t="shared" si="28"/>
        <v>1.4466921519687708</v>
      </c>
      <c r="W100" s="1">
        <f t="shared" si="28"/>
        <v>1.1439586867704865</v>
      </c>
      <c r="X100" s="1">
        <f t="shared" si="28"/>
        <v>1.1247848885184228</v>
      </c>
    </row>
    <row r="101" spans="1:24">
      <c r="A101" s="17"/>
      <c r="B101" s="17"/>
      <c r="C101" s="28"/>
      <c r="D101" s="27"/>
      <c r="E101" s="16" t="s">
        <v>205</v>
      </c>
      <c r="F101" s="16"/>
      <c r="G101" s="16" t="s">
        <v>36</v>
      </c>
      <c r="L101" s="29"/>
      <c r="M101" s="16"/>
      <c r="N101" s="29">
        <f t="shared" ref="N101:X101" si="29" xml:space="preserve">  N100 / $F99</f>
        <v>0</v>
      </c>
      <c r="O101" s="29">
        <f t="shared" si="29"/>
        <v>2.8141602419056444E-2</v>
      </c>
      <c r="P101" s="29">
        <f t="shared" si="29"/>
        <v>2.76190792972172E-2</v>
      </c>
      <c r="Q101" s="29">
        <f t="shared" si="29"/>
        <v>1.9373208201611758E-2</v>
      </c>
      <c r="R101" s="29">
        <f t="shared" si="29"/>
        <v>2.4993577100053999E-2</v>
      </c>
      <c r="S101" s="29">
        <f t="shared" si="29"/>
        <v>1.7060316275508816E-2</v>
      </c>
      <c r="T101" s="29">
        <f t="shared" si="29"/>
        <v>2.1014224986956015E-2</v>
      </c>
      <c r="U101" s="29">
        <f t="shared" si="29"/>
        <v>1.5735610168249294E-2</v>
      </c>
      <c r="V101" s="29">
        <f t="shared" si="29"/>
        <v>1.9237927552776205E-2</v>
      </c>
      <c r="W101" s="29">
        <f t="shared" si="29"/>
        <v>1.5212216579394767E-2</v>
      </c>
      <c r="X101" s="29">
        <f t="shared" si="29"/>
        <v>1.4957245857957749E-2</v>
      </c>
    </row>
    <row r="104" spans="1:24">
      <c r="B104" s="23" t="s">
        <v>206</v>
      </c>
    </row>
    <row r="105" spans="1:24">
      <c r="A105" s="5"/>
      <c r="B105" s="5"/>
      <c r="C105" s="10"/>
      <c r="D105" s="11"/>
      <c r="E105" s="7" t="str">
        <f xml:space="preserve">  Inputs!E$70</f>
        <v>Real Social Time Preference Rate</v>
      </c>
      <c r="F105" s="35">
        <f xml:space="preserve">  Inputs!F$70</f>
        <v>3.5000000000000003E-2</v>
      </c>
      <c r="G105" s="7" t="str">
        <f xml:space="preserve">  Inputs!G$70</f>
        <v>%</v>
      </c>
      <c r="L105" s="53"/>
    </row>
    <row r="106" spans="1:24">
      <c r="E106" s="46" t="str">
        <f t="shared" ref="E106:X106" si="30" xml:space="preserve">  E$58</f>
        <v>Determined costs real from 2026</v>
      </c>
      <c r="F106" s="1">
        <f t="shared" si="30"/>
        <v>0</v>
      </c>
      <c r="G106" s="1" t="str">
        <f t="shared" si="30"/>
        <v>£'000 (2024 prices)</v>
      </c>
      <c r="L106" s="1">
        <f t="shared" si="30"/>
        <v>206317.44203532638</v>
      </c>
      <c r="M106" s="1">
        <f t="shared" si="30"/>
        <v>0</v>
      </c>
      <c r="N106" s="1">
        <f t="shared" si="30"/>
        <v>0</v>
      </c>
      <c r="O106" s="1">
        <f t="shared" si="30"/>
        <v>26622.406154066099</v>
      </c>
      <c r="P106" s="1">
        <f t="shared" si="30"/>
        <v>26622.406154066099</v>
      </c>
      <c r="Q106" s="1">
        <f t="shared" si="30"/>
        <v>19058.711288950071</v>
      </c>
      <c r="R106" s="1">
        <f t="shared" si="30"/>
        <v>24956.226698435679</v>
      </c>
      <c r="S106" s="1">
        <f t="shared" si="30"/>
        <v>17328.613633383979</v>
      </c>
      <c r="T106" s="1">
        <f t="shared" si="30"/>
        <v>21676.559735784889</v>
      </c>
      <c r="U106" s="1">
        <f t="shared" si="30"/>
        <v>16508.467808784892</v>
      </c>
      <c r="V106" s="1">
        <f t="shared" si="30"/>
        <v>20527.114944284887</v>
      </c>
      <c r="W106" s="1">
        <f t="shared" si="30"/>
        <v>16508.467808784892</v>
      </c>
      <c r="X106" s="1">
        <f t="shared" si="30"/>
        <v>16508.467808784892</v>
      </c>
    </row>
    <row r="107" spans="1:24">
      <c r="A107" s="17"/>
      <c r="B107" s="17"/>
      <c r="C107" s="28"/>
      <c r="D107" s="27"/>
      <c r="E107" s="16" t="s">
        <v>206</v>
      </c>
      <c r="F107" s="6">
        <f xml:space="preserve">  NPV( $F105, $N106:$X106 )</f>
        <v>168228.31238267547</v>
      </c>
      <c r="G107" s="16" t="s">
        <v>62</v>
      </c>
      <c r="L107" s="1"/>
    </row>
    <row r="110" spans="1:24">
      <c r="A110" s="23" t="s">
        <v>172</v>
      </c>
    </row>
    <row r="112" spans="1:24" outlineLevel="1">
      <c r="A112" s="23" t="s">
        <v>173</v>
      </c>
    </row>
    <row r="113" spans="1:24" outlineLevel="1"/>
    <row r="114" spans="1:24" outlineLevel="2">
      <c r="B114" s="23" t="s">
        <v>207</v>
      </c>
    </row>
    <row r="115" spans="1:24" outlineLevel="2">
      <c r="A115" s="5"/>
      <c r="B115" s="5"/>
      <c r="C115" s="10"/>
      <c r="D115" s="11"/>
      <c r="E115" s="7" t="str">
        <f xml:space="preserve">  Time!E$33</f>
        <v>Period number</v>
      </c>
      <c r="F115" s="8">
        <f xml:space="preserve">  Time!F$33</f>
        <v>0</v>
      </c>
      <c r="G115" s="8" t="str">
        <f xml:space="preserve">  Time!G$33</f>
        <v>Counter</v>
      </c>
      <c r="L115" s="8">
        <f xml:space="preserve">  Time!L$33</f>
        <v>0</v>
      </c>
      <c r="M115" s="8">
        <f xml:space="preserve">  Time!M$33</f>
        <v>0</v>
      </c>
      <c r="N115" s="8">
        <f xml:space="preserve">  Time!N$33</f>
        <v>1</v>
      </c>
      <c r="O115" s="8">
        <f xml:space="preserve">  Time!O$33</f>
        <v>2</v>
      </c>
      <c r="P115" s="8">
        <f xml:space="preserve">  Time!P$33</f>
        <v>3</v>
      </c>
      <c r="Q115" s="8">
        <f xml:space="preserve">  Time!Q$33</f>
        <v>4</v>
      </c>
      <c r="R115" s="8">
        <f xml:space="preserve">  Time!R$33</f>
        <v>5</v>
      </c>
      <c r="S115" s="8">
        <f xml:space="preserve">  Time!S$33</f>
        <v>6</v>
      </c>
      <c r="T115" s="8">
        <f xml:space="preserve">  Time!T$33</f>
        <v>7</v>
      </c>
      <c r="U115" s="8">
        <f xml:space="preserve">  Time!U$33</f>
        <v>8</v>
      </c>
      <c r="V115" s="8">
        <f xml:space="preserve">  Time!V$33</f>
        <v>9</v>
      </c>
      <c r="W115" s="8">
        <f xml:space="preserve">  Time!W$33</f>
        <v>10</v>
      </c>
      <c r="X115" s="8">
        <f xml:space="preserve">  Time!X$33</f>
        <v>11</v>
      </c>
    </row>
    <row r="116" spans="1:24" outlineLevel="2">
      <c r="E116" s="46" t="str">
        <f t="shared" ref="E116:X116" si="31" xml:space="preserve">  E$58</f>
        <v>Determined costs real from 2026</v>
      </c>
      <c r="F116" s="1">
        <f t="shared" si="31"/>
        <v>0</v>
      </c>
      <c r="G116" s="1" t="str">
        <f t="shared" si="31"/>
        <v>£'000 (2024 prices)</v>
      </c>
      <c r="L116" s="1">
        <f t="shared" si="31"/>
        <v>206317.44203532638</v>
      </c>
      <c r="M116" s="1">
        <f t="shared" si="31"/>
        <v>0</v>
      </c>
      <c r="N116" s="1">
        <f t="shared" si="31"/>
        <v>0</v>
      </c>
      <c r="O116" s="1">
        <f t="shared" si="31"/>
        <v>26622.406154066099</v>
      </c>
      <c r="P116" s="1">
        <f t="shared" si="31"/>
        <v>26622.406154066099</v>
      </c>
      <c r="Q116" s="1">
        <f t="shared" si="31"/>
        <v>19058.711288950071</v>
      </c>
      <c r="R116" s="1">
        <f t="shared" si="31"/>
        <v>24956.226698435679</v>
      </c>
      <c r="S116" s="1">
        <f t="shared" si="31"/>
        <v>17328.613633383979</v>
      </c>
      <c r="T116" s="1">
        <f t="shared" si="31"/>
        <v>21676.559735784889</v>
      </c>
      <c r="U116" s="1">
        <f t="shared" si="31"/>
        <v>16508.467808784892</v>
      </c>
      <c r="V116" s="1">
        <f t="shared" si="31"/>
        <v>20527.114944284887</v>
      </c>
      <c r="W116" s="1">
        <f t="shared" si="31"/>
        <v>16508.467808784892</v>
      </c>
      <c r="X116" s="1">
        <f t="shared" si="31"/>
        <v>16508.467808784892</v>
      </c>
    </row>
    <row r="117" spans="1:24" outlineLevel="2">
      <c r="E117" s="46" t="s">
        <v>207</v>
      </c>
      <c r="G117" s="46" t="s">
        <v>62</v>
      </c>
      <c r="L117" s="1">
        <f xml:space="preserve"> SUM( N117:X117 )</f>
        <v>53244.812308132197</v>
      </c>
      <c r="N117" s="1">
        <f t="shared" ref="N117:X117" si="32" xml:space="preserve">  IF( OR( N115 = 2, N115 = 3 ), N116, 0 )</f>
        <v>0</v>
      </c>
      <c r="O117" s="1">
        <f t="shared" si="32"/>
        <v>26622.406154066099</v>
      </c>
      <c r="P117" s="1">
        <f t="shared" si="32"/>
        <v>26622.406154066099</v>
      </c>
      <c r="Q117" s="1">
        <f t="shared" si="32"/>
        <v>0</v>
      </c>
      <c r="R117" s="1">
        <f t="shared" si="32"/>
        <v>0</v>
      </c>
      <c r="S117" s="1">
        <f t="shared" si="32"/>
        <v>0</v>
      </c>
      <c r="T117" s="1">
        <f t="shared" si="32"/>
        <v>0</v>
      </c>
      <c r="U117" s="1">
        <f t="shared" si="32"/>
        <v>0</v>
      </c>
      <c r="V117" s="1">
        <f t="shared" si="32"/>
        <v>0</v>
      </c>
      <c r="W117" s="1">
        <f t="shared" si="32"/>
        <v>0</v>
      </c>
      <c r="X117" s="1">
        <f t="shared" si="32"/>
        <v>0</v>
      </c>
    </row>
    <row r="118" spans="1:24" outlineLevel="2"/>
    <row r="119" spans="1:24" outlineLevel="2"/>
    <row r="120" spans="1:24" outlineLevel="2">
      <c r="B120" s="23" t="s">
        <v>208</v>
      </c>
    </row>
    <row r="121" spans="1:24" outlineLevel="2">
      <c r="E121" s="46" t="str">
        <f t="shared" ref="E121:X121" si="33" xml:space="preserve">  E$117</f>
        <v>Determined costs real from 2026 (NR23 period)</v>
      </c>
      <c r="F121" s="1">
        <f t="shared" si="33"/>
        <v>0</v>
      </c>
      <c r="G121" s="1" t="str">
        <f t="shared" si="33"/>
        <v>£'000 (2024 prices)</v>
      </c>
      <c r="L121" s="1">
        <f t="shared" si="33"/>
        <v>53244.812308132197</v>
      </c>
      <c r="M121" s="1">
        <f t="shared" si="33"/>
        <v>0</v>
      </c>
      <c r="N121" s="1">
        <f t="shared" si="33"/>
        <v>0</v>
      </c>
      <c r="O121" s="1">
        <f t="shared" si="33"/>
        <v>26622.406154066099</v>
      </c>
      <c r="P121" s="1">
        <f t="shared" si="33"/>
        <v>26622.406154066099</v>
      </c>
      <c r="Q121" s="1">
        <f t="shared" si="33"/>
        <v>0</v>
      </c>
      <c r="R121" s="1">
        <f t="shared" si="33"/>
        <v>0</v>
      </c>
      <c r="S121" s="1">
        <f t="shared" si="33"/>
        <v>0</v>
      </c>
      <c r="T121" s="1">
        <f t="shared" si="33"/>
        <v>0</v>
      </c>
      <c r="U121" s="1">
        <f t="shared" si="33"/>
        <v>0</v>
      </c>
      <c r="V121" s="1">
        <f t="shared" si="33"/>
        <v>0</v>
      </c>
      <c r="W121" s="1">
        <f t="shared" si="33"/>
        <v>0</v>
      </c>
      <c r="X121" s="1">
        <f t="shared" si="33"/>
        <v>0</v>
      </c>
    </row>
    <row r="122" spans="1:24" outlineLevel="2">
      <c r="A122" s="17"/>
      <c r="B122" s="17"/>
      <c r="C122" s="28"/>
      <c r="D122" s="27"/>
      <c r="E122" s="16" t="s">
        <v>208</v>
      </c>
      <c r="F122" s="6">
        <f xml:space="preserve">  SUM( $N121:$X121 )</f>
        <v>53244.812308132197</v>
      </c>
      <c r="G122" s="16" t="s">
        <v>62</v>
      </c>
      <c r="L122" s="1"/>
    </row>
    <row r="123" spans="1:24" outlineLevel="2"/>
    <row r="124" spans="1:24" outlineLevel="2"/>
    <row r="125" spans="1:24" outlineLevel="2">
      <c r="B125" s="23" t="s">
        <v>209</v>
      </c>
    </row>
    <row r="126" spans="1:24" outlineLevel="2">
      <c r="E126" s="46" t="str">
        <f t="shared" ref="E126:G126" si="34" xml:space="preserve">  E$122</f>
        <v>Total Determined costs real from 2026 (NR23 period)</v>
      </c>
      <c r="F126" s="1">
        <f t="shared" si="34"/>
        <v>53244.812308132197</v>
      </c>
      <c r="G126" s="46" t="str">
        <f t="shared" si="34"/>
        <v>£'000 (2024 prices)</v>
      </c>
      <c r="L126" s="1"/>
    </row>
    <row r="127" spans="1:24" outlineLevel="2">
      <c r="A127" s="5"/>
      <c r="B127" s="5"/>
      <c r="C127" s="10"/>
      <c r="D127" s="11"/>
      <c r="E127" s="7" t="str">
        <f xml:space="preserve">  'Scenarios Chosen'!E$48</f>
        <v>Total Service Units forecast for NR23 period (2026 start)</v>
      </c>
      <c r="F127" s="2">
        <f xml:space="preserve">  'Scenarios Chosen'!F$48</f>
        <v>25398</v>
      </c>
      <c r="G127" s="7" t="str">
        <f xml:space="preserve">  'Scenarios Chosen'!G$48</f>
        <v>000</v>
      </c>
      <c r="L127" s="3"/>
    </row>
    <row r="128" spans="1:24" outlineLevel="2">
      <c r="A128" s="17"/>
      <c r="B128" s="17"/>
      <c r="C128" s="28"/>
      <c r="D128" s="27"/>
      <c r="E128" s="16" t="s">
        <v>209</v>
      </c>
      <c r="F128" s="49">
        <f xml:space="preserve">  $F126 / $F127</f>
        <v>2.0964175253221593</v>
      </c>
      <c r="G128" s="16" t="s">
        <v>58</v>
      </c>
      <c r="L128" s="32"/>
    </row>
    <row r="129" spans="1:12" outlineLevel="2"/>
    <row r="130" spans="1:12" outlineLevel="2"/>
    <row r="131" spans="1:12" outlineLevel="2">
      <c r="B131" s="23" t="s">
        <v>210</v>
      </c>
    </row>
    <row r="132" spans="1:12" outlineLevel="2">
      <c r="E132" s="46" t="str">
        <f t="shared" ref="E132:G132" si="35" xml:space="preserve">  E$122</f>
        <v>Total Determined costs real from 2026 (NR23 period)</v>
      </c>
      <c r="F132" s="1">
        <f t="shared" si="35"/>
        <v>53244.812308132197</v>
      </c>
      <c r="G132" s="46" t="str">
        <f t="shared" si="35"/>
        <v>£'000 (2024 prices)</v>
      </c>
      <c r="L132" s="1"/>
    </row>
    <row r="133" spans="1:12" outlineLevel="2">
      <c r="A133" s="5"/>
      <c r="B133" s="5"/>
      <c r="C133" s="10"/>
      <c r="D133" s="11"/>
      <c r="E133" s="7" t="str">
        <f xml:space="preserve">  'Scenarios Chosen'!E$59</f>
        <v>Total Flights forecast for NR23 period (2026 start)</v>
      </c>
      <c r="F133" s="2">
        <f xml:space="preserve">  'Scenarios Chosen'!F$59</f>
        <v>5104</v>
      </c>
      <c r="G133" s="7" t="str">
        <f xml:space="preserve">  'Scenarios Chosen'!G$59</f>
        <v>000</v>
      </c>
      <c r="L133" s="3"/>
    </row>
    <row r="134" spans="1:12" outlineLevel="2">
      <c r="A134" s="17"/>
      <c r="B134" s="17"/>
      <c r="C134" s="28"/>
      <c r="D134" s="27"/>
      <c r="E134" s="16" t="s">
        <v>210</v>
      </c>
      <c r="F134" s="49">
        <f xml:space="preserve">  $F132 / $F133</f>
        <v>10.431977333098001</v>
      </c>
      <c r="G134" s="16" t="s">
        <v>58</v>
      </c>
      <c r="L134" s="32"/>
    </row>
    <row r="135" spans="1:12" outlineLevel="2"/>
    <row r="136" spans="1:12" outlineLevel="2"/>
    <row r="137" spans="1:12" outlineLevel="2">
      <c r="B137" s="23" t="s">
        <v>211</v>
      </c>
    </row>
    <row r="138" spans="1:12" outlineLevel="2">
      <c r="E138" s="46" t="str">
        <f t="shared" ref="E138:G138" si="36" xml:space="preserve">  E$134</f>
        <v>Charge per flight real for NR23 period</v>
      </c>
      <c r="F138" s="32">
        <f t="shared" si="36"/>
        <v>10.431977333098001</v>
      </c>
      <c r="G138" s="46" t="str">
        <f t="shared" si="36"/>
        <v>£ real</v>
      </c>
      <c r="L138" s="32"/>
    </row>
    <row r="139" spans="1:12" outlineLevel="2">
      <c r="A139" s="5"/>
      <c r="B139" s="5"/>
      <c r="C139" s="10"/>
      <c r="D139" s="11"/>
      <c r="E139" s="7" t="str">
        <f xml:space="preserve">  Inputs!E$35</f>
        <v>Passengers (PAX) per flight</v>
      </c>
      <c r="F139" s="2">
        <f xml:space="preserve">  Inputs!F$35</f>
        <v>130</v>
      </c>
      <c r="G139" s="7">
        <f xml:space="preserve">  Inputs!G$35</f>
        <v>0</v>
      </c>
      <c r="L139" s="3"/>
    </row>
    <row r="140" spans="1:12" outlineLevel="2">
      <c r="A140" s="17"/>
      <c r="B140" s="17"/>
      <c r="C140" s="28"/>
      <c r="D140" s="27"/>
      <c r="E140" s="16" t="s">
        <v>211</v>
      </c>
      <c r="F140" s="49">
        <f xml:space="preserve">  $F138 / $F139</f>
        <v>8.024597948536924E-2</v>
      </c>
      <c r="G140" s="16" t="s">
        <v>58</v>
      </c>
      <c r="L140" s="32"/>
    </row>
    <row r="141" spans="1:12" outlineLevel="2"/>
    <row r="142" spans="1:12" outlineLevel="2"/>
    <row r="143" spans="1:12" outlineLevel="2">
      <c r="B143" s="23" t="s">
        <v>212</v>
      </c>
    </row>
    <row r="144" spans="1:12" outlineLevel="2">
      <c r="E144" s="46" t="str">
        <f t="shared" ref="E144:G144" si="37" xml:space="preserve">  E$128</f>
        <v>Charge per service unit real for NR23 period</v>
      </c>
      <c r="F144" s="32">
        <f t="shared" si="37"/>
        <v>2.0964175253221593</v>
      </c>
      <c r="G144" s="46" t="str">
        <f t="shared" si="37"/>
        <v>£ real</v>
      </c>
      <c r="L144" s="32"/>
    </row>
    <row r="145" spans="1:24" outlineLevel="2">
      <c r="A145" s="5"/>
      <c r="B145" s="5"/>
      <c r="C145" s="10"/>
      <c r="D145" s="11"/>
      <c r="E145" s="7" t="str">
        <f xml:space="preserve">  Inputs!E$36</f>
        <v>UK en-route rate</v>
      </c>
      <c r="F145" s="4">
        <f xml:space="preserve">  Inputs!F$36</f>
        <v>75.2</v>
      </c>
      <c r="G145" s="7" t="str">
        <f xml:space="preserve">  Inputs!G$36</f>
        <v>£ real</v>
      </c>
      <c r="L145" s="1"/>
    </row>
    <row r="146" spans="1:24" outlineLevel="2">
      <c r="A146" s="17"/>
      <c r="B146" s="17"/>
      <c r="C146" s="28"/>
      <c r="D146" s="27"/>
      <c r="E146" s="16" t="s">
        <v>212</v>
      </c>
      <c r="F146" s="78">
        <f xml:space="preserve">  $F144 / $F145</f>
        <v>2.7877892623964885E-2</v>
      </c>
      <c r="G146" s="16" t="s">
        <v>36</v>
      </c>
      <c r="L146" s="39"/>
    </row>
    <row r="147" spans="1:24" outlineLevel="2"/>
    <row r="148" spans="1:24" outlineLevel="1"/>
    <row r="149" spans="1:24" outlineLevel="1">
      <c r="A149" s="23" t="s">
        <v>182</v>
      </c>
    </row>
    <row r="150" spans="1:24" outlineLevel="1"/>
    <row r="151" spans="1:24" outlineLevel="2">
      <c r="B151" s="23" t="s">
        <v>213</v>
      </c>
    </row>
    <row r="152" spans="1:24" outlineLevel="2">
      <c r="A152" s="5"/>
      <c r="B152" s="5"/>
      <c r="C152" s="10"/>
      <c r="D152" s="11"/>
      <c r="E152" s="7" t="str">
        <f xml:space="preserve">  Time!E$33</f>
        <v>Period number</v>
      </c>
      <c r="F152" s="8">
        <f xml:space="preserve">  Time!F$33</f>
        <v>0</v>
      </c>
      <c r="G152" s="8" t="str">
        <f xml:space="preserve">  Time!G$33</f>
        <v>Counter</v>
      </c>
      <c r="L152" s="8">
        <f xml:space="preserve">  Time!L$33</f>
        <v>0</v>
      </c>
      <c r="M152" s="8">
        <f xml:space="preserve">  Time!M$33</f>
        <v>0</v>
      </c>
      <c r="N152" s="8">
        <f xml:space="preserve">  Time!N$33</f>
        <v>1</v>
      </c>
      <c r="O152" s="8">
        <f xml:space="preserve">  Time!O$33</f>
        <v>2</v>
      </c>
      <c r="P152" s="8">
        <f xml:space="preserve">  Time!P$33</f>
        <v>3</v>
      </c>
      <c r="Q152" s="8">
        <f xml:space="preserve">  Time!Q$33</f>
        <v>4</v>
      </c>
      <c r="R152" s="8">
        <f xml:space="preserve">  Time!R$33</f>
        <v>5</v>
      </c>
      <c r="S152" s="8">
        <f xml:space="preserve">  Time!S$33</f>
        <v>6</v>
      </c>
      <c r="T152" s="8">
        <f xml:space="preserve">  Time!T$33</f>
        <v>7</v>
      </c>
      <c r="U152" s="8">
        <f xml:space="preserve">  Time!U$33</f>
        <v>8</v>
      </c>
      <c r="V152" s="8">
        <f xml:space="preserve">  Time!V$33</f>
        <v>9</v>
      </c>
      <c r="W152" s="8">
        <f xml:space="preserve">  Time!W$33</f>
        <v>10</v>
      </c>
      <c r="X152" s="8">
        <f xml:space="preserve">  Time!X$33</f>
        <v>11</v>
      </c>
    </row>
    <row r="153" spans="1:24" outlineLevel="2">
      <c r="E153" s="46" t="str">
        <f t="shared" ref="E153:X153" si="38" xml:space="preserve">  E$58</f>
        <v>Determined costs real from 2026</v>
      </c>
      <c r="F153" s="1">
        <f t="shared" si="38"/>
        <v>0</v>
      </c>
      <c r="G153" s="1" t="str">
        <f t="shared" si="38"/>
        <v>£'000 (2024 prices)</v>
      </c>
      <c r="L153" s="1">
        <f t="shared" si="38"/>
        <v>206317.44203532638</v>
      </c>
      <c r="M153" s="1">
        <f t="shared" si="38"/>
        <v>0</v>
      </c>
      <c r="N153" s="1">
        <f t="shared" si="38"/>
        <v>0</v>
      </c>
      <c r="O153" s="1">
        <f t="shared" si="38"/>
        <v>26622.406154066099</v>
      </c>
      <c r="P153" s="1">
        <f t="shared" si="38"/>
        <v>26622.406154066099</v>
      </c>
      <c r="Q153" s="1">
        <f t="shared" si="38"/>
        <v>19058.711288950071</v>
      </c>
      <c r="R153" s="1">
        <f t="shared" si="38"/>
        <v>24956.226698435679</v>
      </c>
      <c r="S153" s="1">
        <f t="shared" si="38"/>
        <v>17328.613633383979</v>
      </c>
      <c r="T153" s="1">
        <f t="shared" si="38"/>
        <v>21676.559735784889</v>
      </c>
      <c r="U153" s="1">
        <f t="shared" si="38"/>
        <v>16508.467808784892</v>
      </c>
      <c r="V153" s="1">
        <f t="shared" si="38"/>
        <v>20527.114944284887</v>
      </c>
      <c r="W153" s="1">
        <f t="shared" si="38"/>
        <v>16508.467808784892</v>
      </c>
      <c r="X153" s="1">
        <f t="shared" si="38"/>
        <v>16508.467808784892</v>
      </c>
    </row>
    <row r="154" spans="1:24" outlineLevel="2">
      <c r="E154" s="46" t="s">
        <v>213</v>
      </c>
      <c r="G154" s="46" t="s">
        <v>62</v>
      </c>
      <c r="L154" s="1">
        <f xml:space="preserve"> SUM( N154:X154 )</f>
        <v>198063.20813093396</v>
      </c>
      <c r="N154" s="1">
        <f t="shared" ref="N154:X154" si="39" xml:space="preserve">  IF( N152 = 11, N153 / 2, N153 )</f>
        <v>0</v>
      </c>
      <c r="O154" s="1">
        <f t="shared" si="39"/>
        <v>26622.406154066099</v>
      </c>
      <c r="P154" s="1">
        <f t="shared" si="39"/>
        <v>26622.406154066099</v>
      </c>
      <c r="Q154" s="1">
        <f t="shared" si="39"/>
        <v>19058.711288950071</v>
      </c>
      <c r="R154" s="1">
        <f t="shared" si="39"/>
        <v>24956.226698435679</v>
      </c>
      <c r="S154" s="1">
        <f t="shared" si="39"/>
        <v>17328.613633383979</v>
      </c>
      <c r="T154" s="1">
        <f t="shared" si="39"/>
        <v>21676.559735784889</v>
      </c>
      <c r="U154" s="1">
        <f t="shared" si="39"/>
        <v>16508.467808784892</v>
      </c>
      <c r="V154" s="1">
        <f t="shared" si="39"/>
        <v>20527.114944284887</v>
      </c>
      <c r="W154" s="1">
        <f t="shared" si="39"/>
        <v>16508.467808784892</v>
      </c>
      <c r="X154" s="1">
        <f t="shared" si="39"/>
        <v>8254.2339043924458</v>
      </c>
    </row>
    <row r="155" spans="1:24" outlineLevel="2"/>
    <row r="156" spans="1:24" outlineLevel="2"/>
    <row r="157" spans="1:24" outlineLevel="2">
      <c r="B157" s="23" t="s">
        <v>214</v>
      </c>
    </row>
    <row r="158" spans="1:24" outlineLevel="2">
      <c r="E158" s="46" t="str">
        <f t="shared" ref="E158:X158" si="40" xml:space="preserve">  E$154</f>
        <v>Determined costs real from 2026 (10-year period)</v>
      </c>
      <c r="F158" s="1">
        <f t="shared" si="40"/>
        <v>0</v>
      </c>
      <c r="G158" s="1" t="str">
        <f t="shared" si="40"/>
        <v>£'000 (2024 prices)</v>
      </c>
      <c r="L158" s="1">
        <f t="shared" si="40"/>
        <v>198063.20813093396</v>
      </c>
      <c r="M158" s="1">
        <f t="shared" si="40"/>
        <v>0</v>
      </c>
      <c r="N158" s="1">
        <f t="shared" si="40"/>
        <v>0</v>
      </c>
      <c r="O158" s="1">
        <f t="shared" si="40"/>
        <v>26622.406154066099</v>
      </c>
      <c r="P158" s="1">
        <f t="shared" si="40"/>
        <v>26622.406154066099</v>
      </c>
      <c r="Q158" s="1">
        <f t="shared" si="40"/>
        <v>19058.711288950071</v>
      </c>
      <c r="R158" s="1">
        <f t="shared" si="40"/>
        <v>24956.226698435679</v>
      </c>
      <c r="S158" s="1">
        <f t="shared" si="40"/>
        <v>17328.613633383979</v>
      </c>
      <c r="T158" s="1">
        <f t="shared" si="40"/>
        <v>21676.559735784889</v>
      </c>
      <c r="U158" s="1">
        <f t="shared" si="40"/>
        <v>16508.467808784892</v>
      </c>
      <c r="V158" s="1">
        <f t="shared" si="40"/>
        <v>20527.114944284887</v>
      </c>
      <c r="W158" s="1">
        <f t="shared" si="40"/>
        <v>16508.467808784892</v>
      </c>
      <c r="X158" s="1">
        <f t="shared" si="40"/>
        <v>8254.2339043924458</v>
      </c>
    </row>
    <row r="159" spans="1:24" outlineLevel="2">
      <c r="A159" s="17"/>
      <c r="B159" s="17"/>
      <c r="C159" s="28"/>
      <c r="D159" s="27"/>
      <c r="E159" s="16" t="s">
        <v>214</v>
      </c>
      <c r="F159" s="6">
        <f xml:space="preserve">  SUM( $N158:$X158 )</f>
        <v>198063.20813093396</v>
      </c>
      <c r="G159" s="16" t="s">
        <v>62</v>
      </c>
      <c r="L159" s="1"/>
    </row>
    <row r="160" spans="1:24" outlineLevel="2"/>
    <row r="161" spans="1:12" outlineLevel="2"/>
    <row r="162" spans="1:12" outlineLevel="2">
      <c r="B162" s="23" t="s">
        <v>215</v>
      </c>
    </row>
    <row r="163" spans="1:12" outlineLevel="2">
      <c r="E163" s="46" t="str">
        <f t="shared" ref="E163:G163" si="41" xml:space="preserve">  E$159</f>
        <v>Total Determined costs real from 2026 (10-year period)</v>
      </c>
      <c r="F163" s="1">
        <f t="shared" si="41"/>
        <v>198063.20813093396</v>
      </c>
      <c r="G163" s="46" t="str">
        <f t="shared" si="41"/>
        <v>£'000 (2024 prices)</v>
      </c>
      <c r="L163" s="1"/>
    </row>
    <row r="164" spans="1:12" outlineLevel="2">
      <c r="A164" s="5"/>
      <c r="B164" s="5"/>
      <c r="C164" s="10"/>
      <c r="D164" s="11"/>
      <c r="E164" s="7" t="str">
        <f xml:space="preserve">  'Scenarios Chosen'!E$84</f>
        <v>Total Service Units forecast for 10-year period (2026 start)</v>
      </c>
      <c r="F164" s="2">
        <f xml:space="preserve">  'Scenarios Chosen'!F$84</f>
        <v>136230</v>
      </c>
      <c r="G164" s="7" t="str">
        <f xml:space="preserve">  'Scenarios Chosen'!G$84</f>
        <v>000</v>
      </c>
      <c r="L164" s="3"/>
    </row>
    <row r="165" spans="1:12" outlineLevel="2">
      <c r="A165" s="17"/>
      <c r="B165" s="17"/>
      <c r="C165" s="28"/>
      <c r="D165" s="27"/>
      <c r="E165" s="16" t="s">
        <v>215</v>
      </c>
      <c r="F165" s="49">
        <f xml:space="preserve">  $F163 / $F164</f>
        <v>1.4538883368636419</v>
      </c>
      <c r="G165" s="16" t="s">
        <v>58</v>
      </c>
      <c r="L165" s="32"/>
    </row>
    <row r="166" spans="1:12" outlineLevel="2"/>
    <row r="167" spans="1:12" outlineLevel="2"/>
    <row r="168" spans="1:12" outlineLevel="2">
      <c r="B168" s="23" t="s">
        <v>216</v>
      </c>
    </row>
    <row r="169" spans="1:12" outlineLevel="2">
      <c r="E169" s="46" t="str">
        <f t="shared" ref="E169:G169" si="42" xml:space="preserve">  E$159</f>
        <v>Total Determined costs real from 2026 (10-year period)</v>
      </c>
      <c r="F169" s="1">
        <f t="shared" si="42"/>
        <v>198063.20813093396</v>
      </c>
      <c r="G169" s="46" t="str">
        <f t="shared" si="42"/>
        <v>£'000 (2024 prices)</v>
      </c>
      <c r="L169" s="1"/>
    </row>
    <row r="170" spans="1:12" outlineLevel="2">
      <c r="A170" s="5"/>
      <c r="B170" s="5"/>
      <c r="C170" s="10"/>
      <c r="D170" s="11"/>
      <c r="E170" s="7" t="str">
        <f xml:space="preserve">  'Scenarios Chosen'!E$95</f>
        <v>Total Flights forecast for 10-year period (2026 start)</v>
      </c>
      <c r="F170" s="2">
        <f xml:space="preserve">  'Scenarios Chosen'!F$95</f>
        <v>26759</v>
      </c>
      <c r="G170" s="7" t="str">
        <f xml:space="preserve">  'Scenarios Chosen'!G$95</f>
        <v>000</v>
      </c>
      <c r="L170" s="3"/>
    </row>
    <row r="171" spans="1:12" outlineLevel="2">
      <c r="A171" s="17"/>
      <c r="B171" s="17"/>
      <c r="C171" s="28"/>
      <c r="D171" s="27"/>
      <c r="E171" s="16" t="s">
        <v>216</v>
      </c>
      <c r="F171" s="49">
        <f xml:space="preserve">  $F169 / $F170</f>
        <v>7.4017417740174878</v>
      </c>
      <c r="G171" s="16" t="s">
        <v>58</v>
      </c>
      <c r="L171" s="32"/>
    </row>
    <row r="172" spans="1:12" outlineLevel="2"/>
    <row r="173" spans="1:12" outlineLevel="2"/>
    <row r="174" spans="1:12" outlineLevel="2">
      <c r="B174" s="23" t="s">
        <v>217</v>
      </c>
    </row>
    <row r="175" spans="1:12" outlineLevel="2">
      <c r="E175" s="46" t="str">
        <f t="shared" ref="E175:G175" si="43" xml:space="preserve">  E$171</f>
        <v>Charge per flight real for 10-year period</v>
      </c>
      <c r="F175" s="32">
        <f t="shared" si="43"/>
        <v>7.4017417740174878</v>
      </c>
      <c r="G175" s="46" t="str">
        <f t="shared" si="43"/>
        <v>£ real</v>
      </c>
      <c r="L175" s="32"/>
    </row>
    <row r="176" spans="1:12" outlineLevel="2">
      <c r="A176" s="5"/>
      <c r="B176" s="5"/>
      <c r="C176" s="10"/>
      <c r="D176" s="11"/>
      <c r="E176" s="7" t="str">
        <f xml:space="preserve">  Inputs!E$35</f>
        <v>Passengers (PAX) per flight</v>
      </c>
      <c r="F176" s="2">
        <f xml:space="preserve">  Inputs!F$35</f>
        <v>130</v>
      </c>
      <c r="G176" s="7">
        <f xml:space="preserve">  Inputs!G$35</f>
        <v>0</v>
      </c>
      <c r="L176" s="3"/>
    </row>
    <row r="177" spans="1:12" outlineLevel="2">
      <c r="A177" s="17"/>
      <c r="B177" s="17"/>
      <c r="C177" s="28"/>
      <c r="D177" s="27"/>
      <c r="E177" s="16" t="s">
        <v>217</v>
      </c>
      <c r="F177" s="49">
        <f xml:space="preserve">  $F175 / $F176</f>
        <v>5.6936475184749903E-2</v>
      </c>
      <c r="G177" s="16" t="s">
        <v>58</v>
      </c>
      <c r="L177" s="32"/>
    </row>
    <row r="178" spans="1:12" outlineLevel="2"/>
    <row r="179" spans="1:12" outlineLevel="2"/>
    <row r="180" spans="1:12" outlineLevel="2">
      <c r="B180" s="23" t="s">
        <v>218</v>
      </c>
    </row>
    <row r="181" spans="1:12" outlineLevel="2">
      <c r="E181" s="46" t="str">
        <f t="shared" ref="E181:G181" si="44" xml:space="preserve">  E$165</f>
        <v>Charge per service unit real for 10-year period</v>
      </c>
      <c r="F181" s="32">
        <f t="shared" si="44"/>
        <v>1.4538883368636419</v>
      </c>
      <c r="G181" s="46" t="str">
        <f t="shared" si="44"/>
        <v>£ real</v>
      </c>
      <c r="L181" s="32"/>
    </row>
    <row r="182" spans="1:12" outlineLevel="2">
      <c r="A182" s="5"/>
      <c r="B182" s="5"/>
      <c r="C182" s="10"/>
      <c r="D182" s="11"/>
      <c r="E182" s="7" t="str">
        <f xml:space="preserve">  Inputs!E$36</f>
        <v>UK en-route rate</v>
      </c>
      <c r="F182" s="4">
        <f xml:space="preserve">  Inputs!F$36</f>
        <v>75.2</v>
      </c>
      <c r="G182" s="7" t="str">
        <f xml:space="preserve">  Inputs!G$36</f>
        <v>£ real</v>
      </c>
      <c r="L182" s="1"/>
    </row>
    <row r="183" spans="1:12" outlineLevel="2">
      <c r="A183" s="17"/>
      <c r="B183" s="17"/>
      <c r="C183" s="28"/>
      <c r="D183" s="27"/>
      <c r="E183" s="16" t="s">
        <v>218</v>
      </c>
      <c r="F183" s="78">
        <f xml:space="preserve">  $F181 / $F182</f>
        <v>1.9333621500846301E-2</v>
      </c>
      <c r="G183" s="16" t="s">
        <v>36</v>
      </c>
      <c r="L183" s="39"/>
    </row>
    <row r="184" spans="1:12" outlineLevel="2"/>
    <row r="187" spans="1:12">
      <c r="A187" s="23" t="s">
        <v>100</v>
      </c>
    </row>
  </sheetData>
  <printOptions headings="1"/>
  <pageMargins left="0.74803149606299213" right="0.74803149606299213" top="0.98425196850393704" bottom="0.98425196850393704" header="0.51181102362204722" footer="0.51181102362204722"/>
  <pageSetup paperSize="9" scale="49" orientation="landscape" blackAndWhite="1"/>
  <headerFooter>
    <oddHeader>&amp;LPROJECT [XXX]&amp;C&amp;"Calibri"&amp;8&amp;K000000 OFFICIAL - Public. This information has been cleared for unrestricted distribution. &amp;1#_x000D_&amp;"Tahomai"&amp;8&amp;K000000&amp;"Tahomai"&amp;8&amp;K000000&amp;"Tahomai"&amp;8&amp;K000000Sheet:&amp;A&amp;RSTRICTLY CONFIDENTIAL</oddHeader>
    <oddFooter>&amp;L&amp;F ( Printed on &amp;D at &amp;T )&amp;C_x000D_&amp;1#&amp;"Calibri"&amp;8&amp;K000000 OFFICIAL - Public&amp;RPage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ummaryRight="0"/>
  </sheetPr>
  <dimension ref="A1:X99"/>
  <sheetViews>
    <sheetView defaultGridColor="0" colorId="22" zoomScale="80" workbookViewId="0">
      <pane xSplit="13" ySplit="5" topLeftCell="N6" activePane="bottomRight" state="frozen"/>
      <selection pane="topRight" activeCell="J6" sqref="J6"/>
      <selection pane="bottomLeft" activeCell="J6" sqref="J6"/>
      <selection pane="bottomRight"/>
    </sheetView>
  </sheetViews>
  <sheetFormatPr defaultColWidth="0" defaultRowHeight="13" outlineLevelRow="2"/>
  <cols>
    <col min="1" max="2" width="1.44140625" style="23" customWidth="1"/>
    <col min="3" max="3" width="1.44140625" style="51" customWidth="1"/>
    <col min="4" max="4" width="1.44140625" style="75" customWidth="1"/>
    <col min="5" max="5" width="71.44140625" style="46" customWidth="1"/>
    <col min="6" max="6" width="16.33203125" style="46" customWidth="1"/>
    <col min="7" max="7" width="22.33203125" style="46" customWidth="1"/>
    <col min="8" max="11" width="15.109375" customWidth="1"/>
    <col min="12" max="12" width="15.109375" style="46" customWidth="1"/>
    <col min="13" max="13" width="3.6640625" style="46" customWidth="1"/>
    <col min="14" max="14" width="15.109375" style="46" customWidth="1"/>
    <col min="15" max="15" width="12.109375" style="46" bestFit="1" customWidth="1"/>
    <col min="16" max="24" width="15.109375" style="46" customWidth="1"/>
    <col min="25" max="25" width="15.109375" style="46" hidden="1" customWidth="1"/>
    <col min="26" max="16384" width="15.109375" style="46" hidden="1"/>
  </cols>
  <sheetData>
    <row r="1" spans="1:24" s="55" customFormat="1" ht="25">
      <c r="A1" s="50" t="str">
        <f ca="1" xml:space="preserve"> RIGHT(CELL("filename", A1), LEN(CELL("filename", A1)) - SEARCH("]", CELL("filename", A1)))</f>
        <v>Scenarios Chosen</v>
      </c>
      <c r="B1" s="66"/>
      <c r="C1" s="70"/>
      <c r="D1" s="76"/>
      <c r="F1" s="57" t="str">
        <f>HYPERLINK("#Contents!A1","Go to contents")</f>
        <v>Go to contents</v>
      </c>
      <c r="H1" s="89"/>
      <c r="I1" s="89"/>
      <c r="J1" s="89"/>
      <c r="K1" s="89"/>
      <c r="N1" s="43"/>
      <c r="P1" s="43"/>
    </row>
    <row r="2" spans="1:24" s="9" customFormat="1">
      <c r="A2" s="48"/>
      <c r="B2" s="48"/>
      <c r="C2" s="71"/>
      <c r="D2" s="68"/>
      <c r="E2" s="15" t="s">
        <v>10</v>
      </c>
      <c r="F2" s="37"/>
      <c r="G2" s="37"/>
      <c r="H2" s="37"/>
      <c r="I2" s="37"/>
      <c r="J2" s="37"/>
      <c r="K2" s="37"/>
      <c r="L2" s="37"/>
      <c r="M2" s="37"/>
      <c r="N2" s="9">
        <f xml:space="preserve"> Time!N$29</f>
        <v>46022</v>
      </c>
      <c r="O2" s="9">
        <f xml:space="preserve"> Time!O$29</f>
        <v>46387</v>
      </c>
      <c r="P2" s="9">
        <f xml:space="preserve"> Time!P$29</f>
        <v>46752</v>
      </c>
      <c r="Q2" s="9">
        <f xml:space="preserve"> Time!Q$29</f>
        <v>47118</v>
      </c>
      <c r="R2" s="9">
        <f xml:space="preserve"> Time!R$29</f>
        <v>47483</v>
      </c>
      <c r="S2" s="9">
        <f xml:space="preserve"> Time!S$29</f>
        <v>47848</v>
      </c>
      <c r="T2" s="9">
        <f xml:space="preserve"> Time!T$29</f>
        <v>48213</v>
      </c>
      <c r="U2" s="9">
        <f xml:space="preserve"> Time!U$29</f>
        <v>48579</v>
      </c>
      <c r="V2" s="9">
        <f xml:space="preserve"> Time!V$29</f>
        <v>48944</v>
      </c>
      <c r="W2" s="9">
        <f xml:space="preserve"> Time!W$29</f>
        <v>49309</v>
      </c>
      <c r="X2" s="9">
        <f xml:space="preserve"> Time!X$29</f>
        <v>49674</v>
      </c>
    </row>
    <row r="3" spans="1:24" s="40" customFormat="1">
      <c r="A3" s="48"/>
      <c r="B3" s="48"/>
      <c r="C3" s="71"/>
      <c r="D3" s="68"/>
      <c r="E3" s="31" t="s">
        <v>11</v>
      </c>
      <c r="F3" s="37"/>
      <c r="G3" s="37"/>
      <c r="H3" s="37"/>
      <c r="I3" s="37"/>
      <c r="J3" s="37"/>
      <c r="K3" s="37"/>
      <c r="L3" s="37"/>
      <c r="M3" s="37"/>
      <c r="N3" s="15" t="str">
        <f xml:space="preserve"> Inputs!N$76</f>
        <v>NR23</v>
      </c>
      <c r="O3" s="15" t="str">
        <f xml:space="preserve"> Inputs!O$76</f>
        <v>NR23</v>
      </c>
      <c r="P3" s="15" t="str">
        <f xml:space="preserve"> Inputs!P$76</f>
        <v>NR23</v>
      </c>
      <c r="Q3" s="15" t="str">
        <f xml:space="preserve"> Inputs!Q$76</f>
        <v>NR28</v>
      </c>
      <c r="R3" s="15" t="str">
        <f xml:space="preserve"> Inputs!R$76</f>
        <v>NR28</v>
      </c>
      <c r="S3" s="15" t="str">
        <f xml:space="preserve"> Inputs!S$76</f>
        <v>NR28</v>
      </c>
      <c r="T3" s="15" t="str">
        <f xml:space="preserve"> Inputs!T$76</f>
        <v>NR28</v>
      </c>
      <c r="U3" s="15" t="str">
        <f xml:space="preserve"> Inputs!U$76</f>
        <v>NR28</v>
      </c>
      <c r="V3" s="15" t="str">
        <f xml:space="preserve"> Inputs!V$76</f>
        <v>NR33</v>
      </c>
      <c r="W3" s="15" t="str">
        <f xml:space="preserve"> Inputs!W$76</f>
        <v>NR33</v>
      </c>
      <c r="X3" s="15" t="str">
        <f xml:space="preserve"> Inputs!X$76</f>
        <v>NR33</v>
      </c>
    </row>
    <row r="4" spans="1:24" s="36" customFormat="1">
      <c r="A4" s="48"/>
      <c r="B4" s="48"/>
      <c r="C4" s="71"/>
      <c r="D4" s="68"/>
      <c r="E4" s="15" t="s">
        <v>12</v>
      </c>
      <c r="F4" s="23"/>
      <c r="G4" s="15"/>
      <c r="H4"/>
      <c r="I4"/>
      <c r="J4"/>
      <c r="K4"/>
      <c r="L4" s="15"/>
      <c r="M4" s="15"/>
      <c r="N4" s="15">
        <f xml:space="preserve"> Time!N$33</f>
        <v>1</v>
      </c>
      <c r="O4" s="15">
        <f xml:space="preserve"> Time!O$33</f>
        <v>2</v>
      </c>
      <c r="P4" s="15">
        <f xml:space="preserve"> Time!P$33</f>
        <v>3</v>
      </c>
      <c r="Q4" s="15">
        <f xml:space="preserve"> Time!Q$33</f>
        <v>4</v>
      </c>
      <c r="R4" s="15">
        <f xml:space="preserve"> Time!R$33</f>
        <v>5</v>
      </c>
      <c r="S4" s="15">
        <f xml:space="preserve"> Time!S$33</f>
        <v>6</v>
      </c>
      <c r="T4" s="15">
        <f xml:space="preserve"> Time!T$33</f>
        <v>7</v>
      </c>
      <c r="U4" s="15">
        <f xml:space="preserve"> Time!U$33</f>
        <v>8</v>
      </c>
      <c r="V4" s="15">
        <f xml:space="preserve"> Time!V$33</f>
        <v>9</v>
      </c>
      <c r="W4" s="15">
        <f xml:space="preserve"> Time!W$33</f>
        <v>10</v>
      </c>
      <c r="X4" s="15">
        <f xml:space="preserve"> Time!X$33</f>
        <v>11</v>
      </c>
    </row>
    <row r="5" spans="1:24" s="40" customFormat="1">
      <c r="A5" s="48"/>
      <c r="B5" s="48"/>
      <c r="C5" s="71"/>
      <c r="D5" s="68"/>
      <c r="E5" s="15" t="s">
        <v>13</v>
      </c>
      <c r="F5" s="23" t="s">
        <v>14</v>
      </c>
      <c r="G5" s="23" t="s">
        <v>15</v>
      </c>
      <c r="H5" s="38" t="s">
        <v>16</v>
      </c>
      <c r="I5" s="38" t="s">
        <v>17</v>
      </c>
      <c r="J5" s="38" t="s">
        <v>18</v>
      </c>
      <c r="K5" s="38"/>
      <c r="L5" s="23" t="s">
        <v>19</v>
      </c>
      <c r="M5" s="23"/>
      <c r="O5" s="15"/>
      <c r="P5" s="20"/>
      <c r="Q5" s="20"/>
      <c r="R5" s="20"/>
      <c r="S5" s="20"/>
      <c r="T5" s="20"/>
      <c r="U5" s="20"/>
    </row>
    <row r="6" spans="1:24" s="31" customFormat="1">
      <c r="A6" s="23"/>
      <c r="B6" s="23"/>
      <c r="C6" s="51"/>
      <c r="D6" s="72"/>
      <c r="F6" s="23"/>
      <c r="G6" s="23"/>
      <c r="H6" s="38"/>
      <c r="I6" s="38"/>
      <c r="J6" s="38"/>
      <c r="K6" s="38"/>
      <c r="L6" s="23"/>
      <c r="M6" s="23"/>
      <c r="N6" s="23"/>
    </row>
    <row r="8" spans="1:24">
      <c r="B8" s="23" t="s">
        <v>219</v>
      </c>
      <c r="H8" s="33"/>
      <c r="I8" s="33"/>
      <c r="J8" s="33"/>
      <c r="K8" s="33"/>
    </row>
    <row r="9" spans="1:24">
      <c r="A9" s="5"/>
      <c r="B9" s="5"/>
      <c r="C9" s="10"/>
      <c r="D9" s="11"/>
      <c r="E9" s="7" t="str">
        <f xml:space="preserve">  Inputs!E$47</f>
        <v>UKADSF scenarios</v>
      </c>
      <c r="F9" s="2" t="str">
        <f xml:space="preserve">  Inputs!F$47</f>
        <v>Mid</v>
      </c>
      <c r="G9" s="7">
        <f xml:space="preserve">  Inputs!G$47</f>
        <v>0</v>
      </c>
      <c r="H9" s="33"/>
      <c r="I9" s="33"/>
      <c r="J9" s="33"/>
      <c r="K9" s="33"/>
      <c r="L9" s="3"/>
    </row>
    <row r="10" spans="1:24">
      <c r="A10" s="5"/>
      <c r="B10" s="5"/>
      <c r="C10" s="10"/>
      <c r="D10" s="11"/>
      <c r="E10" s="7" t="str">
        <f xml:space="preserve">  Inputs!E$39</f>
        <v xml:space="preserve">Cost of UKADSF (High) </v>
      </c>
      <c r="F10" s="4">
        <f xml:space="preserve">  Inputs!F$39</f>
        <v>0</v>
      </c>
      <c r="G10" s="4" t="str">
        <f xml:space="preserve">  Inputs!G$39</f>
        <v>£'000 (2024 prices)</v>
      </c>
      <c r="H10" s="33"/>
      <c r="I10" s="33"/>
      <c r="J10" s="33"/>
      <c r="K10" s="33"/>
      <c r="L10" s="4">
        <f xml:space="preserve">  Inputs!L$39</f>
        <v>83623.945717984461</v>
      </c>
      <c r="M10" s="4">
        <f xml:space="preserve">  Inputs!M$39</f>
        <v>0</v>
      </c>
      <c r="N10" s="4">
        <f xml:space="preserve">  Inputs!N$39</f>
        <v>2650.5001220490235</v>
      </c>
      <c r="O10" s="4">
        <f xml:space="preserve">  Inputs!O$39</f>
        <v>10893.158942652908</v>
      </c>
      <c r="P10" s="4">
        <f xml:space="preserve">  Inputs!P$39</f>
        <v>9866.2664723040889</v>
      </c>
      <c r="Q10" s="4">
        <f xml:space="preserve">  Inputs!Q$39</f>
        <v>9700.9676942234419</v>
      </c>
      <c r="R10" s="4">
        <f xml:space="preserve">  Inputs!R$39</f>
        <v>10476.354493357156</v>
      </c>
      <c r="S10" s="4">
        <f xml:space="preserve">  Inputs!S$39</f>
        <v>7861.8510280492073</v>
      </c>
      <c r="T10" s="4">
        <f xml:space="preserve">  Inputs!T$39</f>
        <v>6434.9693930697294</v>
      </c>
      <c r="U10" s="4">
        <f xml:space="preserve">  Inputs!U$39</f>
        <v>6434.9693930697294</v>
      </c>
      <c r="V10" s="4">
        <f xml:space="preserve">  Inputs!V$39</f>
        <v>6434.9693930697294</v>
      </c>
      <c r="W10" s="4">
        <f xml:space="preserve">  Inputs!W$39</f>
        <v>6434.9693930697294</v>
      </c>
      <c r="X10" s="4">
        <f xml:space="preserve">  Inputs!X$39</f>
        <v>6434.9693930697294</v>
      </c>
    </row>
    <row r="11" spans="1:24">
      <c r="A11" s="5"/>
      <c r="B11" s="5"/>
      <c r="C11" s="10"/>
      <c r="D11" s="11"/>
      <c r="E11" s="7" t="str">
        <f xml:space="preserve">  Inputs!E$40</f>
        <v xml:space="preserve">Cost of UKADSF (Low) </v>
      </c>
      <c r="F11" s="4">
        <f xml:space="preserve">  Inputs!F$40</f>
        <v>0</v>
      </c>
      <c r="G11" s="4" t="str">
        <f xml:space="preserve">  Inputs!G$40</f>
        <v>£'000 (2024 prices)</v>
      </c>
      <c r="H11" s="33"/>
      <c r="I11" s="33"/>
      <c r="J11" s="33"/>
      <c r="K11" s="33"/>
      <c r="L11" s="4">
        <f xml:space="preserve">  Inputs!L$40</f>
        <v>61191.630034469679</v>
      </c>
      <c r="M11" s="4">
        <f xml:space="preserve">  Inputs!M$40</f>
        <v>0</v>
      </c>
      <c r="N11" s="4">
        <f xml:space="preserve">  Inputs!N$40</f>
        <v>2120.400097639219</v>
      </c>
      <c r="O11" s="4">
        <f xml:space="preserve">  Inputs!O$40</f>
        <v>7573.021846138744</v>
      </c>
      <c r="P11" s="4">
        <f xml:space="preserve">  Inputs!P$40</f>
        <v>6751.5078698596899</v>
      </c>
      <c r="Q11" s="4">
        <f xml:space="preserve">  Inputs!Q$40</f>
        <v>6619.2688473951703</v>
      </c>
      <c r="R11" s="4">
        <f xml:space="preserve">  Inputs!R$40</f>
        <v>7239.5782867021426</v>
      </c>
      <c r="S11" s="4">
        <f xml:space="preserve">  Inputs!S$40</f>
        <v>5147.975514455783</v>
      </c>
      <c r="T11" s="4">
        <f xml:space="preserve">  Inputs!T$40</f>
        <v>5147.975514455783</v>
      </c>
      <c r="U11" s="4">
        <f xml:space="preserve">  Inputs!U$40</f>
        <v>5147.975514455783</v>
      </c>
      <c r="V11" s="4">
        <f xml:space="preserve">  Inputs!V$40</f>
        <v>5147.975514455783</v>
      </c>
      <c r="W11" s="4">
        <f xml:space="preserve">  Inputs!W$40</f>
        <v>5147.975514455783</v>
      </c>
      <c r="X11" s="4">
        <f xml:space="preserve">  Inputs!X$40</f>
        <v>5147.975514455783</v>
      </c>
    </row>
    <row r="12" spans="1:24">
      <c r="A12" s="5"/>
      <c r="B12" s="5"/>
      <c r="C12" s="10"/>
      <c r="D12" s="11"/>
      <c r="E12" s="7" t="str">
        <f xml:space="preserve">  Inputs!E$41</f>
        <v xml:space="preserve">Cost of UKADSF (Mid) </v>
      </c>
      <c r="F12" s="4">
        <f xml:space="preserve">  Inputs!F$41</f>
        <v>0</v>
      </c>
      <c r="G12" s="4" t="str">
        <f xml:space="preserve">  Inputs!G$41</f>
        <v>£'000 (2024 prices)</v>
      </c>
      <c r="H12" s="33"/>
      <c r="I12" s="33"/>
      <c r="J12" s="33"/>
      <c r="K12" s="33"/>
      <c r="L12" s="4">
        <f xml:space="preserve">  Inputs!L$41</f>
        <v>74380.773437852215</v>
      </c>
      <c r="M12" s="4">
        <f xml:space="preserve">  Inputs!M$41</f>
        <v>0</v>
      </c>
      <c r="N12" s="4">
        <f xml:space="preserve">  Inputs!N$41</f>
        <v>2438.4601122851013</v>
      </c>
      <c r="O12" s="4">
        <f xml:space="preserve">  Inputs!O$41</f>
        <v>9511.0549027019752</v>
      </c>
      <c r="P12" s="4">
        <f xml:space="preserve">  Inputs!P$41</f>
        <v>8566.3138299810635</v>
      </c>
      <c r="Q12" s="4">
        <f xml:space="preserve">  Inputs!Q$41</f>
        <v>8414.2389541468656</v>
      </c>
      <c r="R12" s="4">
        <f xml:space="preserve">  Inputs!R$41</f>
        <v>9127.5948093498828</v>
      </c>
      <c r="S12" s="4">
        <f xml:space="preserve">  Inputs!S$41</f>
        <v>6722.2516212665705</v>
      </c>
      <c r="T12" s="4">
        <f xml:space="preserve">  Inputs!T$41</f>
        <v>5920.1718416241501</v>
      </c>
      <c r="U12" s="4">
        <f xml:space="preserve">  Inputs!U$41</f>
        <v>5920.1718416241501</v>
      </c>
      <c r="V12" s="4">
        <f xml:space="preserve">  Inputs!V$41</f>
        <v>5920.1718416241501</v>
      </c>
      <c r="W12" s="4">
        <f xml:space="preserve">  Inputs!W$41</f>
        <v>5920.1718416241501</v>
      </c>
      <c r="X12" s="4">
        <f xml:space="preserve">  Inputs!X$41</f>
        <v>5920.1718416241501</v>
      </c>
    </row>
    <row r="13" spans="1:24">
      <c r="A13" s="17"/>
      <c r="B13" s="17"/>
      <c r="C13" s="28"/>
      <c r="D13" s="27"/>
      <c r="E13" s="16" t="s">
        <v>219</v>
      </c>
      <c r="F13" s="16"/>
      <c r="G13" s="16" t="s">
        <v>62</v>
      </c>
      <c r="H13" s="33"/>
      <c r="I13" s="33"/>
      <c r="J13" s="33"/>
      <c r="K13" s="33"/>
      <c r="L13" s="6">
        <f xml:space="preserve"> SUM( N13:X13 )</f>
        <v>74380.773437852215</v>
      </c>
      <c r="M13" s="16"/>
      <c r="N13" s="6">
        <f t="shared" ref="N13:X13" si="0" xml:space="preserve">   INDEX( N$10:N$12,MATCH("*(" &amp; $F9 &amp; ")*", $E$10:$E$12,0 ))</f>
        <v>2438.4601122851013</v>
      </c>
      <c r="O13" s="6">
        <f t="shared" si="0"/>
        <v>9511.0549027019752</v>
      </c>
      <c r="P13" s="6">
        <f t="shared" si="0"/>
        <v>8566.3138299810635</v>
      </c>
      <c r="Q13" s="6">
        <f t="shared" si="0"/>
        <v>8414.2389541468656</v>
      </c>
      <c r="R13" s="6">
        <f t="shared" si="0"/>
        <v>9127.5948093498828</v>
      </c>
      <c r="S13" s="6">
        <f t="shared" si="0"/>
        <v>6722.2516212665705</v>
      </c>
      <c r="T13" s="6">
        <f t="shared" si="0"/>
        <v>5920.1718416241501</v>
      </c>
      <c r="U13" s="6">
        <f t="shared" si="0"/>
        <v>5920.1718416241501</v>
      </c>
      <c r="V13" s="6">
        <f t="shared" si="0"/>
        <v>5920.1718416241501</v>
      </c>
      <c r="W13" s="6">
        <f t="shared" si="0"/>
        <v>5920.1718416241501</v>
      </c>
      <c r="X13" s="6">
        <f t="shared" si="0"/>
        <v>5920.1718416241501</v>
      </c>
    </row>
    <row r="14" spans="1:24">
      <c r="H14" s="33"/>
      <c r="I14" s="33"/>
      <c r="J14" s="33"/>
      <c r="K14" s="33"/>
    </row>
    <row r="15" spans="1:24">
      <c r="H15" s="34"/>
      <c r="I15" s="34"/>
      <c r="J15" s="34"/>
      <c r="K15" s="34"/>
    </row>
    <row r="16" spans="1:24">
      <c r="B16" s="23" t="s">
        <v>220</v>
      </c>
      <c r="H16" s="33"/>
      <c r="I16" s="33"/>
      <c r="J16" s="33"/>
      <c r="K16" s="33"/>
    </row>
    <row r="17" spans="1:24">
      <c r="A17" s="5"/>
      <c r="B17" s="5"/>
      <c r="C17" s="10"/>
      <c r="D17" s="11"/>
      <c r="E17" s="7" t="str">
        <f xml:space="preserve">  Inputs!E$48</f>
        <v>UKADS1 scenarios</v>
      </c>
      <c r="F17" s="2" t="str">
        <f xml:space="preserve">  Inputs!F$48</f>
        <v>Mid</v>
      </c>
      <c r="G17" s="7">
        <f xml:space="preserve">  Inputs!G$48</f>
        <v>0</v>
      </c>
      <c r="H17" s="33"/>
      <c r="I17" s="33"/>
      <c r="J17" s="33"/>
      <c r="K17" s="33"/>
      <c r="L17" s="3"/>
    </row>
    <row r="18" spans="1:24">
      <c r="A18" s="5"/>
      <c r="B18" s="5"/>
      <c r="C18" s="10"/>
      <c r="D18" s="11"/>
      <c r="E18" s="7" t="str">
        <f xml:space="preserve">  Inputs!E$43</f>
        <v xml:space="preserve">Cost of UKADS1 (High) </v>
      </c>
      <c r="F18" s="4">
        <f xml:space="preserve">  Inputs!F$43</f>
        <v>0</v>
      </c>
      <c r="G18" s="4" t="str">
        <f xml:space="preserve">  Inputs!G$43</f>
        <v>£'000 (2024 prices)</v>
      </c>
      <c r="H18" s="33"/>
      <c r="I18" s="33"/>
      <c r="J18" s="33"/>
      <c r="K18" s="33"/>
      <c r="L18" s="4">
        <f xml:space="preserve">  Inputs!L$43</f>
        <v>166815.25</v>
      </c>
      <c r="M18" s="4">
        <f xml:space="preserve">  Inputs!M$43</f>
        <v>0</v>
      </c>
      <c r="N18" s="4">
        <f xml:space="preserve">  Inputs!N$43</f>
        <v>9593.375</v>
      </c>
      <c r="O18" s="4">
        <f xml:space="preserve">  Inputs!O$43</f>
        <v>11026.25</v>
      </c>
      <c r="P18" s="4">
        <f xml:space="preserve">  Inputs!P$43</f>
        <v>21126.25</v>
      </c>
      <c r="Q18" s="4">
        <f xml:space="preserve">  Inputs!Q$43</f>
        <v>12582.5</v>
      </c>
      <c r="R18" s="4">
        <f xml:space="preserve">  Inputs!R$43</f>
        <v>21126.25</v>
      </c>
      <c r="S18" s="4">
        <f xml:space="preserve">  Inputs!S$43</f>
        <v>12582.5</v>
      </c>
      <c r="T18" s="4">
        <f xml:space="preserve">  Inputs!T$43</f>
        <v>21126.25</v>
      </c>
      <c r="U18" s="4">
        <f xml:space="preserve">  Inputs!U$43</f>
        <v>12582.5</v>
      </c>
      <c r="V18" s="4">
        <f xml:space="preserve">  Inputs!V$43</f>
        <v>19904.375</v>
      </c>
      <c r="W18" s="4">
        <f xml:space="preserve">  Inputs!W$43</f>
        <v>12582.5</v>
      </c>
      <c r="X18" s="4">
        <f xml:space="preserve">  Inputs!X$43</f>
        <v>12582.5</v>
      </c>
    </row>
    <row r="19" spans="1:24">
      <c r="A19" s="5"/>
      <c r="B19" s="5"/>
      <c r="C19" s="10"/>
      <c r="D19" s="11"/>
      <c r="E19" s="7" t="str">
        <f xml:space="preserve">  Inputs!E$44</f>
        <v xml:space="preserve">Cost of UKADS1 (Low) </v>
      </c>
      <c r="F19" s="4">
        <f xml:space="preserve">  Inputs!F$44</f>
        <v>0</v>
      </c>
      <c r="G19" s="4" t="str">
        <f xml:space="preserve">  Inputs!G$44</f>
        <v>£'000 (2024 prices)</v>
      </c>
      <c r="H19" s="33"/>
      <c r="I19" s="33"/>
      <c r="J19" s="33"/>
      <c r="K19" s="33"/>
      <c r="L19" s="4">
        <f xml:space="preserve">  Inputs!L$44</f>
        <v>104556.39999999998</v>
      </c>
      <c r="M19" s="4">
        <f xml:space="preserve">  Inputs!M$44</f>
        <v>0</v>
      </c>
      <c r="N19" s="4">
        <f xml:space="preserve">  Inputs!N$44</f>
        <v>6167.4</v>
      </c>
      <c r="O19" s="4">
        <f xml:space="preserve">  Inputs!O$44</f>
        <v>7302.15</v>
      </c>
      <c r="P19" s="4">
        <f xml:space="preserve">  Inputs!P$44</f>
        <v>12332.15</v>
      </c>
      <c r="Q19" s="4">
        <f xml:space="preserve">  Inputs!Q$44</f>
        <v>8547.15</v>
      </c>
      <c r="R19" s="4">
        <f xml:space="preserve">  Inputs!R$44</f>
        <v>12332.15</v>
      </c>
      <c r="S19" s="4">
        <f xml:space="preserve">  Inputs!S$44</f>
        <v>8547.15</v>
      </c>
      <c r="T19" s="4">
        <f xml:space="preserve">  Inputs!T$44</f>
        <v>12332.15</v>
      </c>
      <c r="U19" s="4">
        <f xml:space="preserve">  Inputs!U$44</f>
        <v>8547.15</v>
      </c>
      <c r="V19" s="4">
        <f xml:space="preserve">  Inputs!V$44</f>
        <v>11354.65</v>
      </c>
      <c r="W19" s="4">
        <f xml:space="preserve">  Inputs!W$44</f>
        <v>8547.15</v>
      </c>
      <c r="X19" s="4">
        <f xml:space="preserve">  Inputs!X$44</f>
        <v>8547.15</v>
      </c>
    </row>
    <row r="20" spans="1:24">
      <c r="A20" s="5"/>
      <c r="B20" s="5"/>
      <c r="C20" s="10"/>
      <c r="D20" s="11"/>
      <c r="E20" s="7" t="str">
        <f xml:space="preserve">  Inputs!E$45</f>
        <v xml:space="preserve">Cost of UKADS1 (Mid) </v>
      </c>
      <c r="F20" s="4">
        <f xml:space="preserve">  Inputs!F$45</f>
        <v>0</v>
      </c>
      <c r="G20" s="4" t="str">
        <f xml:space="preserve">  Inputs!G$45</f>
        <v>£'000 (2024 prices)</v>
      </c>
      <c r="H20" s="33"/>
      <c r="I20" s="33"/>
      <c r="J20" s="33"/>
      <c r="K20" s="33"/>
      <c r="L20" s="4">
        <f xml:space="preserve">  Inputs!L$45</f>
        <v>127391.93999999996</v>
      </c>
      <c r="M20" s="4">
        <f xml:space="preserve">  Inputs!M$45</f>
        <v>0</v>
      </c>
      <c r="N20" s="4">
        <f xml:space="preserve">  Inputs!N$45</f>
        <v>7484.3149999999987</v>
      </c>
      <c r="O20" s="4">
        <f xml:space="preserve">  Inputs!O$45</f>
        <v>8792.9</v>
      </c>
      <c r="P20" s="4">
        <f xml:space="preserve">  Inputs!P$45</f>
        <v>15278.899999999998</v>
      </c>
      <c r="Q20" s="4">
        <f xml:space="preserve">  Inputs!Q$45</f>
        <v>10224.65</v>
      </c>
      <c r="R20" s="4">
        <f xml:space="preserve">  Inputs!R$45</f>
        <v>15278.899999999998</v>
      </c>
      <c r="S20" s="4">
        <f xml:space="preserve">  Inputs!S$45</f>
        <v>10224.65</v>
      </c>
      <c r="T20" s="4">
        <f xml:space="preserve">  Inputs!T$45</f>
        <v>15278.899999999998</v>
      </c>
      <c r="U20" s="4">
        <f xml:space="preserve">  Inputs!U$45</f>
        <v>10224.65</v>
      </c>
      <c r="V20" s="4">
        <f xml:space="preserve">  Inputs!V$45</f>
        <v>14154.774999999998</v>
      </c>
      <c r="W20" s="4">
        <f xml:space="preserve">  Inputs!W$45</f>
        <v>10224.65</v>
      </c>
      <c r="X20" s="4">
        <f xml:space="preserve">  Inputs!X$45</f>
        <v>10224.65</v>
      </c>
    </row>
    <row r="21" spans="1:24">
      <c r="A21" s="17"/>
      <c r="B21" s="17"/>
      <c r="C21" s="28"/>
      <c r="D21" s="27"/>
      <c r="E21" s="16" t="s">
        <v>220</v>
      </c>
      <c r="F21" s="16"/>
      <c r="G21" s="16" t="s">
        <v>62</v>
      </c>
      <c r="H21" s="33"/>
      <c r="I21" s="33"/>
      <c r="J21" s="33"/>
      <c r="K21" s="33"/>
      <c r="L21" s="6">
        <f xml:space="preserve"> SUM( N21:X21 )</f>
        <v>127391.93999999996</v>
      </c>
      <c r="M21" s="16"/>
      <c r="N21" s="6">
        <f t="shared" ref="N21:X21" si="1" xml:space="preserve">   INDEX( N$18:N$20,MATCH("*(" &amp; $F17 &amp; ")*", $E$18:$E$20,0 ))</f>
        <v>7484.3149999999987</v>
      </c>
      <c r="O21" s="6">
        <f t="shared" si="1"/>
        <v>8792.9</v>
      </c>
      <c r="P21" s="6">
        <f t="shared" si="1"/>
        <v>15278.899999999998</v>
      </c>
      <c r="Q21" s="6">
        <f t="shared" si="1"/>
        <v>10224.65</v>
      </c>
      <c r="R21" s="6">
        <f t="shared" si="1"/>
        <v>15278.899999999998</v>
      </c>
      <c r="S21" s="6">
        <f t="shared" si="1"/>
        <v>10224.65</v>
      </c>
      <c r="T21" s="6">
        <f t="shared" si="1"/>
        <v>15278.899999999998</v>
      </c>
      <c r="U21" s="6">
        <f t="shared" si="1"/>
        <v>10224.65</v>
      </c>
      <c r="V21" s="6">
        <f t="shared" si="1"/>
        <v>14154.774999999998</v>
      </c>
      <c r="W21" s="6">
        <f t="shared" si="1"/>
        <v>10224.65</v>
      </c>
      <c r="X21" s="6">
        <f t="shared" si="1"/>
        <v>10224.65</v>
      </c>
    </row>
    <row r="22" spans="1:24">
      <c r="H22" s="33"/>
      <c r="I22" s="33"/>
      <c r="J22" s="33"/>
      <c r="K22" s="33"/>
    </row>
    <row r="23" spans="1:24">
      <c r="H23" s="41"/>
      <c r="I23" s="41"/>
      <c r="J23" s="41"/>
      <c r="K23" s="41"/>
    </row>
    <row r="24" spans="1:24">
      <c r="A24" s="23" t="s">
        <v>172</v>
      </c>
      <c r="H24" s="41"/>
      <c r="I24" s="41"/>
      <c r="J24" s="41"/>
      <c r="K24" s="41"/>
    </row>
    <row r="25" spans="1:24">
      <c r="H25" s="41"/>
      <c r="I25" s="41"/>
      <c r="J25" s="41"/>
      <c r="K25" s="41"/>
    </row>
    <row r="26" spans="1:24" outlineLevel="1">
      <c r="A26" s="23" t="s">
        <v>173</v>
      </c>
      <c r="H26" s="34"/>
      <c r="I26" s="34"/>
      <c r="J26" s="34"/>
      <c r="K26" s="34"/>
    </row>
    <row r="27" spans="1:24" outlineLevel="1">
      <c r="H27" s="33"/>
      <c r="I27" s="33"/>
      <c r="J27" s="33"/>
      <c r="K27" s="33"/>
    </row>
    <row r="28" spans="1:24" outlineLevel="2">
      <c r="B28" s="23" t="s">
        <v>221</v>
      </c>
      <c r="H28" s="33"/>
      <c r="I28" s="33"/>
      <c r="J28" s="33"/>
      <c r="K28" s="33"/>
    </row>
    <row r="29" spans="1:24" outlineLevel="2">
      <c r="E29" s="46" t="str">
        <f t="shared" ref="E29:X29" si="2" xml:space="preserve">  E$21</f>
        <v>UKADS1 scenario chosen</v>
      </c>
      <c r="F29" s="1">
        <f t="shared" si="2"/>
        <v>0</v>
      </c>
      <c r="G29" s="1" t="str">
        <f t="shared" si="2"/>
        <v>£'000 (2024 prices)</v>
      </c>
      <c r="H29" s="33"/>
      <c r="I29" s="33"/>
      <c r="J29" s="33"/>
      <c r="K29" s="33"/>
      <c r="L29" s="1">
        <f t="shared" si="2"/>
        <v>127391.93999999996</v>
      </c>
      <c r="M29" s="1">
        <f t="shared" si="2"/>
        <v>0</v>
      </c>
      <c r="N29" s="1">
        <f t="shared" si="2"/>
        <v>7484.3149999999987</v>
      </c>
      <c r="O29" s="1">
        <f t="shared" si="2"/>
        <v>8792.9</v>
      </c>
      <c r="P29" s="1">
        <f t="shared" si="2"/>
        <v>15278.899999999998</v>
      </c>
      <c r="Q29" s="1">
        <f t="shared" si="2"/>
        <v>10224.65</v>
      </c>
      <c r="R29" s="1">
        <f t="shared" si="2"/>
        <v>15278.899999999998</v>
      </c>
      <c r="S29" s="1">
        <f t="shared" si="2"/>
        <v>10224.65</v>
      </c>
      <c r="T29" s="1">
        <f t="shared" si="2"/>
        <v>15278.899999999998</v>
      </c>
      <c r="U29" s="1">
        <f t="shared" si="2"/>
        <v>10224.65</v>
      </c>
      <c r="V29" s="1">
        <f t="shared" si="2"/>
        <v>14154.774999999998</v>
      </c>
      <c r="W29" s="1">
        <f t="shared" si="2"/>
        <v>10224.65</v>
      </c>
      <c r="X29" s="1">
        <f t="shared" si="2"/>
        <v>10224.65</v>
      </c>
    </row>
    <row r="30" spans="1:24" outlineLevel="2">
      <c r="E30" s="46" t="str">
        <f t="shared" ref="E30:X30" si="3" xml:space="preserve">  E$13</f>
        <v>UKADSF scenarios chosen</v>
      </c>
      <c r="F30" s="1">
        <f t="shared" si="3"/>
        <v>0</v>
      </c>
      <c r="G30" s="1" t="str">
        <f t="shared" si="3"/>
        <v>£'000 (2024 prices)</v>
      </c>
      <c r="H30" s="33"/>
      <c r="I30" s="33"/>
      <c r="J30" s="33"/>
      <c r="K30" s="33"/>
      <c r="L30" s="1">
        <f t="shared" si="3"/>
        <v>74380.773437852215</v>
      </c>
      <c r="M30" s="1">
        <f t="shared" si="3"/>
        <v>0</v>
      </c>
      <c r="N30" s="1">
        <f t="shared" si="3"/>
        <v>2438.4601122851013</v>
      </c>
      <c r="O30" s="1">
        <f t="shared" si="3"/>
        <v>9511.0549027019752</v>
      </c>
      <c r="P30" s="1">
        <f t="shared" si="3"/>
        <v>8566.3138299810635</v>
      </c>
      <c r="Q30" s="1">
        <f t="shared" si="3"/>
        <v>8414.2389541468656</v>
      </c>
      <c r="R30" s="1">
        <f t="shared" si="3"/>
        <v>9127.5948093498828</v>
      </c>
      <c r="S30" s="1">
        <f t="shared" si="3"/>
        <v>6722.2516212665705</v>
      </c>
      <c r="T30" s="1">
        <f t="shared" si="3"/>
        <v>5920.1718416241501</v>
      </c>
      <c r="U30" s="1">
        <f t="shared" si="3"/>
        <v>5920.1718416241501</v>
      </c>
      <c r="V30" s="1">
        <f t="shared" si="3"/>
        <v>5920.1718416241501</v>
      </c>
      <c r="W30" s="1">
        <f t="shared" si="3"/>
        <v>5920.1718416241501</v>
      </c>
      <c r="X30" s="1">
        <f t="shared" si="3"/>
        <v>5920.1718416241501</v>
      </c>
    </row>
    <row r="31" spans="1:24" outlineLevel="2">
      <c r="A31" s="5"/>
      <c r="B31" s="5"/>
      <c r="C31" s="10"/>
      <c r="D31" s="11"/>
      <c r="E31" s="7" t="str">
        <f xml:space="preserve">  Time!E$58</f>
        <v>NR23 flag</v>
      </c>
      <c r="F31" s="2">
        <f xml:space="preserve">  Time!F$58</f>
        <v>0</v>
      </c>
      <c r="G31" s="2" t="str">
        <f xml:space="preserve">  Time!G$58</f>
        <v>flag</v>
      </c>
      <c r="H31" s="41"/>
      <c r="I31" s="41"/>
      <c r="J31" s="41"/>
      <c r="K31" s="41"/>
      <c r="L31" s="2">
        <f xml:space="preserve">  Time!L$58</f>
        <v>3</v>
      </c>
      <c r="M31" s="2">
        <f xml:space="preserve">  Time!M$58</f>
        <v>0</v>
      </c>
      <c r="N31" s="2">
        <f xml:space="preserve">  Time!N$58</f>
        <v>1</v>
      </c>
      <c r="O31" s="2">
        <f xml:space="preserve">  Time!O$58</f>
        <v>1</v>
      </c>
      <c r="P31" s="2">
        <f xml:space="preserve">  Time!P$58</f>
        <v>1</v>
      </c>
      <c r="Q31" s="2">
        <f xml:space="preserve">  Time!Q$58</f>
        <v>0</v>
      </c>
      <c r="R31" s="2">
        <f xml:space="preserve">  Time!R$58</f>
        <v>0</v>
      </c>
      <c r="S31" s="2">
        <f xml:space="preserve">  Time!S$58</f>
        <v>0</v>
      </c>
      <c r="T31" s="2">
        <f xml:space="preserve">  Time!T$58</f>
        <v>0</v>
      </c>
      <c r="U31" s="2">
        <f xml:space="preserve">  Time!U$58</f>
        <v>0</v>
      </c>
      <c r="V31" s="2">
        <f xml:space="preserve">  Time!V$58</f>
        <v>0</v>
      </c>
      <c r="W31" s="2">
        <f xml:space="preserve">  Time!W$58</f>
        <v>0</v>
      </c>
      <c r="X31" s="2">
        <f xml:space="preserve">  Time!X$58</f>
        <v>0</v>
      </c>
    </row>
    <row r="32" spans="1:24" outlineLevel="2">
      <c r="E32" s="46" t="s">
        <v>221</v>
      </c>
      <c r="G32" s="46" t="s">
        <v>62</v>
      </c>
      <c r="H32" s="41"/>
      <c r="I32" s="41"/>
      <c r="J32" s="41"/>
      <c r="K32" s="41"/>
      <c r="L32" s="1">
        <f xml:space="preserve"> SUM( N32:X32 )</f>
        <v>52071.943844968133</v>
      </c>
      <c r="N32" s="1">
        <f t="shared" ref="N32:X32" si="4" xml:space="preserve">  IF( N31 = 1, SUM( N29:N30 ), 0 )</f>
        <v>9922.7751122851005</v>
      </c>
      <c r="O32" s="1">
        <f t="shared" si="4"/>
        <v>18303.954902701975</v>
      </c>
      <c r="P32" s="1">
        <f t="shared" si="4"/>
        <v>23845.213829981061</v>
      </c>
      <c r="Q32" s="1">
        <f t="shared" si="4"/>
        <v>0</v>
      </c>
      <c r="R32" s="1">
        <f t="shared" si="4"/>
        <v>0</v>
      </c>
      <c r="S32" s="1">
        <f t="shared" si="4"/>
        <v>0</v>
      </c>
      <c r="T32" s="1">
        <f t="shared" si="4"/>
        <v>0</v>
      </c>
      <c r="U32" s="1">
        <f t="shared" si="4"/>
        <v>0</v>
      </c>
      <c r="V32" s="1">
        <f t="shared" si="4"/>
        <v>0</v>
      </c>
      <c r="W32" s="1">
        <f t="shared" si="4"/>
        <v>0</v>
      </c>
      <c r="X32" s="1">
        <f t="shared" si="4"/>
        <v>0</v>
      </c>
    </row>
    <row r="33" spans="1:24" outlineLevel="2">
      <c r="H33" s="41"/>
      <c r="I33" s="41"/>
      <c r="J33" s="41"/>
      <c r="K33" s="41"/>
    </row>
    <row r="34" spans="1:24" outlineLevel="2">
      <c r="H34" s="34"/>
      <c r="I34" s="34"/>
      <c r="J34" s="34"/>
      <c r="K34" s="34"/>
    </row>
    <row r="35" spans="1:24" outlineLevel="2">
      <c r="B35" s="23" t="s">
        <v>222</v>
      </c>
    </row>
    <row r="36" spans="1:24" outlineLevel="2">
      <c r="E36" s="46" t="str">
        <f t="shared" ref="E36:X36" si="5" xml:space="preserve">  E$32</f>
        <v>Estimated annual costs of providing the UKADS and the Support Fund NR23</v>
      </c>
      <c r="F36" s="1">
        <f t="shared" si="5"/>
        <v>0</v>
      </c>
      <c r="G36" s="1" t="str">
        <f t="shared" si="5"/>
        <v>£'000 (2024 prices)</v>
      </c>
      <c r="L36" s="1">
        <f t="shared" si="5"/>
        <v>52071.943844968133</v>
      </c>
      <c r="M36" s="1">
        <f t="shared" si="5"/>
        <v>0</v>
      </c>
      <c r="N36" s="1">
        <f t="shared" si="5"/>
        <v>9922.7751122851005</v>
      </c>
      <c r="O36" s="1">
        <f t="shared" si="5"/>
        <v>18303.954902701975</v>
      </c>
      <c r="P36" s="1">
        <f t="shared" si="5"/>
        <v>23845.213829981061</v>
      </c>
      <c r="Q36" s="1">
        <f t="shared" si="5"/>
        <v>0</v>
      </c>
      <c r="R36" s="1">
        <f t="shared" si="5"/>
        <v>0</v>
      </c>
      <c r="S36" s="1">
        <f t="shared" si="5"/>
        <v>0</v>
      </c>
      <c r="T36" s="1">
        <f t="shared" si="5"/>
        <v>0</v>
      </c>
      <c r="U36" s="1">
        <f t="shared" si="5"/>
        <v>0</v>
      </c>
      <c r="V36" s="1">
        <f t="shared" si="5"/>
        <v>0</v>
      </c>
      <c r="W36" s="1">
        <f t="shared" si="5"/>
        <v>0</v>
      </c>
      <c r="X36" s="1">
        <f t="shared" si="5"/>
        <v>0</v>
      </c>
    </row>
    <row r="37" spans="1:24" outlineLevel="2">
      <c r="A37" s="17"/>
      <c r="B37" s="17"/>
      <c r="C37" s="28"/>
      <c r="D37" s="27"/>
      <c r="E37" s="16" t="s">
        <v>222</v>
      </c>
      <c r="F37" s="6">
        <f xml:space="preserve">  SUM( $N36:$X36 )</f>
        <v>52071.943844968133</v>
      </c>
      <c r="G37" s="16" t="s">
        <v>62</v>
      </c>
      <c r="L37" s="1"/>
    </row>
    <row r="38" spans="1:24" outlineLevel="2"/>
    <row r="39" spans="1:24" outlineLevel="2"/>
    <row r="40" spans="1:24" outlineLevel="2">
      <c r="B40" s="23" t="s">
        <v>223</v>
      </c>
    </row>
    <row r="41" spans="1:24" outlineLevel="2">
      <c r="A41" s="5"/>
      <c r="B41" s="5"/>
      <c r="C41" s="10"/>
      <c r="D41" s="11"/>
      <c r="E41" s="7" t="str">
        <f xml:space="preserve">  Time!E$33</f>
        <v>Period number</v>
      </c>
      <c r="F41" s="8">
        <f xml:space="preserve">  Time!F$33</f>
        <v>0</v>
      </c>
      <c r="G41" s="8" t="str">
        <f xml:space="preserve">  Time!G$33</f>
        <v>Counter</v>
      </c>
      <c r="L41" s="8">
        <f xml:space="preserve">  Time!L$33</f>
        <v>0</v>
      </c>
      <c r="M41" s="8">
        <f xml:space="preserve">  Time!M$33</f>
        <v>0</v>
      </c>
      <c r="N41" s="8">
        <f xml:space="preserve">  Time!N$33</f>
        <v>1</v>
      </c>
      <c r="O41" s="8">
        <f xml:space="preserve">  Time!O$33</f>
        <v>2</v>
      </c>
      <c r="P41" s="8">
        <f xml:space="preserve">  Time!P$33</f>
        <v>3</v>
      </c>
      <c r="Q41" s="8">
        <f xml:space="preserve">  Time!Q$33</f>
        <v>4</v>
      </c>
      <c r="R41" s="8">
        <f xml:space="preserve">  Time!R$33</f>
        <v>5</v>
      </c>
      <c r="S41" s="8">
        <f xml:space="preserve">  Time!S$33</f>
        <v>6</v>
      </c>
      <c r="T41" s="8">
        <f xml:space="preserve">  Time!T$33</f>
        <v>7</v>
      </c>
      <c r="U41" s="8">
        <f xml:space="preserve">  Time!U$33</f>
        <v>8</v>
      </c>
      <c r="V41" s="8">
        <f xml:space="preserve">  Time!V$33</f>
        <v>9</v>
      </c>
      <c r="W41" s="8">
        <f xml:space="preserve">  Time!W$33</f>
        <v>10</v>
      </c>
      <c r="X41" s="8">
        <f xml:space="preserve">  Time!X$33</f>
        <v>11</v>
      </c>
    </row>
    <row r="42" spans="1:24" outlineLevel="2">
      <c r="A42" s="5"/>
      <c r="B42" s="5"/>
      <c r="C42" s="10"/>
      <c r="D42" s="11"/>
      <c r="E42" s="7" t="str">
        <f xml:space="preserve">  Inputs!E$53</f>
        <v>Service Units</v>
      </c>
      <c r="F42" s="2">
        <f xml:space="preserve">  Inputs!F$53</f>
        <v>0</v>
      </c>
      <c r="G42" s="2" t="str">
        <f xml:space="preserve">  Inputs!G$53</f>
        <v>000</v>
      </c>
      <c r="L42" s="2">
        <f xml:space="preserve">  Inputs!L$53</f>
        <v>148622</v>
      </c>
      <c r="M42" s="2">
        <f xml:space="preserve">  Inputs!M$53</f>
        <v>0</v>
      </c>
      <c r="N42" s="2">
        <f xml:space="preserve">  Inputs!N$53</f>
        <v>12392</v>
      </c>
      <c r="O42" s="2">
        <f xml:space="preserve">  Inputs!O$53</f>
        <v>12580</v>
      </c>
      <c r="P42" s="2">
        <f xml:space="preserve">  Inputs!P$53</f>
        <v>12818</v>
      </c>
      <c r="Q42" s="2">
        <f xml:space="preserve">  Inputs!Q$53</f>
        <v>13082</v>
      </c>
      <c r="R42" s="2">
        <f xml:space="preserve">  Inputs!R$53</f>
        <v>13278</v>
      </c>
      <c r="S42" s="2">
        <f xml:space="preserve">  Inputs!S$53</f>
        <v>13507</v>
      </c>
      <c r="T42" s="2">
        <f xml:space="preserve">  Inputs!T$53</f>
        <v>13717</v>
      </c>
      <c r="U42" s="2">
        <f xml:space="preserve">  Inputs!U$53</f>
        <v>13951</v>
      </c>
      <c r="V42" s="2">
        <f xml:space="preserve">  Inputs!V$53</f>
        <v>14189</v>
      </c>
      <c r="W42" s="2">
        <f xml:space="preserve">  Inputs!W$53</f>
        <v>14431</v>
      </c>
      <c r="X42" s="2">
        <f xml:space="preserve">  Inputs!X$53</f>
        <v>14677</v>
      </c>
    </row>
    <row r="43" spans="1:24" outlineLevel="2">
      <c r="E43" s="46" t="s">
        <v>223</v>
      </c>
      <c r="G43" s="79" t="s">
        <v>75</v>
      </c>
      <c r="L43" s="3">
        <f xml:space="preserve"> SUM( N43:X43 )</f>
        <v>25398</v>
      </c>
      <c r="N43" s="3">
        <f t="shared" ref="N43:X43" si="6" xml:space="preserve">  IF( OR( N41 = 2, N41 = 3 ), N42, 0 )</f>
        <v>0</v>
      </c>
      <c r="O43" s="3">
        <f t="shared" si="6"/>
        <v>12580</v>
      </c>
      <c r="P43" s="3">
        <f t="shared" si="6"/>
        <v>12818</v>
      </c>
      <c r="Q43" s="3">
        <f t="shared" si="6"/>
        <v>0</v>
      </c>
      <c r="R43" s="3">
        <f t="shared" si="6"/>
        <v>0</v>
      </c>
      <c r="S43" s="3">
        <f t="shared" si="6"/>
        <v>0</v>
      </c>
      <c r="T43" s="3">
        <f t="shared" si="6"/>
        <v>0</v>
      </c>
      <c r="U43" s="3">
        <f t="shared" si="6"/>
        <v>0</v>
      </c>
      <c r="V43" s="3">
        <f t="shared" si="6"/>
        <v>0</v>
      </c>
      <c r="W43" s="3">
        <f t="shared" si="6"/>
        <v>0</v>
      </c>
      <c r="X43" s="3">
        <f t="shared" si="6"/>
        <v>0</v>
      </c>
    </row>
    <row r="44" spans="1:24" outlineLevel="2"/>
    <row r="45" spans="1:24" outlineLevel="2"/>
    <row r="46" spans="1:24" outlineLevel="2">
      <c r="B46" s="23" t="s">
        <v>224</v>
      </c>
    </row>
    <row r="47" spans="1:24" outlineLevel="2">
      <c r="E47" s="46" t="str">
        <f t="shared" ref="E47:X47" si="7" xml:space="preserve">  E$43</f>
        <v>Annual Service Units forecast for NR23 period (2026 start)</v>
      </c>
      <c r="F47" s="3">
        <f t="shared" si="7"/>
        <v>0</v>
      </c>
      <c r="G47" s="3" t="str">
        <f t="shared" si="7"/>
        <v>000</v>
      </c>
      <c r="L47" s="3">
        <f t="shared" si="7"/>
        <v>25398</v>
      </c>
      <c r="M47" s="3">
        <f t="shared" si="7"/>
        <v>0</v>
      </c>
      <c r="N47" s="3">
        <f t="shared" si="7"/>
        <v>0</v>
      </c>
      <c r="O47" s="3">
        <f t="shared" si="7"/>
        <v>12580</v>
      </c>
      <c r="P47" s="3">
        <f t="shared" si="7"/>
        <v>12818</v>
      </c>
      <c r="Q47" s="3">
        <f t="shared" si="7"/>
        <v>0</v>
      </c>
      <c r="R47" s="3">
        <f t="shared" si="7"/>
        <v>0</v>
      </c>
      <c r="S47" s="3">
        <f t="shared" si="7"/>
        <v>0</v>
      </c>
      <c r="T47" s="3">
        <f t="shared" si="7"/>
        <v>0</v>
      </c>
      <c r="U47" s="3">
        <f t="shared" si="7"/>
        <v>0</v>
      </c>
      <c r="V47" s="3">
        <f t="shared" si="7"/>
        <v>0</v>
      </c>
      <c r="W47" s="3">
        <f t="shared" si="7"/>
        <v>0</v>
      </c>
      <c r="X47" s="3">
        <f t="shared" si="7"/>
        <v>0</v>
      </c>
    </row>
    <row r="48" spans="1:24" outlineLevel="2">
      <c r="A48" s="17"/>
      <c r="B48" s="17"/>
      <c r="C48" s="28"/>
      <c r="D48" s="27"/>
      <c r="E48" s="16" t="s">
        <v>224</v>
      </c>
      <c r="F48" s="18">
        <f xml:space="preserve">  SUM( $N47:$X47 )</f>
        <v>25398</v>
      </c>
      <c r="G48" s="81" t="s">
        <v>75</v>
      </c>
      <c r="L48" s="3"/>
    </row>
    <row r="49" spans="1:24" outlineLevel="2"/>
    <row r="50" spans="1:24" outlineLevel="2"/>
    <row r="51" spans="1:24" outlineLevel="2">
      <c r="B51" s="23" t="s">
        <v>225</v>
      </c>
    </row>
    <row r="52" spans="1:24" outlineLevel="2">
      <c r="A52" s="5"/>
      <c r="B52" s="5"/>
      <c r="C52" s="10"/>
      <c r="D52" s="11"/>
      <c r="E52" s="7" t="str">
        <f xml:space="preserve">  Time!E$33</f>
        <v>Period number</v>
      </c>
      <c r="F52" s="8">
        <f xml:space="preserve">  Time!F$33</f>
        <v>0</v>
      </c>
      <c r="G52" s="8" t="str">
        <f xml:space="preserve">  Time!G$33</f>
        <v>Counter</v>
      </c>
      <c r="L52" s="8">
        <f xml:space="preserve">  Time!L$33</f>
        <v>0</v>
      </c>
      <c r="M52" s="8">
        <f xml:space="preserve">  Time!M$33</f>
        <v>0</v>
      </c>
      <c r="N52" s="8">
        <f xml:space="preserve">  Time!N$33</f>
        <v>1</v>
      </c>
      <c r="O52" s="8">
        <f xml:space="preserve">  Time!O$33</f>
        <v>2</v>
      </c>
      <c r="P52" s="8">
        <f xml:space="preserve">  Time!P$33</f>
        <v>3</v>
      </c>
      <c r="Q52" s="8">
        <f xml:space="preserve">  Time!Q$33</f>
        <v>4</v>
      </c>
      <c r="R52" s="8">
        <f xml:space="preserve">  Time!R$33</f>
        <v>5</v>
      </c>
      <c r="S52" s="8">
        <f xml:space="preserve">  Time!S$33</f>
        <v>6</v>
      </c>
      <c r="T52" s="8">
        <f xml:space="preserve">  Time!T$33</f>
        <v>7</v>
      </c>
      <c r="U52" s="8">
        <f xml:space="preserve">  Time!U$33</f>
        <v>8</v>
      </c>
      <c r="V52" s="8">
        <f xml:space="preserve">  Time!V$33</f>
        <v>9</v>
      </c>
      <c r="W52" s="8">
        <f xml:space="preserve">  Time!W$33</f>
        <v>10</v>
      </c>
      <c r="X52" s="8">
        <f xml:space="preserve">  Time!X$33</f>
        <v>11</v>
      </c>
    </row>
    <row r="53" spans="1:24" outlineLevel="2">
      <c r="A53" s="5"/>
      <c r="B53" s="5"/>
      <c r="C53" s="10"/>
      <c r="D53" s="11"/>
      <c r="E53" s="7" t="str">
        <f xml:space="preserve">  Inputs!E$52</f>
        <v>Flights</v>
      </c>
      <c r="F53" s="2">
        <f xml:space="preserve">  Inputs!F$52</f>
        <v>0</v>
      </c>
      <c r="G53" s="2" t="str">
        <f xml:space="preserve">  Inputs!G$52</f>
        <v>000</v>
      </c>
      <c r="L53" s="2">
        <f xml:space="preserve">  Inputs!L$52</f>
        <v>29269</v>
      </c>
      <c r="M53" s="2">
        <f xml:space="preserve">  Inputs!M$52</f>
        <v>0</v>
      </c>
      <c r="N53" s="2">
        <f xml:space="preserve">  Inputs!N$52</f>
        <v>2510</v>
      </c>
      <c r="O53" s="2">
        <f xml:space="preserve">  Inputs!O$52</f>
        <v>2536</v>
      </c>
      <c r="P53" s="2">
        <f xml:space="preserve">  Inputs!P$52</f>
        <v>2568</v>
      </c>
      <c r="Q53" s="2">
        <f xml:space="preserve">  Inputs!Q$52</f>
        <v>2606</v>
      </c>
      <c r="R53" s="2">
        <f xml:space="preserve">  Inputs!R$52</f>
        <v>2630</v>
      </c>
      <c r="S53" s="2">
        <f xml:space="preserve">  Inputs!S$52</f>
        <v>2661</v>
      </c>
      <c r="T53" s="2">
        <f xml:space="preserve">  Inputs!T$52</f>
        <v>2689</v>
      </c>
      <c r="U53" s="2">
        <f xml:space="preserve">  Inputs!U$52</f>
        <v>2720</v>
      </c>
      <c r="V53" s="2">
        <f xml:space="preserve">  Inputs!V$52</f>
        <v>2751</v>
      </c>
      <c r="W53" s="2">
        <f xml:space="preserve">  Inputs!W$52</f>
        <v>2783</v>
      </c>
      <c r="X53" s="2">
        <f xml:space="preserve">  Inputs!X$52</f>
        <v>2815</v>
      </c>
    </row>
    <row r="54" spans="1:24" outlineLevel="2">
      <c r="E54" s="46" t="s">
        <v>225</v>
      </c>
      <c r="G54" s="79" t="s">
        <v>75</v>
      </c>
      <c r="L54" s="3">
        <f xml:space="preserve"> SUM( N54:X54 )</f>
        <v>5104</v>
      </c>
      <c r="N54" s="3">
        <f t="shared" ref="N54:X54" si="8" xml:space="preserve">  IF( OR( N52 = 2, N52 = 3 ), N53, 0 )</f>
        <v>0</v>
      </c>
      <c r="O54" s="3">
        <f t="shared" si="8"/>
        <v>2536</v>
      </c>
      <c r="P54" s="3">
        <f t="shared" si="8"/>
        <v>2568</v>
      </c>
      <c r="Q54" s="3">
        <f t="shared" si="8"/>
        <v>0</v>
      </c>
      <c r="R54" s="3">
        <f t="shared" si="8"/>
        <v>0</v>
      </c>
      <c r="S54" s="3">
        <f t="shared" si="8"/>
        <v>0</v>
      </c>
      <c r="T54" s="3">
        <f t="shared" si="8"/>
        <v>0</v>
      </c>
      <c r="U54" s="3">
        <f t="shared" si="8"/>
        <v>0</v>
      </c>
      <c r="V54" s="3">
        <f t="shared" si="8"/>
        <v>0</v>
      </c>
      <c r="W54" s="3">
        <f t="shared" si="8"/>
        <v>0</v>
      </c>
      <c r="X54" s="3">
        <f t="shared" si="8"/>
        <v>0</v>
      </c>
    </row>
    <row r="55" spans="1:24" outlineLevel="2"/>
    <row r="56" spans="1:24" outlineLevel="2"/>
    <row r="57" spans="1:24" outlineLevel="2">
      <c r="B57" s="23" t="s">
        <v>226</v>
      </c>
    </row>
    <row r="58" spans="1:24" outlineLevel="2">
      <c r="E58" s="46" t="str">
        <f t="shared" ref="E58:X58" si="9" xml:space="preserve">  E$54</f>
        <v>Annual Flights forecast for NR23 period (2026 start)</v>
      </c>
      <c r="F58" s="3">
        <f t="shared" si="9"/>
        <v>0</v>
      </c>
      <c r="G58" s="3" t="str">
        <f t="shared" si="9"/>
        <v>000</v>
      </c>
      <c r="L58" s="3">
        <f t="shared" si="9"/>
        <v>5104</v>
      </c>
      <c r="M58" s="3">
        <f t="shared" si="9"/>
        <v>0</v>
      </c>
      <c r="N58" s="3">
        <f t="shared" si="9"/>
        <v>0</v>
      </c>
      <c r="O58" s="3">
        <f t="shared" si="9"/>
        <v>2536</v>
      </c>
      <c r="P58" s="3">
        <f t="shared" si="9"/>
        <v>2568</v>
      </c>
      <c r="Q58" s="3">
        <f t="shared" si="9"/>
        <v>0</v>
      </c>
      <c r="R58" s="3">
        <f t="shared" si="9"/>
        <v>0</v>
      </c>
      <c r="S58" s="3">
        <f t="shared" si="9"/>
        <v>0</v>
      </c>
      <c r="T58" s="3">
        <f t="shared" si="9"/>
        <v>0</v>
      </c>
      <c r="U58" s="3">
        <f t="shared" si="9"/>
        <v>0</v>
      </c>
      <c r="V58" s="3">
        <f t="shared" si="9"/>
        <v>0</v>
      </c>
      <c r="W58" s="3">
        <f t="shared" si="9"/>
        <v>0</v>
      </c>
      <c r="X58" s="3">
        <f t="shared" si="9"/>
        <v>0</v>
      </c>
    </row>
    <row r="59" spans="1:24" outlineLevel="2">
      <c r="A59" s="17"/>
      <c r="B59" s="17"/>
      <c r="C59" s="28"/>
      <c r="D59" s="27"/>
      <c r="E59" s="16" t="s">
        <v>226</v>
      </c>
      <c r="F59" s="18">
        <f xml:space="preserve">  SUM( $N58:$X58 )</f>
        <v>5104</v>
      </c>
      <c r="G59" s="81" t="s">
        <v>75</v>
      </c>
      <c r="L59" s="3"/>
    </row>
    <row r="60" spans="1:24" outlineLevel="2"/>
    <row r="61" spans="1:24" outlineLevel="1"/>
    <row r="62" spans="1:24" outlineLevel="1">
      <c r="A62" s="23" t="s">
        <v>182</v>
      </c>
    </row>
    <row r="63" spans="1:24" outlineLevel="1"/>
    <row r="64" spans="1:24" outlineLevel="2">
      <c r="B64" s="23" t="s">
        <v>227</v>
      </c>
    </row>
    <row r="65" spans="1:24" outlineLevel="2">
      <c r="A65" s="5"/>
      <c r="B65" s="5"/>
      <c r="C65" s="10"/>
      <c r="D65" s="11"/>
      <c r="E65" s="7" t="str">
        <f xml:space="preserve">  Time!E$33</f>
        <v>Period number</v>
      </c>
      <c r="F65" s="8">
        <f xml:space="preserve">  Time!F$33</f>
        <v>0</v>
      </c>
      <c r="G65" s="8" t="str">
        <f xml:space="preserve">  Time!G$33</f>
        <v>Counter</v>
      </c>
      <c r="L65" s="8">
        <f xml:space="preserve">  Time!L$33</f>
        <v>0</v>
      </c>
      <c r="M65" s="8">
        <f xml:space="preserve">  Time!M$33</f>
        <v>0</v>
      </c>
      <c r="N65" s="8">
        <f xml:space="preserve">  Time!N$33</f>
        <v>1</v>
      </c>
      <c r="O65" s="8">
        <f xml:space="preserve">  Time!O$33</f>
        <v>2</v>
      </c>
      <c r="P65" s="8">
        <f xml:space="preserve">  Time!P$33</f>
        <v>3</v>
      </c>
      <c r="Q65" s="8">
        <f xml:space="preserve">  Time!Q$33</f>
        <v>4</v>
      </c>
      <c r="R65" s="8">
        <f xml:space="preserve">  Time!R$33</f>
        <v>5</v>
      </c>
      <c r="S65" s="8">
        <f xml:space="preserve">  Time!S$33</f>
        <v>6</v>
      </c>
      <c r="T65" s="8">
        <f xml:space="preserve">  Time!T$33</f>
        <v>7</v>
      </c>
      <c r="U65" s="8">
        <f xml:space="preserve">  Time!U$33</f>
        <v>8</v>
      </c>
      <c r="V65" s="8">
        <f xml:space="preserve">  Time!V$33</f>
        <v>9</v>
      </c>
      <c r="W65" s="8">
        <f xml:space="preserve">  Time!W$33</f>
        <v>10</v>
      </c>
      <c r="X65" s="8">
        <f xml:space="preserve">  Time!X$33</f>
        <v>11</v>
      </c>
    </row>
    <row r="66" spans="1:24" outlineLevel="2">
      <c r="E66" s="46" t="str">
        <f t="shared" ref="E66:X66" si="10" xml:space="preserve">  E$21</f>
        <v>UKADS1 scenario chosen</v>
      </c>
      <c r="F66" s="1">
        <f t="shared" si="10"/>
        <v>0</v>
      </c>
      <c r="G66" s="1" t="str">
        <f t="shared" si="10"/>
        <v>£'000 (2024 prices)</v>
      </c>
      <c r="L66" s="1">
        <f t="shared" si="10"/>
        <v>127391.93999999996</v>
      </c>
      <c r="M66" s="1">
        <f t="shared" si="10"/>
        <v>0</v>
      </c>
      <c r="N66" s="1">
        <f t="shared" si="10"/>
        <v>7484.3149999999987</v>
      </c>
      <c r="O66" s="1">
        <f t="shared" si="10"/>
        <v>8792.9</v>
      </c>
      <c r="P66" s="1">
        <f t="shared" si="10"/>
        <v>15278.899999999998</v>
      </c>
      <c r="Q66" s="1">
        <f t="shared" si="10"/>
        <v>10224.65</v>
      </c>
      <c r="R66" s="1">
        <f t="shared" si="10"/>
        <v>15278.899999999998</v>
      </c>
      <c r="S66" s="1">
        <f t="shared" si="10"/>
        <v>10224.65</v>
      </c>
      <c r="T66" s="1">
        <f t="shared" si="10"/>
        <v>15278.899999999998</v>
      </c>
      <c r="U66" s="1">
        <f t="shared" si="10"/>
        <v>10224.65</v>
      </c>
      <c r="V66" s="1">
        <f t="shared" si="10"/>
        <v>14154.774999999998</v>
      </c>
      <c r="W66" s="1">
        <f t="shared" si="10"/>
        <v>10224.65</v>
      </c>
      <c r="X66" s="1">
        <f t="shared" si="10"/>
        <v>10224.65</v>
      </c>
    </row>
    <row r="67" spans="1:24" outlineLevel="2">
      <c r="E67" s="46" t="str">
        <f t="shared" ref="E67:X67" si="11" xml:space="preserve">  E$13</f>
        <v>UKADSF scenarios chosen</v>
      </c>
      <c r="F67" s="1">
        <f t="shared" si="11"/>
        <v>0</v>
      </c>
      <c r="G67" s="1" t="str">
        <f t="shared" si="11"/>
        <v>£'000 (2024 prices)</v>
      </c>
      <c r="L67" s="1">
        <f t="shared" si="11"/>
        <v>74380.773437852215</v>
      </c>
      <c r="M67" s="1">
        <f t="shared" si="11"/>
        <v>0</v>
      </c>
      <c r="N67" s="1">
        <f t="shared" si="11"/>
        <v>2438.4601122851013</v>
      </c>
      <c r="O67" s="1">
        <f t="shared" si="11"/>
        <v>9511.0549027019752</v>
      </c>
      <c r="P67" s="1">
        <f t="shared" si="11"/>
        <v>8566.3138299810635</v>
      </c>
      <c r="Q67" s="1">
        <f t="shared" si="11"/>
        <v>8414.2389541468656</v>
      </c>
      <c r="R67" s="1">
        <f t="shared" si="11"/>
        <v>9127.5948093498828</v>
      </c>
      <c r="S67" s="1">
        <f t="shared" si="11"/>
        <v>6722.2516212665705</v>
      </c>
      <c r="T67" s="1">
        <f t="shared" si="11"/>
        <v>5920.1718416241501</v>
      </c>
      <c r="U67" s="1">
        <f t="shared" si="11"/>
        <v>5920.1718416241501</v>
      </c>
      <c r="V67" s="1">
        <f t="shared" si="11"/>
        <v>5920.1718416241501</v>
      </c>
      <c r="W67" s="1">
        <f t="shared" si="11"/>
        <v>5920.1718416241501</v>
      </c>
      <c r="X67" s="1">
        <f t="shared" si="11"/>
        <v>5920.1718416241501</v>
      </c>
    </row>
    <row r="68" spans="1:24" outlineLevel="2">
      <c r="E68" s="46" t="s">
        <v>227</v>
      </c>
      <c r="G68" s="46" t="s">
        <v>62</v>
      </c>
      <c r="L68" s="1">
        <f xml:space="preserve"> SUM( N68:X68 )</f>
        <v>193700.30251704017</v>
      </c>
      <c r="N68" s="1">
        <f t="shared" ref="N68:X68" si="12" xml:space="preserve">  IF( N65 &lt; 11, SUM( N66:N67 ), ( IF( N65 = 11, SUM( N66:N67 ) / 2, 0 ) ) )</f>
        <v>9922.7751122851005</v>
      </c>
      <c r="O68" s="1">
        <f t="shared" si="12"/>
        <v>18303.954902701975</v>
      </c>
      <c r="P68" s="1">
        <f t="shared" si="12"/>
        <v>23845.213829981061</v>
      </c>
      <c r="Q68" s="1">
        <f t="shared" si="12"/>
        <v>18638.888954146867</v>
      </c>
      <c r="R68" s="1">
        <f t="shared" si="12"/>
        <v>24406.494809349882</v>
      </c>
      <c r="S68" s="1">
        <f t="shared" si="12"/>
        <v>16946.90162126657</v>
      </c>
      <c r="T68" s="1">
        <f t="shared" si="12"/>
        <v>21199.071841624147</v>
      </c>
      <c r="U68" s="1">
        <f t="shared" si="12"/>
        <v>16144.821841624151</v>
      </c>
      <c r="V68" s="1">
        <f t="shared" si="12"/>
        <v>20074.946841624147</v>
      </c>
      <c r="W68" s="1">
        <f t="shared" si="12"/>
        <v>16144.821841624151</v>
      </c>
      <c r="X68" s="1">
        <f t="shared" si="12"/>
        <v>8072.4109208120753</v>
      </c>
    </row>
    <row r="69" spans="1:24" outlineLevel="2"/>
    <row r="70" spans="1:24" outlineLevel="2"/>
    <row r="71" spans="1:24" outlineLevel="2">
      <c r="B71" s="23" t="s">
        <v>228</v>
      </c>
    </row>
    <row r="72" spans="1:24" outlineLevel="2">
      <c r="E72" s="46" t="str">
        <f t="shared" ref="E72:X72" si="13" xml:space="preserve">  E$68</f>
        <v>Estimated annual costs of providing the UKADS and the Support Fund 10-year</v>
      </c>
      <c r="F72" s="1">
        <f t="shared" si="13"/>
        <v>0</v>
      </c>
      <c r="G72" s="1" t="str">
        <f t="shared" si="13"/>
        <v>£'000 (2024 prices)</v>
      </c>
      <c r="L72" s="1">
        <f t="shared" si="13"/>
        <v>193700.30251704017</v>
      </c>
      <c r="M72" s="1">
        <f t="shared" si="13"/>
        <v>0</v>
      </c>
      <c r="N72" s="1">
        <f t="shared" si="13"/>
        <v>9922.7751122851005</v>
      </c>
      <c r="O72" s="1">
        <f t="shared" si="13"/>
        <v>18303.954902701975</v>
      </c>
      <c r="P72" s="1">
        <f t="shared" si="13"/>
        <v>23845.213829981061</v>
      </c>
      <c r="Q72" s="1">
        <f t="shared" si="13"/>
        <v>18638.888954146867</v>
      </c>
      <c r="R72" s="1">
        <f t="shared" si="13"/>
        <v>24406.494809349882</v>
      </c>
      <c r="S72" s="1">
        <f t="shared" si="13"/>
        <v>16946.90162126657</v>
      </c>
      <c r="T72" s="1">
        <f t="shared" si="13"/>
        <v>21199.071841624147</v>
      </c>
      <c r="U72" s="1">
        <f t="shared" si="13"/>
        <v>16144.821841624151</v>
      </c>
      <c r="V72" s="1">
        <f t="shared" si="13"/>
        <v>20074.946841624147</v>
      </c>
      <c r="W72" s="1">
        <f t="shared" si="13"/>
        <v>16144.821841624151</v>
      </c>
      <c r="X72" s="1">
        <f t="shared" si="13"/>
        <v>8072.4109208120753</v>
      </c>
    </row>
    <row r="73" spans="1:24" outlineLevel="2">
      <c r="A73" s="17"/>
      <c r="B73" s="17"/>
      <c r="C73" s="28"/>
      <c r="D73" s="27"/>
      <c r="E73" s="16" t="s">
        <v>228</v>
      </c>
      <c r="F73" s="6">
        <f xml:space="preserve">  SUM( $N72:$X72 )</f>
        <v>193700.30251704017</v>
      </c>
      <c r="G73" s="16" t="s">
        <v>62</v>
      </c>
      <c r="L73" s="1"/>
    </row>
    <row r="74" spans="1:24" outlineLevel="2"/>
    <row r="75" spans="1:24" outlineLevel="2"/>
    <row r="76" spans="1:24" outlineLevel="2">
      <c r="B76" s="23" t="s">
        <v>229</v>
      </c>
    </row>
    <row r="77" spans="1:24" outlineLevel="2">
      <c r="A77" s="5"/>
      <c r="B77" s="5"/>
      <c r="C77" s="10"/>
      <c r="D77" s="11"/>
      <c r="E77" s="7" t="str">
        <f xml:space="preserve">  Time!E$33</f>
        <v>Period number</v>
      </c>
      <c r="F77" s="8">
        <f xml:space="preserve">  Time!F$33</f>
        <v>0</v>
      </c>
      <c r="G77" s="8" t="str">
        <f xml:space="preserve">  Time!G$33</f>
        <v>Counter</v>
      </c>
      <c r="L77" s="8">
        <f xml:space="preserve">  Time!L$33</f>
        <v>0</v>
      </c>
      <c r="M77" s="8">
        <f xml:space="preserve">  Time!M$33</f>
        <v>0</v>
      </c>
      <c r="N77" s="8">
        <f xml:space="preserve">  Time!N$33</f>
        <v>1</v>
      </c>
      <c r="O77" s="8">
        <f xml:space="preserve">  Time!O$33</f>
        <v>2</v>
      </c>
      <c r="P77" s="8">
        <f xml:space="preserve">  Time!P$33</f>
        <v>3</v>
      </c>
      <c r="Q77" s="8">
        <f xml:space="preserve">  Time!Q$33</f>
        <v>4</v>
      </c>
      <c r="R77" s="8">
        <f xml:space="preserve">  Time!R$33</f>
        <v>5</v>
      </c>
      <c r="S77" s="8">
        <f xml:space="preserve">  Time!S$33</f>
        <v>6</v>
      </c>
      <c r="T77" s="8">
        <f xml:space="preserve">  Time!T$33</f>
        <v>7</v>
      </c>
      <c r="U77" s="8">
        <f xml:space="preserve">  Time!U$33</f>
        <v>8</v>
      </c>
      <c r="V77" s="8">
        <f xml:space="preserve">  Time!V$33</f>
        <v>9</v>
      </c>
      <c r="W77" s="8">
        <f xml:space="preserve">  Time!W$33</f>
        <v>10</v>
      </c>
      <c r="X77" s="8">
        <f xml:space="preserve">  Time!X$33</f>
        <v>11</v>
      </c>
    </row>
    <row r="78" spans="1:24" outlineLevel="2">
      <c r="A78" s="5"/>
      <c r="B78" s="5"/>
      <c r="C78" s="10"/>
      <c r="D78" s="11"/>
      <c r="E78" s="7" t="str">
        <f xml:space="preserve">  Inputs!E$53</f>
        <v>Service Units</v>
      </c>
      <c r="F78" s="2">
        <f xml:space="preserve">  Inputs!F$53</f>
        <v>0</v>
      </c>
      <c r="G78" s="2" t="str">
        <f xml:space="preserve">  Inputs!G$53</f>
        <v>000</v>
      </c>
      <c r="L78" s="2">
        <f xml:space="preserve">  Inputs!L$53</f>
        <v>148622</v>
      </c>
      <c r="M78" s="2">
        <f xml:space="preserve">  Inputs!M$53</f>
        <v>0</v>
      </c>
      <c r="N78" s="2">
        <f xml:space="preserve">  Inputs!N$53</f>
        <v>12392</v>
      </c>
      <c r="O78" s="2">
        <f xml:space="preserve">  Inputs!O$53</f>
        <v>12580</v>
      </c>
      <c r="P78" s="2">
        <f xml:space="preserve">  Inputs!P$53</f>
        <v>12818</v>
      </c>
      <c r="Q78" s="2">
        <f xml:space="preserve">  Inputs!Q$53</f>
        <v>13082</v>
      </c>
      <c r="R78" s="2">
        <f xml:space="preserve">  Inputs!R$53</f>
        <v>13278</v>
      </c>
      <c r="S78" s="2">
        <f xml:space="preserve">  Inputs!S$53</f>
        <v>13507</v>
      </c>
      <c r="T78" s="2">
        <f xml:space="preserve">  Inputs!T$53</f>
        <v>13717</v>
      </c>
      <c r="U78" s="2">
        <f xml:space="preserve">  Inputs!U$53</f>
        <v>13951</v>
      </c>
      <c r="V78" s="2">
        <f xml:space="preserve">  Inputs!V$53</f>
        <v>14189</v>
      </c>
      <c r="W78" s="2">
        <f xml:space="preserve">  Inputs!W$53</f>
        <v>14431</v>
      </c>
      <c r="X78" s="2">
        <f xml:space="preserve">  Inputs!X$53</f>
        <v>14677</v>
      </c>
    </row>
    <row r="79" spans="1:24" outlineLevel="2">
      <c r="E79" s="46" t="s">
        <v>229</v>
      </c>
      <c r="G79" s="79" t="s">
        <v>75</v>
      </c>
      <c r="L79" s="3">
        <f xml:space="preserve"> SUM( N79:X79 )</f>
        <v>136230</v>
      </c>
      <c r="N79" s="3">
        <f t="shared" ref="N79:X79" si="14" xml:space="preserve">  IF( N77 &gt; 1, N78, 0 )</f>
        <v>0</v>
      </c>
      <c r="O79" s="3">
        <f t="shared" si="14"/>
        <v>12580</v>
      </c>
      <c r="P79" s="3">
        <f t="shared" si="14"/>
        <v>12818</v>
      </c>
      <c r="Q79" s="3">
        <f t="shared" si="14"/>
        <v>13082</v>
      </c>
      <c r="R79" s="3">
        <f t="shared" si="14"/>
        <v>13278</v>
      </c>
      <c r="S79" s="3">
        <f t="shared" si="14"/>
        <v>13507</v>
      </c>
      <c r="T79" s="3">
        <f t="shared" si="14"/>
        <v>13717</v>
      </c>
      <c r="U79" s="3">
        <f t="shared" si="14"/>
        <v>13951</v>
      </c>
      <c r="V79" s="3">
        <f t="shared" si="14"/>
        <v>14189</v>
      </c>
      <c r="W79" s="3">
        <f t="shared" si="14"/>
        <v>14431</v>
      </c>
      <c r="X79" s="3">
        <f t="shared" si="14"/>
        <v>14677</v>
      </c>
    </row>
    <row r="80" spans="1:24" outlineLevel="2"/>
    <row r="81" spans="1:24" outlineLevel="2"/>
    <row r="82" spans="1:24" outlineLevel="2">
      <c r="B82" s="23" t="s">
        <v>230</v>
      </c>
    </row>
    <row r="83" spans="1:24" outlineLevel="2">
      <c r="E83" s="46" t="str">
        <f t="shared" ref="E83:X83" si="15" xml:space="preserve">  E$79</f>
        <v>Annual Service Units forecast for 10-year period (2026 start)</v>
      </c>
      <c r="F83" s="3">
        <f t="shared" si="15"/>
        <v>0</v>
      </c>
      <c r="G83" s="3" t="str">
        <f t="shared" si="15"/>
        <v>000</v>
      </c>
      <c r="L83" s="3">
        <f t="shared" si="15"/>
        <v>136230</v>
      </c>
      <c r="M83" s="3">
        <f t="shared" si="15"/>
        <v>0</v>
      </c>
      <c r="N83" s="3">
        <f t="shared" si="15"/>
        <v>0</v>
      </c>
      <c r="O83" s="3">
        <f t="shared" si="15"/>
        <v>12580</v>
      </c>
      <c r="P83" s="3">
        <f t="shared" si="15"/>
        <v>12818</v>
      </c>
      <c r="Q83" s="3">
        <f t="shared" si="15"/>
        <v>13082</v>
      </c>
      <c r="R83" s="3">
        <f t="shared" si="15"/>
        <v>13278</v>
      </c>
      <c r="S83" s="3">
        <f t="shared" si="15"/>
        <v>13507</v>
      </c>
      <c r="T83" s="3">
        <f t="shared" si="15"/>
        <v>13717</v>
      </c>
      <c r="U83" s="3">
        <f t="shared" si="15"/>
        <v>13951</v>
      </c>
      <c r="V83" s="3">
        <f t="shared" si="15"/>
        <v>14189</v>
      </c>
      <c r="W83" s="3">
        <f t="shared" si="15"/>
        <v>14431</v>
      </c>
      <c r="X83" s="3">
        <f t="shared" si="15"/>
        <v>14677</v>
      </c>
    </row>
    <row r="84" spans="1:24" outlineLevel="2">
      <c r="A84" s="17"/>
      <c r="B84" s="17"/>
      <c r="C84" s="28"/>
      <c r="D84" s="27"/>
      <c r="E84" s="16" t="s">
        <v>230</v>
      </c>
      <c r="F84" s="18">
        <f xml:space="preserve">  SUM( $N83:$X83 )</f>
        <v>136230</v>
      </c>
      <c r="G84" s="81" t="s">
        <v>75</v>
      </c>
      <c r="L84" s="3"/>
    </row>
    <row r="85" spans="1:24" outlineLevel="2"/>
    <row r="86" spans="1:24" outlineLevel="2"/>
    <row r="87" spans="1:24" outlineLevel="2">
      <c r="B87" s="23" t="s">
        <v>231</v>
      </c>
    </row>
    <row r="88" spans="1:24" outlineLevel="2">
      <c r="A88" s="5"/>
      <c r="B88" s="5"/>
      <c r="C88" s="10"/>
      <c r="D88" s="11"/>
      <c r="E88" s="7" t="str">
        <f xml:space="preserve">  Time!E$33</f>
        <v>Period number</v>
      </c>
      <c r="F88" s="8">
        <f xml:space="preserve">  Time!F$33</f>
        <v>0</v>
      </c>
      <c r="G88" s="8" t="str">
        <f xml:space="preserve">  Time!G$33</f>
        <v>Counter</v>
      </c>
      <c r="L88" s="8">
        <f xml:space="preserve">  Time!L$33</f>
        <v>0</v>
      </c>
      <c r="M88" s="8">
        <f xml:space="preserve">  Time!M$33</f>
        <v>0</v>
      </c>
      <c r="N88" s="8">
        <f xml:space="preserve">  Time!N$33</f>
        <v>1</v>
      </c>
      <c r="O88" s="8">
        <f xml:space="preserve">  Time!O$33</f>
        <v>2</v>
      </c>
      <c r="P88" s="8">
        <f xml:space="preserve">  Time!P$33</f>
        <v>3</v>
      </c>
      <c r="Q88" s="8">
        <f xml:space="preserve">  Time!Q$33</f>
        <v>4</v>
      </c>
      <c r="R88" s="8">
        <f xml:space="preserve">  Time!R$33</f>
        <v>5</v>
      </c>
      <c r="S88" s="8">
        <f xml:space="preserve">  Time!S$33</f>
        <v>6</v>
      </c>
      <c r="T88" s="8">
        <f xml:space="preserve">  Time!T$33</f>
        <v>7</v>
      </c>
      <c r="U88" s="8">
        <f xml:space="preserve">  Time!U$33</f>
        <v>8</v>
      </c>
      <c r="V88" s="8">
        <f xml:space="preserve">  Time!V$33</f>
        <v>9</v>
      </c>
      <c r="W88" s="8">
        <f xml:space="preserve">  Time!W$33</f>
        <v>10</v>
      </c>
      <c r="X88" s="8">
        <f xml:space="preserve">  Time!X$33</f>
        <v>11</v>
      </c>
    </row>
    <row r="89" spans="1:24" outlineLevel="2">
      <c r="A89" s="5"/>
      <c r="B89" s="5"/>
      <c r="C89" s="10"/>
      <c r="D89" s="11"/>
      <c r="E89" s="7" t="str">
        <f xml:space="preserve">  Inputs!E$52</f>
        <v>Flights</v>
      </c>
      <c r="F89" s="2">
        <f xml:space="preserve">  Inputs!F$52</f>
        <v>0</v>
      </c>
      <c r="G89" s="2" t="str">
        <f xml:space="preserve">  Inputs!G$52</f>
        <v>000</v>
      </c>
      <c r="L89" s="2">
        <f xml:space="preserve">  Inputs!L$52</f>
        <v>29269</v>
      </c>
      <c r="M89" s="2">
        <f xml:space="preserve">  Inputs!M$52</f>
        <v>0</v>
      </c>
      <c r="N89" s="2">
        <f xml:space="preserve">  Inputs!N$52</f>
        <v>2510</v>
      </c>
      <c r="O89" s="2">
        <f xml:space="preserve">  Inputs!O$52</f>
        <v>2536</v>
      </c>
      <c r="P89" s="2">
        <f xml:space="preserve">  Inputs!P$52</f>
        <v>2568</v>
      </c>
      <c r="Q89" s="2">
        <f xml:space="preserve">  Inputs!Q$52</f>
        <v>2606</v>
      </c>
      <c r="R89" s="2">
        <f xml:space="preserve">  Inputs!R$52</f>
        <v>2630</v>
      </c>
      <c r="S89" s="2">
        <f xml:space="preserve">  Inputs!S$52</f>
        <v>2661</v>
      </c>
      <c r="T89" s="2">
        <f xml:space="preserve">  Inputs!T$52</f>
        <v>2689</v>
      </c>
      <c r="U89" s="2">
        <f xml:space="preserve">  Inputs!U$52</f>
        <v>2720</v>
      </c>
      <c r="V89" s="2">
        <f xml:space="preserve">  Inputs!V$52</f>
        <v>2751</v>
      </c>
      <c r="W89" s="2">
        <f xml:space="preserve">  Inputs!W$52</f>
        <v>2783</v>
      </c>
      <c r="X89" s="2">
        <f xml:space="preserve">  Inputs!X$52</f>
        <v>2815</v>
      </c>
    </row>
    <row r="90" spans="1:24" outlineLevel="2">
      <c r="E90" s="46" t="s">
        <v>231</v>
      </c>
      <c r="G90" s="79" t="s">
        <v>75</v>
      </c>
      <c r="L90" s="3">
        <f xml:space="preserve"> SUM( N90:X90 )</f>
        <v>26759</v>
      </c>
      <c r="N90" s="3">
        <f t="shared" ref="N90:X90" si="16" xml:space="preserve">  IF( N88 &gt; 1, N89, 0 )</f>
        <v>0</v>
      </c>
      <c r="O90" s="3">
        <f t="shared" si="16"/>
        <v>2536</v>
      </c>
      <c r="P90" s="3">
        <f t="shared" si="16"/>
        <v>2568</v>
      </c>
      <c r="Q90" s="3">
        <f t="shared" si="16"/>
        <v>2606</v>
      </c>
      <c r="R90" s="3">
        <f t="shared" si="16"/>
        <v>2630</v>
      </c>
      <c r="S90" s="3">
        <f t="shared" si="16"/>
        <v>2661</v>
      </c>
      <c r="T90" s="3">
        <f t="shared" si="16"/>
        <v>2689</v>
      </c>
      <c r="U90" s="3">
        <f t="shared" si="16"/>
        <v>2720</v>
      </c>
      <c r="V90" s="3">
        <f t="shared" si="16"/>
        <v>2751</v>
      </c>
      <c r="W90" s="3">
        <f t="shared" si="16"/>
        <v>2783</v>
      </c>
      <c r="X90" s="3">
        <f t="shared" si="16"/>
        <v>2815</v>
      </c>
    </row>
    <row r="91" spans="1:24" outlineLevel="2"/>
    <row r="92" spans="1:24" outlineLevel="2"/>
    <row r="93" spans="1:24" outlineLevel="2">
      <c r="B93" s="23" t="s">
        <v>232</v>
      </c>
    </row>
    <row r="94" spans="1:24" outlineLevel="2">
      <c r="E94" s="46" t="str">
        <f t="shared" ref="E94:X94" si="17" xml:space="preserve">  E$90</f>
        <v>Annual Flights forecast for 10-year period (2026 start)</v>
      </c>
      <c r="F94" s="3">
        <f t="shared" si="17"/>
        <v>0</v>
      </c>
      <c r="G94" s="3" t="str">
        <f t="shared" si="17"/>
        <v>000</v>
      </c>
      <c r="L94" s="3">
        <f t="shared" si="17"/>
        <v>26759</v>
      </c>
      <c r="M94" s="3">
        <f t="shared" si="17"/>
        <v>0</v>
      </c>
      <c r="N94" s="3">
        <f t="shared" si="17"/>
        <v>0</v>
      </c>
      <c r="O94" s="3">
        <f t="shared" si="17"/>
        <v>2536</v>
      </c>
      <c r="P94" s="3">
        <f t="shared" si="17"/>
        <v>2568</v>
      </c>
      <c r="Q94" s="3">
        <f t="shared" si="17"/>
        <v>2606</v>
      </c>
      <c r="R94" s="3">
        <f t="shared" si="17"/>
        <v>2630</v>
      </c>
      <c r="S94" s="3">
        <f t="shared" si="17"/>
        <v>2661</v>
      </c>
      <c r="T94" s="3">
        <f t="shared" si="17"/>
        <v>2689</v>
      </c>
      <c r="U94" s="3">
        <f t="shared" si="17"/>
        <v>2720</v>
      </c>
      <c r="V94" s="3">
        <f t="shared" si="17"/>
        <v>2751</v>
      </c>
      <c r="W94" s="3">
        <f t="shared" si="17"/>
        <v>2783</v>
      </c>
      <c r="X94" s="3">
        <f t="shared" si="17"/>
        <v>2815</v>
      </c>
    </row>
    <row r="95" spans="1:24" outlineLevel="2">
      <c r="A95" s="17"/>
      <c r="B95" s="17"/>
      <c r="C95" s="28"/>
      <c r="D95" s="27"/>
      <c r="E95" s="16" t="s">
        <v>232</v>
      </c>
      <c r="F95" s="18">
        <f xml:space="preserve">  SUM( $N94:$X94 )</f>
        <v>26759</v>
      </c>
      <c r="G95" s="81" t="s">
        <v>75</v>
      </c>
      <c r="L95" s="3"/>
    </row>
    <row r="96" spans="1:24" outlineLevel="2"/>
    <row r="99" spans="1:1">
      <c r="A99" s="23" t="s">
        <v>100</v>
      </c>
    </row>
  </sheetData>
  <printOptions headings="1"/>
  <pageMargins left="0.74803149606299213" right="0.74803149606299213" top="0.98425196850393704" bottom="0.98425196850393704" header="0.51181102362204722" footer="0.51181102362204722"/>
  <pageSetup paperSize="9" scale="49" orientation="landscape" blackAndWhite="1"/>
  <headerFooter>
    <oddHeader>&amp;LPROJECT [XXX]&amp;C&amp;"Calibri"&amp;8&amp;K000000 OFFICIAL - Public. This information has been cleared for unrestricted distribution. &amp;1#_x000D_&amp;"Tahomai"&amp;8&amp;K000000&amp;"Tahomai"&amp;8&amp;K000000&amp;"Tahomai"&amp;8&amp;K000000Sheet:&amp;A&amp;RSTRICTLY CONFIDENTIAL</oddHeader>
    <oddFooter>&amp;L&amp;F ( Printed on &amp;D at &amp;T )&amp;C_x000D_&amp;1#&amp;"Calibri"&amp;8&amp;K000000 OFFICIAL - Public&amp;RPage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4F81BD"/>
  </sheetPr>
  <dimension ref="A1:X34"/>
  <sheetViews>
    <sheetView showGridLines="0" zoomScale="80" workbookViewId="0">
      <pane xSplit="13" ySplit="5" topLeftCell="N6" activePane="bottomRight" state="frozen"/>
      <selection activeCell="F2" sqref="F2:G3"/>
      <selection pane="topRight" activeCell="F2" sqref="F2:G3"/>
      <selection pane="bottomLeft" activeCell="F2" sqref="F2:G3"/>
      <selection pane="bottomRight"/>
    </sheetView>
  </sheetViews>
  <sheetFormatPr defaultColWidth="0" defaultRowHeight="13"/>
  <cols>
    <col min="1" max="2" width="1.44140625" style="38" customWidth="1"/>
    <col min="3" max="3" width="1.44140625" style="63" customWidth="1"/>
    <col min="4" max="4" width="1.44140625" style="90" customWidth="1"/>
    <col min="5" max="5" width="71.44140625" customWidth="1"/>
    <col min="6" max="6" width="16.33203125" customWidth="1"/>
    <col min="7" max="11" width="15.109375" customWidth="1"/>
    <col min="12" max="12" width="15.109375" style="42" customWidth="1"/>
    <col min="13" max="13" width="3.44140625" customWidth="1"/>
    <col min="14" max="24" width="15.109375" customWidth="1"/>
    <col min="25" max="25" width="15.109375" hidden="1" customWidth="1"/>
    <col min="26" max="16384" width="15.109375" hidden="1"/>
  </cols>
  <sheetData>
    <row r="1" spans="1:24" s="89" customFormat="1" ht="25">
      <c r="A1" s="50" t="str">
        <f ca="1" xml:space="preserve"> RIGHT(CELL("filename", A1), LEN(CELL("filename", A1)) - SEARCH("]", CELL("filename", A1)))</f>
        <v>Operating Cost + Margin Report</v>
      </c>
      <c r="B1" s="93"/>
      <c r="C1" s="84"/>
      <c r="D1" s="85"/>
      <c r="F1" s="57" t="str">
        <f>HYPERLINK("#Contents!A1","Go to contents")</f>
        <v>Go to contents</v>
      </c>
      <c r="L1" s="61"/>
      <c r="N1" s="61"/>
    </row>
    <row r="2" spans="1:24" s="56" customFormat="1">
      <c r="A2" s="64"/>
      <c r="B2" s="64"/>
      <c r="C2" s="88"/>
      <c r="D2" s="92"/>
      <c r="E2" s="15" t="s">
        <v>10</v>
      </c>
      <c r="F2" s="37"/>
      <c r="G2" s="37"/>
      <c r="H2" s="37"/>
      <c r="I2" s="37"/>
      <c r="J2" s="37"/>
      <c r="K2" s="37"/>
      <c r="L2" s="62"/>
      <c r="M2" s="62"/>
      <c r="N2" s="26" t="str">
        <f xml:space="preserve"> Inputs!N$76</f>
        <v>NR23</v>
      </c>
      <c r="O2" s="26" t="str">
        <f xml:space="preserve"> Inputs!O$76</f>
        <v>NR23</v>
      </c>
      <c r="P2" s="26" t="str">
        <f xml:space="preserve"> Inputs!P$76</f>
        <v>NR23</v>
      </c>
      <c r="Q2" s="26" t="str">
        <f xml:space="preserve"> Inputs!Q$76</f>
        <v>NR28</v>
      </c>
      <c r="R2" s="26" t="str">
        <f xml:space="preserve"> Inputs!R$76</f>
        <v>NR28</v>
      </c>
      <c r="S2" s="26" t="str">
        <f xml:space="preserve"> Inputs!S$76</f>
        <v>NR28</v>
      </c>
      <c r="T2" s="26" t="str">
        <f xml:space="preserve"> Inputs!T$76</f>
        <v>NR28</v>
      </c>
      <c r="U2" s="26" t="str">
        <f xml:space="preserve"> Inputs!U$76</f>
        <v>NR28</v>
      </c>
      <c r="V2" s="26" t="str">
        <f xml:space="preserve"> Inputs!V$76</f>
        <v>NR33</v>
      </c>
      <c r="W2" s="26" t="str">
        <f xml:space="preserve"> Inputs!W$76</f>
        <v>NR33</v>
      </c>
      <c r="X2" s="26" t="str">
        <f xml:space="preserve"> Inputs!X$76</f>
        <v>NR33</v>
      </c>
    </row>
    <row r="3" spans="1:24" s="132" customFormat="1">
      <c r="A3" s="64"/>
      <c r="B3" s="64"/>
      <c r="C3" s="88"/>
      <c r="D3" s="92"/>
      <c r="E3" s="31" t="s">
        <v>11</v>
      </c>
      <c r="F3" s="37"/>
      <c r="G3" s="37"/>
      <c r="H3" s="37"/>
      <c r="I3" s="37"/>
      <c r="J3" s="37"/>
      <c r="K3" s="37"/>
      <c r="L3" s="62"/>
      <c r="M3" s="62"/>
      <c r="N3" s="136">
        <f xml:space="preserve"> Time!N$29</f>
        <v>46022</v>
      </c>
      <c r="O3" s="136">
        <f xml:space="preserve"> Time!O$29</f>
        <v>46387</v>
      </c>
      <c r="P3" s="136">
        <f xml:space="preserve"> Time!P$29</f>
        <v>46752</v>
      </c>
      <c r="Q3" s="136">
        <f xml:space="preserve"> Time!Q$29</f>
        <v>47118</v>
      </c>
      <c r="R3" s="136">
        <f xml:space="preserve"> Time!R$29</f>
        <v>47483</v>
      </c>
      <c r="S3" s="136">
        <f xml:space="preserve"> Time!S$29</f>
        <v>47848</v>
      </c>
      <c r="T3" s="136">
        <f xml:space="preserve"> Time!T$29</f>
        <v>48213</v>
      </c>
      <c r="U3" s="136">
        <f xml:space="preserve"> Time!U$29</f>
        <v>48579</v>
      </c>
      <c r="V3" s="136">
        <f xml:space="preserve"> Time!V$29</f>
        <v>48944</v>
      </c>
      <c r="W3" s="136">
        <f xml:space="preserve"> Time!W$29</f>
        <v>49309</v>
      </c>
      <c r="X3" s="136">
        <f xml:space="preserve"> Time!X$29</f>
        <v>49674</v>
      </c>
    </row>
    <row r="4" spans="1:24" s="36" customFormat="1">
      <c r="A4" s="64"/>
      <c r="B4" s="64"/>
      <c r="C4" s="88"/>
      <c r="D4" s="92"/>
      <c r="E4" s="15" t="s">
        <v>12</v>
      </c>
      <c r="F4"/>
      <c r="G4"/>
      <c r="H4"/>
      <c r="I4"/>
      <c r="J4"/>
      <c r="K4"/>
      <c r="L4" s="62"/>
      <c r="M4" s="62"/>
      <c r="N4" s="36">
        <f xml:space="preserve"> Time!N$33</f>
        <v>1</v>
      </c>
      <c r="O4" s="36">
        <f xml:space="preserve"> Time!O$33</f>
        <v>2</v>
      </c>
      <c r="P4" s="36">
        <f xml:space="preserve"> Time!P$33</f>
        <v>3</v>
      </c>
      <c r="Q4" s="36">
        <f xml:space="preserve"> Time!Q$33</f>
        <v>4</v>
      </c>
      <c r="R4" s="36">
        <f xml:space="preserve"> Time!R$33</f>
        <v>5</v>
      </c>
      <c r="S4" s="36">
        <f xml:space="preserve"> Time!S$33</f>
        <v>6</v>
      </c>
      <c r="T4" s="36">
        <f xml:space="preserve"> Time!T$33</f>
        <v>7</v>
      </c>
      <c r="U4" s="36">
        <f xml:space="preserve"> Time!U$33</f>
        <v>8</v>
      </c>
      <c r="V4" s="36">
        <f xml:space="preserve"> Time!V$33</f>
        <v>9</v>
      </c>
      <c r="W4" s="36">
        <f xml:space="preserve"> Time!W$33</f>
        <v>10</v>
      </c>
      <c r="X4" s="36">
        <f xml:space="preserve"> Time!X$33</f>
        <v>11</v>
      </c>
    </row>
    <row r="5" spans="1:24" s="40" customFormat="1">
      <c r="A5" s="64"/>
      <c r="B5" s="64"/>
      <c r="C5" s="88"/>
      <c r="D5" s="92"/>
      <c r="E5" s="15" t="s">
        <v>13</v>
      </c>
      <c r="F5" s="38" t="s">
        <v>14</v>
      </c>
      <c r="G5" s="38" t="s">
        <v>15</v>
      </c>
      <c r="H5" s="38" t="s">
        <v>16</v>
      </c>
      <c r="I5" s="38" t="s">
        <v>17</v>
      </c>
      <c r="J5" s="38" t="s">
        <v>18</v>
      </c>
      <c r="K5" s="38"/>
      <c r="L5" s="38" t="s">
        <v>19</v>
      </c>
      <c r="M5" s="62"/>
      <c r="N5" s="20"/>
      <c r="O5" s="20"/>
    </row>
    <row r="6" spans="1:24" s="42" customFormat="1">
      <c r="A6" s="38"/>
      <c r="B6" s="38"/>
      <c r="C6" s="63"/>
      <c r="D6" s="87"/>
      <c r="F6" s="38"/>
      <c r="G6" s="38"/>
      <c r="H6" s="38"/>
      <c r="I6" s="38"/>
      <c r="J6" s="38"/>
      <c r="K6" s="38"/>
      <c r="L6" s="38"/>
    </row>
    <row r="8" spans="1:24">
      <c r="E8" s="33" t="str">
        <f xml:space="preserve"> 'Cost+ Operating Margin'!E$77</f>
        <v>Determined Cost nominal from 2026</v>
      </c>
      <c r="F8" s="33">
        <f xml:space="preserve"> 'Cost+ Operating Margin'!F$77</f>
        <v>0</v>
      </c>
      <c r="G8" s="33" t="str">
        <f xml:space="preserve"> 'Cost+ Operating Margin'!G$77</f>
        <v>£'000 nominal</v>
      </c>
      <c r="H8" s="33"/>
      <c r="I8" s="33"/>
      <c r="J8" s="33"/>
      <c r="K8" s="33"/>
      <c r="L8" s="67">
        <f xml:space="preserve"> 'Cost+ Operating Margin'!L$77</f>
        <v>236017.66564168746</v>
      </c>
      <c r="M8" s="33">
        <f xml:space="preserve"> 'Cost+ Operating Margin'!M$77</f>
        <v>0</v>
      </c>
      <c r="N8" s="13">
        <f xml:space="preserve"> 'Cost+ Operating Margin'!N$77</f>
        <v>0</v>
      </c>
      <c r="O8" s="13">
        <f xml:space="preserve"> 'Cost+ Operating Margin'!O$77</f>
        <v>28050.612398298003</v>
      </c>
      <c r="P8" s="13">
        <f xml:space="preserve"> 'Cost+ Operating Margin'!P$77</f>
        <v>28608.563576842862</v>
      </c>
      <c r="Q8" s="13">
        <f xml:space="preserve"> 'Cost+ Operating Margin'!Q$77</f>
        <v>20890.279550441985</v>
      </c>
      <c r="R8" s="13">
        <f xml:space="preserve"> 'Cost+ Operating Margin'!R$77</f>
        <v>27901.623212311624</v>
      </c>
      <c r="S8" s="13">
        <f xml:space="preserve"> 'Cost+ Operating Margin'!S$77</f>
        <v>19761.25571054887</v>
      </c>
      <c r="T8" s="13">
        <f xml:space="preserve"> 'Cost+ Operating Margin'!T$77</f>
        <v>25213.97094452881</v>
      </c>
      <c r="U8" s="13">
        <f xml:space="preserve"> 'Cost+ Operating Margin'!U$77</f>
        <v>19586.54479298562</v>
      </c>
      <c r="V8" s="13">
        <f xml:space="preserve"> 'Cost+ Operating Margin'!V$77</f>
        <v>24841.576226432713</v>
      </c>
      <c r="W8" s="13">
        <f xml:space="preserve"> 'Cost+ Operating Margin'!W$77</f>
        <v>20377.84120262224</v>
      </c>
      <c r="X8" s="13">
        <f xml:space="preserve"> 'Cost+ Operating Margin'!X$77</f>
        <v>20785.398026674684</v>
      </c>
    </row>
    <row r="9" spans="1:24">
      <c r="E9" s="33" t="str">
        <f xml:space="preserve"> 'Cost+ Operating Margin'!E$83</f>
        <v>DC per SU nominal from 2026</v>
      </c>
      <c r="F9" s="33">
        <f xml:space="preserve"> 'Cost+ Operating Margin'!F$83</f>
        <v>0</v>
      </c>
      <c r="G9" s="33" t="str">
        <f xml:space="preserve"> 'Cost+ Operating Margin'!G$83</f>
        <v>£ nominal</v>
      </c>
      <c r="H9" s="33"/>
      <c r="I9" s="33"/>
      <c r="J9" s="33"/>
      <c r="K9" s="33"/>
      <c r="L9" s="67">
        <f xml:space="preserve"> 'Cost+ Operating Margin'!L$83</f>
        <v>17.44408331717819</v>
      </c>
      <c r="M9" s="33">
        <f xml:space="preserve"> 'Cost+ Operating Margin'!M$83</f>
        <v>0</v>
      </c>
      <c r="N9" s="13">
        <f xml:space="preserve"> 'Cost+ Operating Margin'!N$83</f>
        <v>0</v>
      </c>
      <c r="O9" s="13">
        <f xml:space="preserve"> 'Cost+ Operating Margin'!O$83</f>
        <v>2.2297784100395868</v>
      </c>
      <c r="P9" s="13">
        <f xml:space="preserve"> 'Cost+ Operating Margin'!P$83</f>
        <v>2.2319054124545845</v>
      </c>
      <c r="Q9" s="13">
        <f xml:space="preserve"> 'Cost+ Operating Margin'!Q$83</f>
        <v>1.5968720035500676</v>
      </c>
      <c r="R9" s="13">
        <f xml:space="preserve"> 'Cost+ Operating Margin'!R$83</f>
        <v>2.1013423115161638</v>
      </c>
      <c r="S9" s="13">
        <f xml:space="preserve"> 'Cost+ Operating Margin'!S$83</f>
        <v>1.4630381069481655</v>
      </c>
      <c r="T9" s="13">
        <f xml:space="preserve"> 'Cost+ Operating Margin'!T$83</f>
        <v>1.8381549132119859</v>
      </c>
      <c r="U9" s="13">
        <f xml:space="preserve"> 'Cost+ Operating Margin'!U$83</f>
        <v>1.4039527484041014</v>
      </c>
      <c r="V9" s="13">
        <f xml:space="preserve"> 'Cost+ Operating Margin'!V$83</f>
        <v>1.7507630013695619</v>
      </c>
      <c r="W9" s="13">
        <f xml:space="preserve"> 'Cost+ Operating Margin'!W$83</f>
        <v>1.4120879497347543</v>
      </c>
      <c r="X9" s="13">
        <f xml:space="preserve"> 'Cost+ Operating Margin'!X$83</f>
        <v>1.4161884599492187</v>
      </c>
    </row>
    <row r="10" spans="1:24">
      <c r="E10" s="33" t="str">
        <f xml:space="preserve"> 'Cost+ Operating Margin'!E$89</f>
        <v>DC per flight nominal from 2026</v>
      </c>
      <c r="F10" s="33">
        <f xml:space="preserve"> 'Cost+ Operating Margin'!F$89</f>
        <v>0</v>
      </c>
      <c r="G10" s="33" t="str">
        <f xml:space="preserve"> 'Cost+ Operating Margin'!G$89</f>
        <v>£ nominal</v>
      </c>
      <c r="H10" s="33"/>
      <c r="I10" s="33"/>
      <c r="J10" s="33"/>
      <c r="K10" s="33"/>
      <c r="L10" s="67">
        <f xml:space="preserve"> 'Cost+ Operating Margin'!L$89</f>
        <v>88.566550131921574</v>
      </c>
      <c r="M10" s="33">
        <f xml:space="preserve"> 'Cost+ Operating Margin'!M$89</f>
        <v>0</v>
      </c>
      <c r="N10" s="13">
        <f xml:space="preserve"> 'Cost+ Operating Margin'!N$89</f>
        <v>0</v>
      </c>
      <c r="O10" s="13">
        <f xml:space="preserve"> 'Cost+ Operating Margin'!O$89</f>
        <v>11.060967034029181</v>
      </c>
      <c r="P10" s="13">
        <f xml:space="preserve"> 'Cost+ Operating Margin'!P$89</f>
        <v>11.140406377275259</v>
      </c>
      <c r="Q10" s="13">
        <f xml:space="preserve"> 'Cost+ Operating Margin'!Q$89</f>
        <v>8.0162239257260115</v>
      </c>
      <c r="R10" s="13">
        <f xml:space="preserve"> 'Cost+ Operating Margin'!R$89</f>
        <v>10.60898221000442</v>
      </c>
      <c r="S10" s="13">
        <f xml:space="preserve"> 'Cost+ Operating Margin'!S$89</f>
        <v>7.4262516762678956</v>
      </c>
      <c r="T10" s="13">
        <f xml:space="preserve"> 'Cost+ Operating Margin'!T$89</f>
        <v>9.3767091649419143</v>
      </c>
      <c r="U10" s="13">
        <f xml:space="preserve"> 'Cost+ Operating Margin'!U$89</f>
        <v>7.2009355856564783</v>
      </c>
      <c r="V10" s="13">
        <f xml:space="preserve"> 'Cost+ Operating Margin'!V$89</f>
        <v>9.0300168035015318</v>
      </c>
      <c r="W10" s="13">
        <f xml:space="preserve"> 'Cost+ Operating Margin'!W$89</f>
        <v>7.3222569898031766</v>
      </c>
      <c r="X10" s="13">
        <f xml:space="preserve"> 'Cost+ Operating Margin'!X$89</f>
        <v>7.3838003647156958</v>
      </c>
    </row>
    <row r="11" spans="1:24">
      <c r="E11" s="33" t="str">
        <f xml:space="preserve"> 'Cost+ Operating Margin'!E$58</f>
        <v>Determined costs real from 2026</v>
      </c>
      <c r="F11" s="33">
        <f xml:space="preserve"> 'Cost+ Operating Margin'!F$58</f>
        <v>0</v>
      </c>
      <c r="G11" s="33" t="str">
        <f xml:space="preserve"> 'Cost+ Operating Margin'!G$58</f>
        <v>£'000 (2024 prices)</v>
      </c>
      <c r="H11" s="33"/>
      <c r="I11" s="33"/>
      <c r="J11" s="33"/>
      <c r="K11" s="33"/>
      <c r="L11" s="67">
        <f xml:space="preserve"> 'Cost+ Operating Margin'!L$58</f>
        <v>206317.44203532638</v>
      </c>
      <c r="M11" s="33">
        <f xml:space="preserve"> 'Cost+ Operating Margin'!M$58</f>
        <v>0</v>
      </c>
      <c r="N11" s="13">
        <f xml:space="preserve"> 'Cost+ Operating Margin'!N$58</f>
        <v>0</v>
      </c>
      <c r="O11" s="13">
        <f xml:space="preserve"> 'Cost+ Operating Margin'!O$58</f>
        <v>26622.406154066099</v>
      </c>
      <c r="P11" s="13">
        <f xml:space="preserve"> 'Cost+ Operating Margin'!P$58</f>
        <v>26622.406154066099</v>
      </c>
      <c r="Q11" s="13">
        <f xml:space="preserve"> 'Cost+ Operating Margin'!Q$58</f>
        <v>19058.711288950071</v>
      </c>
      <c r="R11" s="13">
        <f xml:space="preserve"> 'Cost+ Operating Margin'!R$58</f>
        <v>24956.226698435679</v>
      </c>
      <c r="S11" s="13">
        <f xml:space="preserve"> 'Cost+ Operating Margin'!S$58</f>
        <v>17328.613633383979</v>
      </c>
      <c r="T11" s="13">
        <f xml:space="preserve"> 'Cost+ Operating Margin'!T$58</f>
        <v>21676.559735784889</v>
      </c>
      <c r="U11" s="13">
        <f xml:space="preserve"> 'Cost+ Operating Margin'!U$58</f>
        <v>16508.467808784892</v>
      </c>
      <c r="V11" s="13">
        <f xml:space="preserve"> 'Cost+ Operating Margin'!V$58</f>
        <v>20527.114944284887</v>
      </c>
      <c r="W11" s="13">
        <f xml:space="preserve"> 'Cost+ Operating Margin'!W$58</f>
        <v>16508.467808784892</v>
      </c>
      <c r="X11" s="13">
        <f xml:space="preserve"> 'Cost+ Operating Margin'!X$58</f>
        <v>16508.467808784892</v>
      </c>
    </row>
    <row r="12" spans="1:24">
      <c r="E12" s="33" t="str">
        <f xml:space="preserve"> 'Cost+ Operating Margin'!E$64</f>
        <v>DC per flight real from 2026</v>
      </c>
      <c r="F12" s="33">
        <f xml:space="preserve"> 'Cost+ Operating Margin'!F$64</f>
        <v>0</v>
      </c>
      <c r="G12" s="33" t="str">
        <f xml:space="preserve"> 'Cost+ Operating Margin'!G$64</f>
        <v>£ nominal</v>
      </c>
      <c r="H12" s="33"/>
      <c r="I12" s="33"/>
      <c r="J12" s="33"/>
      <c r="K12" s="33"/>
      <c r="L12" s="67">
        <f xml:space="preserve"> 'Cost+ Operating Margin'!L$64</f>
        <v>77.567839288686557</v>
      </c>
      <c r="M12" s="33">
        <f xml:space="preserve"> 'Cost+ Operating Margin'!M$64</f>
        <v>0</v>
      </c>
      <c r="N12" s="13">
        <f xml:space="preserve"> 'Cost+ Operating Margin'!N$64</f>
        <v>0</v>
      </c>
      <c r="O12" s="13">
        <f xml:space="preserve"> 'Cost+ Operating Margin'!O$64</f>
        <v>10.497794224789471</v>
      </c>
      <c r="P12" s="13">
        <f xml:space="preserve"> 'Cost+ Operating Margin'!P$64</f>
        <v>10.366980589589602</v>
      </c>
      <c r="Q12" s="13">
        <f xml:space="preserve"> 'Cost+ Operating Margin'!Q$64</f>
        <v>7.3133965038181392</v>
      </c>
      <c r="R12" s="13">
        <f xml:space="preserve"> 'Cost+ Operating Margin'!R$64</f>
        <v>9.4890595811542511</v>
      </c>
      <c r="S12" s="13">
        <f xml:space="preserve"> 'Cost+ Operating Margin'!S$64</f>
        <v>6.5120682575663205</v>
      </c>
      <c r="T12" s="13">
        <f xml:space="preserve"> 'Cost+ Operating Margin'!T$64</f>
        <v>8.0611973729211197</v>
      </c>
      <c r="U12" s="13">
        <f xml:space="preserve"> 'Cost+ Operating Margin'!U$64</f>
        <v>6.0692896355826811</v>
      </c>
      <c r="V12" s="13">
        <f xml:space="preserve"> 'Cost+ Operating Margin'!V$64</f>
        <v>7.4616920917066114</v>
      </c>
      <c r="W12" s="13">
        <f xml:space="preserve"> 'Cost+ Operating Margin'!W$64</f>
        <v>5.9318964458443739</v>
      </c>
      <c r="X12" s="13">
        <f xml:space="preserve"> 'Cost+ Operating Margin'!X$64</f>
        <v>5.8644645857139936</v>
      </c>
    </row>
    <row r="13" spans="1:24">
      <c r="E13" s="33" t="str">
        <f xml:space="preserve"> 'Cost+ Operating Margin'!E$70</f>
        <v>DC per SU real from 2026</v>
      </c>
      <c r="F13" s="33">
        <f xml:space="preserve"> 'Cost+ Operating Margin'!F$70</f>
        <v>0</v>
      </c>
      <c r="G13" s="33" t="str">
        <f xml:space="preserve"> 'Cost+ Operating Margin'!G$70</f>
        <v>£( 2024 prices)</v>
      </c>
      <c r="H13" s="33"/>
      <c r="I13" s="33"/>
      <c r="J13" s="33"/>
      <c r="K13" s="33"/>
      <c r="L13" s="67">
        <f xml:space="preserve"> 'Cost+ Operating Margin'!L$70</f>
        <v>15.291544634596427</v>
      </c>
      <c r="M13" s="33">
        <f xml:space="preserve"> 'Cost+ Operating Margin'!M$70</f>
        <v>0</v>
      </c>
      <c r="N13" s="13">
        <f xml:space="preserve"> 'Cost+ Operating Margin'!N$70</f>
        <v>0</v>
      </c>
      <c r="O13" s="13">
        <f xml:space="preserve"> 'Cost+ Operating Margin'!O$70</f>
        <v>2.1162485019130446</v>
      </c>
      <c r="P13" s="13">
        <f xml:space="preserve"> 'Cost+ Operating Margin'!P$70</f>
        <v>2.0769547631507335</v>
      </c>
      <c r="Q13" s="13">
        <f xml:space="preserve"> 'Cost+ Operating Margin'!Q$70</f>
        <v>1.4568652567612042</v>
      </c>
      <c r="R13" s="13">
        <f xml:space="preserve"> 'Cost+ Operating Margin'!R$70</f>
        <v>1.8795169979240609</v>
      </c>
      <c r="S13" s="13">
        <f xml:space="preserve"> 'Cost+ Operating Margin'!S$70</f>
        <v>1.2829357839182631</v>
      </c>
      <c r="T13" s="13">
        <f xml:space="preserve"> 'Cost+ Operating Margin'!T$70</f>
        <v>1.5802697190190924</v>
      </c>
      <c r="U13" s="13">
        <f xml:space="preserve"> 'Cost+ Operating Margin'!U$70</f>
        <v>1.1833178846523469</v>
      </c>
      <c r="V13" s="13">
        <f xml:space="preserve"> 'Cost+ Operating Margin'!V$70</f>
        <v>1.4466921519687708</v>
      </c>
      <c r="W13" s="13">
        <f xml:space="preserve"> 'Cost+ Operating Margin'!W$70</f>
        <v>1.1439586867704865</v>
      </c>
      <c r="X13" s="13">
        <f xml:space="preserve"> 'Cost+ Operating Margin'!X$70</f>
        <v>1.1247848885184228</v>
      </c>
    </row>
    <row r="14" spans="1:24">
      <c r="E14" s="33" t="str">
        <f xml:space="preserve"> 'Cost+ Operating Margin'!E$95</f>
        <v>Charge per pax (Cost+Operating Margin only)</v>
      </c>
      <c r="F14" s="33">
        <f xml:space="preserve"> 'Cost+ Operating Margin'!F$95</f>
        <v>0</v>
      </c>
      <c r="G14" s="33" t="str">
        <f xml:space="preserve"> 'Cost+ Operating Margin'!G$95</f>
        <v>£ real</v>
      </c>
      <c r="H14" s="33"/>
      <c r="I14" s="33"/>
      <c r="J14" s="33"/>
      <c r="K14" s="33"/>
      <c r="L14" s="67">
        <f xml:space="preserve"> 'Cost+ Operating Margin'!L$95</f>
        <v>0.59667568683605032</v>
      </c>
      <c r="M14" s="33">
        <f xml:space="preserve"> 'Cost+ Operating Margin'!M$95</f>
        <v>0</v>
      </c>
      <c r="N14" s="13">
        <f xml:space="preserve"> 'Cost+ Operating Margin'!N$95</f>
        <v>0</v>
      </c>
      <c r="O14" s="13">
        <f xml:space="preserve"> 'Cost+ Operating Margin'!O$95</f>
        <v>8.0752263267611313E-2</v>
      </c>
      <c r="P14" s="13">
        <f xml:space="preserve"> 'Cost+ Operating Margin'!P$95</f>
        <v>7.9746004535304629E-2</v>
      </c>
      <c r="Q14" s="13">
        <f xml:space="preserve"> 'Cost+ Operating Margin'!Q$95</f>
        <v>5.6256896183216457E-2</v>
      </c>
      <c r="R14" s="13">
        <f xml:space="preserve"> 'Cost+ Operating Margin'!R$95</f>
        <v>7.2992766008878857E-2</v>
      </c>
      <c r="S14" s="13">
        <f xml:space="preserve"> 'Cost+ Operating Margin'!S$95</f>
        <v>5.0092832750510158E-2</v>
      </c>
      <c r="T14" s="13">
        <f xml:space="preserve"> 'Cost+ Operating Margin'!T$95</f>
        <v>6.2009210560931692E-2</v>
      </c>
      <c r="U14" s="13">
        <f xml:space="preserve"> 'Cost+ Operating Margin'!U$95</f>
        <v>4.6686843350636005E-2</v>
      </c>
      <c r="V14" s="13">
        <f xml:space="preserve"> 'Cost+ Operating Margin'!V$95</f>
        <v>5.7397631474666241E-2</v>
      </c>
      <c r="W14" s="13">
        <f xml:space="preserve"> 'Cost+ Operating Margin'!W$95</f>
        <v>4.5629972660341335E-2</v>
      </c>
      <c r="X14" s="13">
        <f xml:space="preserve"> 'Cost+ Operating Margin'!X$95</f>
        <v>4.5111266043953796E-2</v>
      </c>
    </row>
    <row r="15" spans="1:24">
      <c r="E15" s="34" t="str">
        <f xml:space="preserve"> 'Cost+ Operating Margin'!E$101</f>
        <v>Charge as a % of UK en route rate real (Operating Cost+Margin only)</v>
      </c>
      <c r="F15" s="34">
        <f xml:space="preserve"> 'Cost+ Operating Margin'!F$101</f>
        <v>0</v>
      </c>
      <c r="G15" s="34" t="str">
        <f xml:space="preserve"> 'Cost+ Operating Margin'!G$101</f>
        <v>%</v>
      </c>
      <c r="H15" s="34"/>
      <c r="I15" s="34"/>
      <c r="J15" s="34"/>
      <c r="K15" s="34"/>
      <c r="L15" s="69">
        <f xml:space="preserve"> 'Cost+ Operating Margin'!L$101</f>
        <v>0</v>
      </c>
      <c r="M15" s="34">
        <f xml:space="preserve"> 'Cost+ Operating Margin'!M$101</f>
        <v>0</v>
      </c>
      <c r="N15" s="19">
        <f xml:space="preserve"> 'Cost+ Operating Margin'!N$101</f>
        <v>0</v>
      </c>
      <c r="O15" s="19">
        <f xml:space="preserve"> 'Cost+ Operating Margin'!O$101</f>
        <v>2.8141602419056444E-2</v>
      </c>
      <c r="P15" s="19">
        <f xml:space="preserve"> 'Cost+ Operating Margin'!P$101</f>
        <v>2.76190792972172E-2</v>
      </c>
      <c r="Q15" s="19">
        <f xml:space="preserve"> 'Cost+ Operating Margin'!Q$101</f>
        <v>1.9373208201611758E-2</v>
      </c>
      <c r="R15" s="19">
        <f xml:space="preserve"> 'Cost+ Operating Margin'!R$101</f>
        <v>2.4993577100053999E-2</v>
      </c>
      <c r="S15" s="19">
        <f xml:space="preserve"> 'Cost+ Operating Margin'!S$101</f>
        <v>1.7060316275508816E-2</v>
      </c>
      <c r="T15" s="19">
        <f xml:space="preserve"> 'Cost+ Operating Margin'!T$101</f>
        <v>2.1014224986956015E-2</v>
      </c>
      <c r="U15" s="19">
        <f xml:space="preserve"> 'Cost+ Operating Margin'!U$101</f>
        <v>1.5735610168249294E-2</v>
      </c>
      <c r="V15" s="19">
        <f xml:space="preserve"> 'Cost+ Operating Margin'!V$101</f>
        <v>1.9237927552776205E-2</v>
      </c>
      <c r="W15" s="19">
        <f xml:space="preserve"> 'Cost+ Operating Margin'!W$101</f>
        <v>1.5212216579394767E-2</v>
      </c>
      <c r="X15" s="19">
        <f xml:space="preserve"> 'Cost+ Operating Margin'!X$101</f>
        <v>1.4957245857957749E-2</v>
      </c>
    </row>
    <row r="16" spans="1:24">
      <c r="E16" s="33" t="str">
        <f xml:space="preserve"> 'Cost+ Operating Margin'!E$107</f>
        <v>NPV Operating cost + Margin</v>
      </c>
      <c r="F16" s="33">
        <f xml:space="preserve"> 'Cost+ Operating Margin'!$F$107</f>
        <v>168228.31238267547</v>
      </c>
      <c r="G16" s="33" t="str">
        <f xml:space="preserve"> 'Cost+ Operating Margin'!G$107</f>
        <v>£'000 (2024 prices)</v>
      </c>
      <c r="H16" s="33"/>
      <c r="I16" s="33"/>
      <c r="J16" s="33"/>
      <c r="K16" s="33"/>
      <c r="L16" s="67"/>
      <c r="M16" s="33"/>
      <c r="N16" s="13"/>
      <c r="O16" s="13"/>
      <c r="P16" s="13"/>
      <c r="Q16" s="13"/>
      <c r="R16" s="13"/>
      <c r="S16" s="13"/>
      <c r="T16" s="13"/>
      <c r="U16" s="13"/>
      <c r="V16" s="13"/>
      <c r="W16" s="13"/>
      <c r="X16" s="13"/>
    </row>
    <row r="17" spans="5:24">
      <c r="E17" s="33" t="str">
        <f xml:space="preserve"> 'Scenarios Chosen'!E$37</f>
        <v>Estimated total cost of providing the UKADS and the Support Fund NR23</v>
      </c>
      <c r="F17" s="33">
        <f xml:space="preserve"> 'Scenarios Chosen'!$F$37</f>
        <v>52071.943844968133</v>
      </c>
      <c r="G17" s="33" t="str">
        <f xml:space="preserve"> 'Scenarios Chosen'!G$37</f>
        <v>£'000 (2024 prices)</v>
      </c>
      <c r="H17" s="33"/>
      <c r="I17" s="33"/>
      <c r="J17" s="33"/>
      <c r="K17" s="33"/>
      <c r="L17" s="67"/>
      <c r="M17" s="33"/>
      <c r="N17" s="13"/>
      <c r="O17" s="13"/>
      <c r="P17" s="13"/>
      <c r="Q17" s="13"/>
      <c r="R17" s="13"/>
      <c r="S17" s="13"/>
      <c r="T17" s="13"/>
      <c r="U17" s="13"/>
      <c r="V17" s="13"/>
      <c r="W17" s="13"/>
      <c r="X17" s="13"/>
    </row>
    <row r="18" spans="5:24">
      <c r="E18" s="33" t="str">
        <f xml:space="preserve"> 'Scenarios Chosen'!E$48</f>
        <v>Total Service Units forecast for NR23 period (2026 start)</v>
      </c>
      <c r="F18" s="33">
        <f xml:space="preserve"> 'Scenarios Chosen'!$F$48</f>
        <v>25398</v>
      </c>
      <c r="G18" s="33" t="str">
        <f xml:space="preserve"> 'Scenarios Chosen'!G$48</f>
        <v>000</v>
      </c>
      <c r="H18" s="33"/>
      <c r="I18" s="33"/>
      <c r="J18" s="33"/>
      <c r="K18" s="33"/>
      <c r="L18" s="67"/>
      <c r="M18" s="33"/>
      <c r="N18" s="21"/>
      <c r="O18" s="21"/>
      <c r="P18" s="21"/>
      <c r="Q18" s="21"/>
      <c r="R18" s="21"/>
      <c r="S18" s="21"/>
      <c r="T18" s="21"/>
      <c r="U18" s="21"/>
      <c r="V18" s="21"/>
      <c r="W18" s="21"/>
      <c r="X18" s="21"/>
    </row>
    <row r="19" spans="5:24">
      <c r="E19" s="33" t="str">
        <f xml:space="preserve"> 'Scenarios Chosen'!E$59</f>
        <v>Total Flights forecast for NR23 period (2026 start)</v>
      </c>
      <c r="F19" s="33">
        <f xml:space="preserve"> 'Scenarios Chosen'!$F$59</f>
        <v>5104</v>
      </c>
      <c r="G19" s="33" t="str">
        <f xml:space="preserve"> 'Scenarios Chosen'!G$59</f>
        <v>000</v>
      </c>
      <c r="H19" s="33"/>
      <c r="I19" s="33"/>
      <c r="J19" s="33"/>
      <c r="K19" s="33"/>
      <c r="L19" s="67"/>
      <c r="M19" s="33"/>
      <c r="N19" s="21"/>
      <c r="O19" s="21"/>
      <c r="P19" s="21"/>
      <c r="Q19" s="21"/>
      <c r="R19" s="21"/>
      <c r="S19" s="21"/>
      <c r="T19" s="21"/>
      <c r="U19" s="21"/>
      <c r="V19" s="21"/>
      <c r="W19" s="21"/>
      <c r="X19" s="21"/>
    </row>
    <row r="20" spans="5:24">
      <c r="E20" s="33" t="str">
        <f xml:space="preserve"> Inputs!E$35</f>
        <v>Passengers (PAX) per flight</v>
      </c>
      <c r="F20" s="33">
        <f xml:space="preserve"> Inputs!$F$35</f>
        <v>130</v>
      </c>
      <c r="G20" s="33">
        <f xml:space="preserve"> Inputs!G$35</f>
        <v>0</v>
      </c>
      <c r="H20" s="33"/>
      <c r="I20" s="33"/>
      <c r="J20" s="33"/>
      <c r="K20" s="33"/>
      <c r="L20" s="67"/>
      <c r="M20" s="33"/>
      <c r="N20" s="21"/>
      <c r="O20" s="21"/>
      <c r="P20" s="21"/>
      <c r="Q20" s="21"/>
      <c r="R20" s="21"/>
      <c r="S20" s="21"/>
      <c r="T20" s="21"/>
      <c r="U20" s="21"/>
      <c r="V20" s="21"/>
      <c r="W20" s="21"/>
      <c r="X20" s="21"/>
    </row>
    <row r="21" spans="5:24">
      <c r="E21" s="33" t="str">
        <f xml:space="preserve"> Inputs!E$36</f>
        <v>UK en-route rate</v>
      </c>
      <c r="F21" s="33">
        <f xml:space="preserve"> Inputs!$F$36</f>
        <v>75.2</v>
      </c>
      <c r="G21" s="33" t="str">
        <f xml:space="preserve"> Inputs!G$36</f>
        <v>£ real</v>
      </c>
      <c r="H21" s="33"/>
      <c r="I21" s="33"/>
      <c r="J21" s="33"/>
      <c r="K21" s="33"/>
      <c r="L21" s="67"/>
      <c r="M21" s="33"/>
      <c r="N21" s="13"/>
      <c r="O21" s="13"/>
      <c r="P21" s="13"/>
      <c r="Q21" s="13"/>
      <c r="R21" s="13"/>
      <c r="S21" s="13"/>
      <c r="T21" s="13"/>
      <c r="U21" s="13"/>
      <c r="V21" s="13"/>
      <c r="W21" s="13"/>
      <c r="X21" s="13"/>
    </row>
    <row r="22" spans="5:24">
      <c r="E22" s="33" t="str">
        <f xml:space="preserve"> 'Cost+ Operating Margin'!E$122</f>
        <v>Total Determined costs real from 2026 (NR23 period)</v>
      </c>
      <c r="F22" s="33">
        <f xml:space="preserve"> 'Cost+ Operating Margin'!$F$122</f>
        <v>53244.812308132197</v>
      </c>
      <c r="G22" s="33" t="str">
        <f xml:space="preserve"> 'Cost+ Operating Margin'!G$122</f>
        <v>£'000 (2024 prices)</v>
      </c>
      <c r="H22" s="33"/>
      <c r="I22" s="33"/>
      <c r="J22" s="33"/>
      <c r="K22" s="33"/>
      <c r="L22" s="67"/>
      <c r="M22" s="33"/>
      <c r="N22" s="13"/>
      <c r="O22" s="13"/>
      <c r="P22" s="13"/>
      <c r="Q22" s="13"/>
      <c r="R22" s="13"/>
      <c r="S22" s="13"/>
      <c r="T22" s="13"/>
      <c r="U22" s="13"/>
      <c r="V22" s="13"/>
      <c r="W22" s="13"/>
      <c r="X22" s="13"/>
    </row>
    <row r="23" spans="5:24">
      <c r="E23" s="41" t="str">
        <f xml:space="preserve"> 'Cost+ Operating Margin'!E$128</f>
        <v>Charge per service unit real for NR23 period</v>
      </c>
      <c r="F23" s="41">
        <f xml:space="preserve"> 'Cost+ Operating Margin'!$F$128</f>
        <v>2.0964175253221593</v>
      </c>
      <c r="G23" s="41" t="str">
        <f xml:space="preserve"> 'Cost+ Operating Margin'!G$128</f>
        <v>£ real</v>
      </c>
      <c r="H23" s="41"/>
      <c r="I23" s="41"/>
      <c r="J23" s="41"/>
      <c r="K23" s="41"/>
      <c r="L23" s="80"/>
      <c r="M23" s="41"/>
      <c r="N23" s="22"/>
      <c r="O23" s="22"/>
      <c r="P23" s="22"/>
      <c r="Q23" s="22"/>
      <c r="R23" s="22"/>
      <c r="S23" s="22"/>
      <c r="T23" s="22"/>
      <c r="U23" s="22"/>
      <c r="V23" s="22"/>
      <c r="W23" s="22"/>
      <c r="X23" s="22"/>
    </row>
    <row r="24" spans="5:24">
      <c r="E24" s="41" t="str">
        <f xml:space="preserve"> 'Cost+ Operating Margin'!E$134</f>
        <v>Charge per flight real for NR23 period</v>
      </c>
      <c r="F24" s="41">
        <f xml:space="preserve"> 'Cost+ Operating Margin'!$F$134</f>
        <v>10.431977333098001</v>
      </c>
      <c r="G24" s="41" t="str">
        <f xml:space="preserve"> 'Cost+ Operating Margin'!G$134</f>
        <v>£ real</v>
      </c>
      <c r="H24" s="41"/>
      <c r="I24" s="41"/>
      <c r="J24" s="41"/>
      <c r="K24" s="41"/>
      <c r="L24" s="80"/>
      <c r="M24" s="41"/>
      <c r="N24" s="22"/>
      <c r="O24" s="22"/>
      <c r="P24" s="22"/>
      <c r="Q24" s="22"/>
      <c r="R24" s="22"/>
      <c r="S24" s="22"/>
      <c r="T24" s="22"/>
      <c r="U24" s="22"/>
      <c r="V24" s="22"/>
      <c r="W24" s="22"/>
      <c r="X24" s="22"/>
    </row>
    <row r="25" spans="5:24">
      <c r="E25" s="41" t="str">
        <f xml:space="preserve"> 'Cost+ Operating Margin'!E$140</f>
        <v>Charge per passenger real for NR23 period</v>
      </c>
      <c r="F25" s="41">
        <f xml:space="preserve"> 'Cost+ Operating Margin'!$F$140</f>
        <v>8.024597948536924E-2</v>
      </c>
      <c r="G25" s="41" t="str">
        <f xml:space="preserve"> 'Cost+ Operating Margin'!G$140</f>
        <v>£ real</v>
      </c>
      <c r="H25" s="41"/>
      <c r="I25" s="41"/>
      <c r="J25" s="41"/>
      <c r="K25" s="41"/>
      <c r="L25" s="80"/>
      <c r="M25" s="41"/>
      <c r="N25" s="22"/>
      <c r="O25" s="22"/>
      <c r="P25" s="22"/>
      <c r="Q25" s="22"/>
      <c r="R25" s="22"/>
      <c r="S25" s="22"/>
      <c r="T25" s="22"/>
      <c r="U25" s="22"/>
      <c r="V25" s="22"/>
      <c r="W25" s="22"/>
      <c r="X25" s="22"/>
    </row>
    <row r="26" spans="5:24">
      <c r="E26" s="34" t="str">
        <f xml:space="preserve"> 'Cost+ Operating Margin'!E$146</f>
        <v>Charge per SU as % of 2024 UK en route rate for NR23 period</v>
      </c>
      <c r="F26" s="34">
        <f xml:space="preserve"> 'Cost+ Operating Margin'!$F$146</f>
        <v>2.7877892623964885E-2</v>
      </c>
      <c r="G26" s="34" t="str">
        <f xml:space="preserve"> 'Cost+ Operating Margin'!G$146</f>
        <v>%</v>
      </c>
      <c r="H26" s="34"/>
      <c r="I26" s="34"/>
      <c r="J26" s="34"/>
      <c r="K26" s="34"/>
      <c r="L26" s="69"/>
      <c r="M26" s="34"/>
      <c r="N26" s="19"/>
      <c r="O26" s="19"/>
      <c r="P26" s="19"/>
      <c r="Q26" s="19"/>
      <c r="R26" s="19"/>
      <c r="S26" s="19"/>
      <c r="T26" s="19"/>
      <c r="U26" s="19"/>
      <c r="V26" s="19"/>
      <c r="W26" s="19"/>
      <c r="X26" s="19"/>
    </row>
    <row r="27" spans="5:24">
      <c r="E27" s="33" t="str">
        <f xml:space="preserve"> 'Scenarios Chosen'!E$73</f>
        <v>Estimated total cost of providing the UKADS and the Support Fund 10-year</v>
      </c>
      <c r="F27" s="33">
        <f xml:space="preserve"> 'Scenarios Chosen'!$F$73</f>
        <v>193700.30251704017</v>
      </c>
      <c r="G27" s="33" t="str">
        <f xml:space="preserve"> 'Scenarios Chosen'!G$73</f>
        <v>£'000 (2024 prices)</v>
      </c>
      <c r="H27" s="33"/>
      <c r="I27" s="33"/>
      <c r="J27" s="33"/>
      <c r="K27" s="33"/>
      <c r="L27" s="67"/>
      <c r="M27" s="33"/>
      <c r="N27" s="13"/>
      <c r="O27" s="13"/>
      <c r="P27" s="13"/>
      <c r="Q27" s="13"/>
      <c r="R27" s="13"/>
      <c r="S27" s="13"/>
      <c r="T27" s="13"/>
      <c r="U27" s="13"/>
      <c r="V27" s="13"/>
      <c r="W27" s="13"/>
      <c r="X27" s="13"/>
    </row>
    <row r="28" spans="5:24">
      <c r="E28" s="33" t="str">
        <f xml:space="preserve"> 'Scenarios Chosen'!E$84</f>
        <v>Total Service Units forecast for 10-year period (2026 start)</v>
      </c>
      <c r="F28" s="33">
        <f xml:space="preserve"> 'Scenarios Chosen'!$F$84</f>
        <v>136230</v>
      </c>
      <c r="G28" s="33" t="str">
        <f xml:space="preserve"> 'Scenarios Chosen'!G$84</f>
        <v>000</v>
      </c>
      <c r="H28" s="33"/>
      <c r="I28" s="33"/>
      <c r="J28" s="33"/>
      <c r="K28" s="33"/>
      <c r="L28" s="67"/>
      <c r="M28" s="33"/>
      <c r="N28" s="21"/>
      <c r="O28" s="21"/>
      <c r="P28" s="21"/>
      <c r="Q28" s="21"/>
      <c r="R28" s="21"/>
      <c r="S28" s="21"/>
      <c r="T28" s="21"/>
      <c r="U28" s="21"/>
      <c r="V28" s="21"/>
      <c r="W28" s="21"/>
      <c r="X28" s="21"/>
    </row>
    <row r="29" spans="5:24">
      <c r="E29" s="33" t="str">
        <f xml:space="preserve"> 'Scenarios Chosen'!E$95</f>
        <v>Total Flights forecast for 10-year period (2026 start)</v>
      </c>
      <c r="F29" s="33">
        <f xml:space="preserve"> 'Scenarios Chosen'!$F$95</f>
        <v>26759</v>
      </c>
      <c r="G29" s="33" t="str">
        <f xml:space="preserve"> 'Scenarios Chosen'!G$95</f>
        <v>000</v>
      </c>
      <c r="H29" s="33"/>
      <c r="I29" s="33"/>
      <c r="J29" s="33"/>
      <c r="K29" s="33"/>
      <c r="L29" s="67"/>
      <c r="M29" s="33"/>
      <c r="N29" s="21"/>
      <c r="O29" s="21"/>
      <c r="P29" s="21"/>
      <c r="Q29" s="21"/>
      <c r="R29" s="21"/>
      <c r="S29" s="21"/>
      <c r="T29" s="21"/>
      <c r="U29" s="21"/>
      <c r="V29" s="21"/>
      <c r="W29" s="21"/>
      <c r="X29" s="21"/>
    </row>
    <row r="30" spans="5:24">
      <c r="E30" s="33" t="str">
        <f xml:space="preserve"> 'Cost+ Operating Margin'!E$159</f>
        <v>Total Determined costs real from 2026 (10-year period)</v>
      </c>
      <c r="F30" s="33">
        <f xml:space="preserve"> 'Cost+ Operating Margin'!$F$159</f>
        <v>198063.20813093396</v>
      </c>
      <c r="G30" s="33" t="str">
        <f xml:space="preserve"> 'Cost+ Operating Margin'!G$159</f>
        <v>£'000 (2024 prices)</v>
      </c>
      <c r="H30" s="33"/>
      <c r="I30" s="33"/>
      <c r="J30" s="33"/>
      <c r="K30" s="33"/>
      <c r="L30" s="67"/>
      <c r="M30" s="33"/>
      <c r="N30" s="13"/>
      <c r="O30" s="13"/>
      <c r="P30" s="13"/>
      <c r="Q30" s="13"/>
      <c r="R30" s="13"/>
      <c r="S30" s="13"/>
      <c r="T30" s="13"/>
      <c r="U30" s="13"/>
      <c r="V30" s="13"/>
      <c r="W30" s="13"/>
      <c r="X30" s="13"/>
    </row>
    <row r="31" spans="5:24">
      <c r="E31" s="41" t="str">
        <f xml:space="preserve"> 'Cost+ Operating Margin'!E$165</f>
        <v>Charge per service unit real for 10-year period</v>
      </c>
      <c r="F31" s="41">
        <f xml:space="preserve"> 'Cost+ Operating Margin'!$F$165</f>
        <v>1.4538883368636419</v>
      </c>
      <c r="G31" s="41" t="str">
        <f xml:space="preserve"> 'Cost+ Operating Margin'!G$165</f>
        <v>£ real</v>
      </c>
      <c r="H31" s="41"/>
      <c r="I31" s="41"/>
      <c r="J31" s="41"/>
      <c r="K31" s="41"/>
      <c r="L31" s="80"/>
      <c r="M31" s="41"/>
      <c r="N31" s="22"/>
      <c r="O31" s="22"/>
      <c r="P31" s="22"/>
      <c r="Q31" s="22"/>
      <c r="R31" s="22"/>
      <c r="S31" s="22"/>
      <c r="T31" s="22"/>
      <c r="U31" s="22"/>
      <c r="V31" s="22"/>
      <c r="W31" s="22"/>
      <c r="X31" s="22"/>
    </row>
    <row r="32" spans="5:24">
      <c r="E32" s="41" t="str">
        <f xml:space="preserve"> 'Cost+ Operating Margin'!E$171</f>
        <v>Charge per flight real for 10-year period</v>
      </c>
      <c r="F32" s="41">
        <f xml:space="preserve"> 'Cost+ Operating Margin'!$F$171</f>
        <v>7.4017417740174878</v>
      </c>
      <c r="G32" s="41" t="str">
        <f xml:space="preserve"> 'Cost+ Operating Margin'!G$171</f>
        <v>£ real</v>
      </c>
      <c r="H32" s="41"/>
      <c r="I32" s="41"/>
      <c r="J32" s="41"/>
      <c r="K32" s="41"/>
      <c r="L32" s="80"/>
      <c r="M32" s="41"/>
      <c r="N32" s="22"/>
      <c r="O32" s="22"/>
      <c r="P32" s="22"/>
      <c r="Q32" s="22"/>
      <c r="R32" s="22"/>
      <c r="S32" s="22"/>
      <c r="T32" s="22"/>
      <c r="U32" s="22"/>
      <c r="V32" s="22"/>
      <c r="W32" s="22"/>
      <c r="X32" s="22"/>
    </row>
    <row r="33" spans="5:24">
      <c r="E33" s="41" t="str">
        <f xml:space="preserve"> 'Cost+ Operating Margin'!E$177</f>
        <v>Charge per passenger real for 10-year period</v>
      </c>
      <c r="F33" s="41">
        <f xml:space="preserve"> 'Cost+ Operating Margin'!$F$177</f>
        <v>5.6936475184749903E-2</v>
      </c>
      <c r="G33" s="41" t="str">
        <f xml:space="preserve"> 'Cost+ Operating Margin'!G$177</f>
        <v>£ real</v>
      </c>
      <c r="H33" s="41"/>
      <c r="I33" s="41"/>
      <c r="J33" s="41"/>
      <c r="K33" s="41"/>
      <c r="L33" s="80"/>
      <c r="M33" s="41"/>
      <c r="N33" s="22"/>
      <c r="O33" s="22"/>
      <c r="P33" s="22"/>
      <c r="Q33" s="22"/>
      <c r="R33" s="22"/>
      <c r="S33" s="22"/>
      <c r="T33" s="22"/>
      <c r="U33" s="22"/>
      <c r="V33" s="22"/>
      <c r="W33" s="22"/>
      <c r="X33" s="22"/>
    </row>
    <row r="34" spans="5:24">
      <c r="E34" s="34" t="str">
        <f xml:space="preserve"> 'Cost+ Operating Margin'!E$183</f>
        <v>Charge per SU as % of 2024 UK en route rate for 10-year period</v>
      </c>
      <c r="F34" s="34">
        <f xml:space="preserve"> 'Cost+ Operating Margin'!$F$183</f>
        <v>1.9333621500846301E-2</v>
      </c>
      <c r="G34" s="34" t="str">
        <f xml:space="preserve"> 'Cost+ Operating Margin'!G$183</f>
        <v>%</v>
      </c>
      <c r="H34" s="34"/>
      <c r="I34" s="34"/>
      <c r="J34" s="34"/>
      <c r="K34" s="34"/>
      <c r="L34" s="69"/>
      <c r="M34" s="34"/>
      <c r="N34" s="19"/>
      <c r="O34" s="19"/>
      <c r="P34" s="19"/>
      <c r="Q34" s="19"/>
      <c r="R34" s="19"/>
      <c r="S34" s="19"/>
      <c r="T34" s="19"/>
      <c r="U34" s="19"/>
      <c r="V34" s="19"/>
      <c r="W34" s="19"/>
      <c r="X34" s="19"/>
    </row>
  </sheetData>
  <pageMargins left="0.7" right="0.7" top="0.75" bottom="0.75" header="0.3" footer="0.3"/>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F81BD"/>
  </sheetPr>
  <dimension ref="A1:X37"/>
  <sheetViews>
    <sheetView showGridLines="0" zoomScale="80" workbookViewId="0">
      <pane xSplit="13" ySplit="5" topLeftCell="N6" activePane="bottomRight" state="frozen"/>
      <selection pane="topRight" activeCell="J6" sqref="J6"/>
      <selection pane="bottomLeft" activeCell="J6" sqref="J6"/>
      <selection pane="bottomRight"/>
    </sheetView>
  </sheetViews>
  <sheetFormatPr defaultColWidth="0" defaultRowHeight="13"/>
  <cols>
    <col min="1" max="2" width="1.44140625" style="38" customWidth="1"/>
    <col min="3" max="3" width="1.44140625" style="63" customWidth="1"/>
    <col min="4" max="4" width="1.44140625" style="90" customWidth="1"/>
    <col min="5" max="5" width="78.33203125" customWidth="1"/>
    <col min="6" max="6" width="16.33203125" customWidth="1"/>
    <col min="7" max="11" width="15.109375" customWidth="1"/>
    <col min="12" max="12" width="15.109375" style="42" customWidth="1"/>
    <col min="13" max="13" width="3.44140625" customWidth="1"/>
    <col min="14" max="24" width="15.109375" customWidth="1"/>
    <col min="25" max="25" width="15.109375" hidden="1" customWidth="1"/>
    <col min="26" max="16384" width="15.109375" hidden="1"/>
  </cols>
  <sheetData>
    <row r="1" spans="1:24" s="89" customFormat="1" ht="25">
      <c r="A1" s="50" t="str">
        <f ca="1" xml:space="preserve"> RIGHT(CELL("filename", A1), LEN(CELL("filename", A1)) - SEARCH("]", CELL("filename", A1)))</f>
        <v>RAB model Report</v>
      </c>
      <c r="B1" s="93"/>
      <c r="C1" s="84"/>
      <c r="D1" s="85"/>
      <c r="F1" s="57" t="str">
        <f>HYPERLINK("#Contents!A1","Go to contents")</f>
        <v>Go to contents</v>
      </c>
      <c r="L1" s="61"/>
      <c r="N1" s="61"/>
    </row>
    <row r="2" spans="1:24" s="56" customFormat="1">
      <c r="A2" s="64"/>
      <c r="B2" s="64"/>
      <c r="C2" s="88"/>
      <c r="D2" s="92"/>
      <c r="E2" s="15" t="s">
        <v>10</v>
      </c>
      <c r="F2" s="37"/>
      <c r="G2" s="37"/>
      <c r="H2" s="37"/>
      <c r="I2" s="37"/>
      <c r="J2" s="37"/>
      <c r="K2" s="37"/>
      <c r="L2" s="62"/>
      <c r="M2" s="62"/>
      <c r="N2" s="26" t="str">
        <f xml:space="preserve"> Inputs!N$76</f>
        <v>NR23</v>
      </c>
      <c r="O2" s="26" t="str">
        <f xml:space="preserve"> Inputs!O$76</f>
        <v>NR23</v>
      </c>
      <c r="P2" s="26" t="str">
        <f xml:space="preserve"> Inputs!P$76</f>
        <v>NR23</v>
      </c>
      <c r="Q2" s="26" t="str">
        <f xml:space="preserve"> Inputs!Q$76</f>
        <v>NR28</v>
      </c>
      <c r="R2" s="26" t="str">
        <f xml:space="preserve"> Inputs!R$76</f>
        <v>NR28</v>
      </c>
      <c r="S2" s="26" t="str">
        <f xml:space="preserve"> Inputs!S$76</f>
        <v>NR28</v>
      </c>
      <c r="T2" s="26" t="str">
        <f xml:space="preserve"> Inputs!T$76</f>
        <v>NR28</v>
      </c>
      <c r="U2" s="26" t="str">
        <f xml:space="preserve"> Inputs!U$76</f>
        <v>NR28</v>
      </c>
      <c r="V2" s="26" t="str">
        <f xml:space="preserve"> Inputs!V$76</f>
        <v>NR33</v>
      </c>
      <c r="W2" s="26" t="str">
        <f xml:space="preserve"> Inputs!W$76</f>
        <v>NR33</v>
      </c>
      <c r="X2" s="26" t="str">
        <f xml:space="preserve"> Inputs!X$76</f>
        <v>NR33</v>
      </c>
    </row>
    <row r="3" spans="1:24" s="132" customFormat="1">
      <c r="A3" s="64"/>
      <c r="B3" s="64"/>
      <c r="C3" s="88"/>
      <c r="D3" s="92"/>
      <c r="E3" s="31" t="s">
        <v>11</v>
      </c>
      <c r="F3" s="37"/>
      <c r="G3" s="37"/>
      <c r="H3" s="37"/>
      <c r="I3" s="37"/>
      <c r="J3" s="37"/>
      <c r="K3" s="37"/>
      <c r="L3" s="62"/>
      <c r="M3" s="62"/>
      <c r="N3" s="136">
        <f xml:space="preserve"> Time!N$29</f>
        <v>46022</v>
      </c>
      <c r="O3" s="136">
        <f xml:space="preserve"> Time!O$29</f>
        <v>46387</v>
      </c>
      <c r="P3" s="136">
        <f xml:space="preserve"> Time!P$29</f>
        <v>46752</v>
      </c>
      <c r="Q3" s="136">
        <f xml:space="preserve"> Time!Q$29</f>
        <v>47118</v>
      </c>
      <c r="R3" s="136">
        <f xml:space="preserve"> Time!R$29</f>
        <v>47483</v>
      </c>
      <c r="S3" s="136">
        <f xml:space="preserve"> Time!S$29</f>
        <v>47848</v>
      </c>
      <c r="T3" s="136">
        <f xml:space="preserve"> Time!T$29</f>
        <v>48213</v>
      </c>
      <c r="U3" s="136">
        <f xml:space="preserve"> Time!U$29</f>
        <v>48579</v>
      </c>
      <c r="V3" s="136">
        <f xml:space="preserve"> Time!V$29</f>
        <v>48944</v>
      </c>
      <c r="W3" s="136">
        <f xml:space="preserve"> Time!W$29</f>
        <v>49309</v>
      </c>
      <c r="X3" s="136">
        <f xml:space="preserve"> Time!X$29</f>
        <v>49674</v>
      </c>
    </row>
    <row r="4" spans="1:24" s="36" customFormat="1">
      <c r="A4" s="64"/>
      <c r="B4" s="64"/>
      <c r="C4" s="88"/>
      <c r="D4" s="92"/>
      <c r="E4" s="15" t="s">
        <v>12</v>
      </c>
      <c r="F4"/>
      <c r="G4"/>
      <c r="H4"/>
      <c r="I4"/>
      <c r="J4"/>
      <c r="K4"/>
      <c r="L4" s="62"/>
      <c r="M4" s="62"/>
      <c r="N4" s="36">
        <f xml:space="preserve"> Time!N$33</f>
        <v>1</v>
      </c>
      <c r="O4" s="36">
        <f xml:space="preserve"> Time!O$33</f>
        <v>2</v>
      </c>
      <c r="P4" s="36">
        <f xml:space="preserve"> Time!P$33</f>
        <v>3</v>
      </c>
      <c r="Q4" s="36">
        <f xml:space="preserve"> Time!Q$33</f>
        <v>4</v>
      </c>
      <c r="R4" s="36">
        <f xml:space="preserve"> Time!R$33</f>
        <v>5</v>
      </c>
      <c r="S4" s="36">
        <f xml:space="preserve"> Time!S$33</f>
        <v>6</v>
      </c>
      <c r="T4" s="36">
        <f xml:space="preserve"> Time!T$33</f>
        <v>7</v>
      </c>
      <c r="U4" s="36">
        <f xml:space="preserve"> Time!U$33</f>
        <v>8</v>
      </c>
      <c r="V4" s="36">
        <f xml:space="preserve"> Time!V$33</f>
        <v>9</v>
      </c>
      <c r="W4" s="36">
        <f xml:space="preserve"> Time!W$33</f>
        <v>10</v>
      </c>
      <c r="X4" s="36">
        <f xml:space="preserve"> Time!X$33</f>
        <v>11</v>
      </c>
    </row>
    <row r="5" spans="1:24" s="40" customFormat="1">
      <c r="A5" s="64"/>
      <c r="B5" s="64"/>
      <c r="C5" s="88"/>
      <c r="D5" s="92"/>
      <c r="E5" s="15" t="s">
        <v>13</v>
      </c>
      <c r="F5" s="38" t="s">
        <v>14</v>
      </c>
      <c r="G5" s="38" t="s">
        <v>15</v>
      </c>
      <c r="H5" s="38" t="s">
        <v>16</v>
      </c>
      <c r="I5" s="38" t="s">
        <v>17</v>
      </c>
      <c r="J5" s="38" t="s">
        <v>18</v>
      </c>
      <c r="K5" s="38"/>
      <c r="L5" s="38" t="s">
        <v>19</v>
      </c>
      <c r="M5" s="62"/>
      <c r="N5" s="20"/>
      <c r="O5" s="20"/>
    </row>
    <row r="6" spans="1:24" s="42" customFormat="1">
      <c r="A6" s="38"/>
      <c r="B6" s="38"/>
      <c r="C6" s="63"/>
      <c r="D6" s="87"/>
      <c r="F6" s="38"/>
      <c r="G6" s="38"/>
      <c r="H6" s="38"/>
      <c r="I6" s="38"/>
      <c r="J6" s="38"/>
      <c r="K6" s="38"/>
      <c r="L6" s="38"/>
    </row>
    <row r="8" spans="1:24">
      <c r="E8" s="33" t="str">
        <f xml:space="preserve"> RAB!E$223</f>
        <v>Determined Cost from 2026 Real (RAB only)</v>
      </c>
      <c r="F8" s="33">
        <f xml:space="preserve"> RAB!F$223</f>
        <v>0</v>
      </c>
      <c r="G8" s="33" t="str">
        <f xml:space="preserve"> RAB!G$223</f>
        <v>£'000 (2024 prices)</v>
      </c>
      <c r="H8" s="33"/>
      <c r="I8" s="33"/>
      <c r="J8" s="33"/>
      <c r="K8" s="33"/>
      <c r="L8" s="67">
        <f xml:space="preserve"> RAB!L$223</f>
        <v>141949.05879240495</v>
      </c>
      <c r="M8" s="33">
        <f xml:space="preserve"> RAB!M$223</f>
        <v>0</v>
      </c>
      <c r="N8" s="13">
        <f xml:space="preserve"> RAB!N$223</f>
        <v>0</v>
      </c>
      <c r="O8" s="13">
        <f xml:space="preserve"> RAB!O$223</f>
        <v>5624.4824549243085</v>
      </c>
      <c r="P8" s="13">
        <f xml:space="preserve"> RAB!P$223</f>
        <v>5624.4824549243085</v>
      </c>
      <c r="Q8" s="13">
        <f xml:space="preserve"> RAB!Q$223</f>
        <v>8948.8611386552438</v>
      </c>
      <c r="R8" s="13">
        <f xml:space="preserve"> RAB!R$223</f>
        <v>11823.901126377576</v>
      </c>
      <c r="S8" s="13">
        <f xml:space="preserve"> RAB!S$223</f>
        <v>13784.980014192928</v>
      </c>
      <c r="T8" s="13">
        <f xml:space="preserve"> RAB!T$223</f>
        <v>16015.777610335055</v>
      </c>
      <c r="U8" s="13">
        <f xml:space="preserve"> RAB!U$223</f>
        <v>17613.453602509169</v>
      </c>
      <c r="V8" s="13">
        <f xml:space="preserve"> RAB!V$223</f>
        <v>19498.898245900509</v>
      </c>
      <c r="W8" s="13">
        <f xml:space="preserve"> RAB!W$223</f>
        <v>20889.640697709765</v>
      </c>
      <c r="X8" s="13">
        <f xml:space="preserve"> RAB!X$223</f>
        <v>22124.581446876073</v>
      </c>
    </row>
    <row r="9" spans="1:24">
      <c r="E9" s="33" t="str">
        <f xml:space="preserve"> RAB!E$211</f>
        <v>DC per SU from 2026 real (RAB only)</v>
      </c>
      <c r="F9" s="33">
        <f xml:space="preserve"> RAB!F$211</f>
        <v>0</v>
      </c>
      <c r="G9" s="33" t="str">
        <f xml:space="preserve"> RAB!G$211</f>
        <v>£( 2024 prices)</v>
      </c>
      <c r="H9" s="33"/>
      <c r="I9" s="33"/>
      <c r="J9" s="33"/>
      <c r="K9" s="33"/>
      <c r="L9" s="67">
        <f xml:space="preserve"> RAB!L$211</f>
        <v>10.240340908464701</v>
      </c>
      <c r="M9" s="33">
        <f xml:space="preserve"> RAB!M$211</f>
        <v>0</v>
      </c>
      <c r="N9" s="13">
        <f xml:space="preserve"> RAB!N$211</f>
        <v>0</v>
      </c>
      <c r="O9" s="13">
        <f xml:space="preserve"> RAB!O$211</f>
        <v>0.44709717447729003</v>
      </c>
      <c r="P9" s="13">
        <f xml:space="preserve"> RAB!P$211</f>
        <v>0.43879563542864009</v>
      </c>
      <c r="Q9" s="13">
        <f xml:space="preserve"> RAB!Q$211</f>
        <v>0.68405909942327192</v>
      </c>
      <c r="R9" s="13">
        <f xml:space="preserve"> RAB!R$211</f>
        <v>0.89048811013537998</v>
      </c>
      <c r="S9" s="13">
        <f xml:space="preserve"> RAB!S$211</f>
        <v>1.0205804408227532</v>
      </c>
      <c r="T9" s="13">
        <f xml:space="preserve"> RAB!T$211</f>
        <v>1.167586032684629</v>
      </c>
      <c r="U9" s="13">
        <f xml:space="preserve"> RAB!U$211</f>
        <v>1.2625226580538433</v>
      </c>
      <c r="V9" s="13">
        <f xml:space="preserve"> RAB!V$211</f>
        <v>1.3742263898724723</v>
      </c>
      <c r="W9" s="13">
        <f xml:space="preserve"> RAB!W$211</f>
        <v>1.4475532324655094</v>
      </c>
      <c r="X9" s="13">
        <f xml:space="preserve"> RAB!X$211</f>
        <v>1.5074321351009112</v>
      </c>
    </row>
    <row r="10" spans="1:24">
      <c r="E10" s="33" t="str">
        <f xml:space="preserve"> RAB!E$217</f>
        <v>DC per flight from 2026 real (RAB only)</v>
      </c>
      <c r="F10" s="33">
        <f xml:space="preserve"> RAB!F$217</f>
        <v>0</v>
      </c>
      <c r="G10" s="33" t="str">
        <f xml:space="preserve"> RAB!G$217</f>
        <v>£ real</v>
      </c>
      <c r="H10" s="33"/>
      <c r="I10" s="33"/>
      <c r="J10" s="33"/>
      <c r="K10" s="33"/>
      <c r="L10" s="67">
        <f xml:space="preserve"> RAB!L$217</f>
        <v>52.40336668001742</v>
      </c>
      <c r="M10" s="33">
        <f xml:space="preserve"> RAB!M$217</f>
        <v>0</v>
      </c>
      <c r="N10" s="13">
        <f xml:space="preserve"> RAB!N$217</f>
        <v>0</v>
      </c>
      <c r="O10" s="13">
        <f xml:space="preserve"> RAB!O$217</f>
        <v>2.2178558576199956</v>
      </c>
      <c r="P10" s="13">
        <f xml:space="preserve"> RAB!P$217</f>
        <v>2.1902190245032354</v>
      </c>
      <c r="Q10" s="13">
        <f xml:space="preserve"> RAB!Q$217</f>
        <v>3.4339451798370084</v>
      </c>
      <c r="R10" s="13">
        <f xml:space="preserve"> RAB!R$217</f>
        <v>4.4957798959610553</v>
      </c>
      <c r="S10" s="13">
        <f xml:space="preserve"> RAB!S$217</f>
        <v>5.1803758039056476</v>
      </c>
      <c r="T10" s="13">
        <f xml:space="preserve"> RAB!T$217</f>
        <v>5.9560348123224456</v>
      </c>
      <c r="U10" s="13">
        <f xml:space="preserve"> RAB!U$217</f>
        <v>6.4755344126871943</v>
      </c>
      <c r="V10" s="13">
        <f xml:space="preserve"> RAB!V$217</f>
        <v>7.0879310235916062</v>
      </c>
      <c r="W10" s="13">
        <f xml:space="preserve"> RAB!W$217</f>
        <v>7.5061590721199298</v>
      </c>
      <c r="X10" s="13">
        <f xml:space="preserve"> RAB!X$217</f>
        <v>7.8595315974692976</v>
      </c>
    </row>
    <row r="11" spans="1:24">
      <c r="E11" s="33" t="str">
        <f xml:space="preserve"> RAB!E$244</f>
        <v>Determined Cost from 2026 nominal (RAB Only)</v>
      </c>
      <c r="F11" s="33">
        <f xml:space="preserve"> RAB!F$244</f>
        <v>0</v>
      </c>
      <c r="G11" s="33" t="str">
        <f xml:space="preserve"> RAB!G$244</f>
        <v>£'000 nominal</v>
      </c>
      <c r="H11" s="33"/>
      <c r="I11" s="33"/>
      <c r="J11" s="33"/>
      <c r="K11" s="33"/>
      <c r="L11" s="67">
        <f xml:space="preserve"> RAB!L$244</f>
        <v>167485.33465424523</v>
      </c>
      <c r="M11" s="33">
        <f xml:space="preserve"> RAB!M$244</f>
        <v>0</v>
      </c>
      <c r="N11" s="13">
        <f xml:space="preserve"> RAB!N$244</f>
        <v>0</v>
      </c>
      <c r="O11" s="13">
        <f xml:space="preserve"> RAB!O$244</f>
        <v>5926.2178020679321</v>
      </c>
      <c r="P11" s="13">
        <f xml:space="preserve"> RAB!P$244</f>
        <v>6044.0954498007841</v>
      </c>
      <c r="Q11" s="13">
        <f xml:space="preserve"> RAB!Q$244</f>
        <v>9808.8589522305101</v>
      </c>
      <c r="R11" s="13">
        <f xml:space="preserve"> RAB!R$244</f>
        <v>13219.387614734782</v>
      </c>
      <c r="S11" s="13">
        <f xml:space="preserve"> RAB!S$244</f>
        <v>15720.156314205695</v>
      </c>
      <c r="T11" s="13">
        <f xml:space="preserve"> RAB!T$244</f>
        <v>18629.402277999492</v>
      </c>
      <c r="U11" s="13">
        <f xml:space="preserve"> RAB!U$244</f>
        <v>20897.560084960576</v>
      </c>
      <c r="V11" s="13">
        <f xml:space="preserve"> RAB!V$244</f>
        <v>23597.245322672759</v>
      </c>
      <c r="W11" s="13">
        <f xml:space="preserve"> RAB!W$244</f>
        <v>25785.904897318094</v>
      </c>
      <c r="X11" s="13">
        <f xml:space="preserve"> RAB!X$244</f>
        <v>27856.505938254599</v>
      </c>
    </row>
    <row r="12" spans="1:24">
      <c r="E12" s="33" t="str">
        <f xml:space="preserve"> RAB!E$230</f>
        <v>DC per SU from 2026 nominal (RAB only)</v>
      </c>
      <c r="F12" s="33">
        <f xml:space="preserve"> RAB!F$230</f>
        <v>0</v>
      </c>
      <c r="G12" s="33" t="str">
        <f xml:space="preserve"> RAB!G$230</f>
        <v>£ nominal</v>
      </c>
      <c r="H12" s="33"/>
      <c r="I12" s="33"/>
      <c r="J12" s="33"/>
      <c r="K12" s="33"/>
      <c r="L12" s="67">
        <f xml:space="preserve"> RAB!L$230</f>
        <v>12.055778812240002</v>
      </c>
      <c r="M12" s="33">
        <f xml:space="preserve"> RAB!M$230</f>
        <v>0</v>
      </c>
      <c r="N12" s="13">
        <f xml:space="preserve"> RAB!N$230</f>
        <v>0</v>
      </c>
      <c r="O12" s="13">
        <f xml:space="preserve"> RAB!O$230</f>
        <v>0.47108249618981973</v>
      </c>
      <c r="P12" s="13">
        <f xml:space="preserve"> RAB!P$230</f>
        <v>0.47153186533006586</v>
      </c>
      <c r="Q12" s="13">
        <f xml:space="preserve"> RAB!Q$230</f>
        <v>0.74979811590204171</v>
      </c>
      <c r="R12" s="13">
        <f xml:space="preserve"> RAB!R$230</f>
        <v>0.99558575197580823</v>
      </c>
      <c r="S12" s="13">
        <f xml:space="preserve"> RAB!S$230</f>
        <v>1.1638525441775149</v>
      </c>
      <c r="T12" s="13">
        <f xml:space="preserve"> RAB!T$230</f>
        <v>1.3581251205073628</v>
      </c>
      <c r="U12" s="13">
        <f xml:space="preserve"> RAB!U$230</f>
        <v>1.4979256028213446</v>
      </c>
      <c r="V12" s="13">
        <f xml:space="preserve"> RAB!V$230</f>
        <v>1.6630661302891505</v>
      </c>
      <c r="W12" s="13">
        <f xml:space="preserve"> RAB!W$230</f>
        <v>1.7868411681323606</v>
      </c>
      <c r="X12" s="13">
        <f xml:space="preserve"> RAB!X$230</f>
        <v>1.897970016914533</v>
      </c>
    </row>
    <row r="13" spans="1:24">
      <c r="E13" s="33" t="str">
        <f xml:space="preserve"> RAB!E$237</f>
        <v>DC per flight from 2026 nominal (RAB only)</v>
      </c>
      <c r="F13" s="33">
        <f xml:space="preserve"> RAB!F$237</f>
        <v>0</v>
      </c>
      <c r="G13" s="33" t="str">
        <f xml:space="preserve"> RAB!G$237</f>
        <v>£ nominal</v>
      </c>
      <c r="H13" s="33"/>
      <c r="I13" s="33"/>
      <c r="J13" s="33"/>
      <c r="K13" s="33"/>
      <c r="L13" s="67">
        <f xml:space="preserve"> RAB!L$237</f>
        <v>61.738277314086737</v>
      </c>
      <c r="M13" s="33">
        <f xml:space="preserve"> RAB!M$237</f>
        <v>0</v>
      </c>
      <c r="N13" s="13">
        <f xml:space="preserve"> RAB!N$237</f>
        <v>0</v>
      </c>
      <c r="O13" s="13">
        <f xml:space="preserve"> RAB!O$237</f>
        <v>2.3368366727397212</v>
      </c>
      <c r="P13" s="13">
        <f xml:space="preserve"> RAB!P$237</f>
        <v>2.353619723442673</v>
      </c>
      <c r="Q13" s="13">
        <f xml:space="preserve"> RAB!Q$237</f>
        <v>3.7639520154376482</v>
      </c>
      <c r="R13" s="13">
        <f xml:space="preserve"> RAB!R$237</f>
        <v>5.026383123473301</v>
      </c>
      <c r="S13" s="13">
        <f xml:space="preserve"> RAB!S$237</f>
        <v>5.9076122939517832</v>
      </c>
      <c r="T13" s="13">
        <f xml:space="preserve"> RAB!T$237</f>
        <v>6.928003822238562</v>
      </c>
      <c r="U13" s="13">
        <f xml:space="preserve"> RAB!U$237</f>
        <v>7.6829265018237418</v>
      </c>
      <c r="V13" s="13">
        <f xml:space="preserve"> RAB!V$237</f>
        <v>8.5776973183107081</v>
      </c>
      <c r="W13" s="13">
        <f xml:space="preserve"> RAB!W$237</f>
        <v>9.2655066106065735</v>
      </c>
      <c r="X13" s="13">
        <f xml:space="preserve"> RAB!X$237</f>
        <v>9.8957392320620254</v>
      </c>
    </row>
    <row r="14" spans="1:24">
      <c r="E14" s="33" t="str">
        <f xml:space="preserve"> RAB!E$29</f>
        <v>RAB</v>
      </c>
      <c r="F14" s="33">
        <f xml:space="preserve"> RAB!F$29</f>
        <v>0</v>
      </c>
      <c r="G14" s="33" t="str">
        <f xml:space="preserve"> RAB!G$29</f>
        <v>£'000 nominal</v>
      </c>
      <c r="H14" s="33"/>
      <c r="I14" s="33"/>
      <c r="J14" s="33"/>
      <c r="K14" s="33"/>
      <c r="L14" s="67">
        <f xml:space="preserve"> RAB!L$29</f>
        <v>0</v>
      </c>
      <c r="M14" s="33">
        <f xml:space="preserve"> RAB!M$29</f>
        <v>0</v>
      </c>
      <c r="N14" s="13">
        <f>RAB!N$29</f>
        <v>9217.4332759155332</v>
      </c>
      <c r="O14" s="13">
        <f>RAB!O$29</f>
        <v>25742.743502106423</v>
      </c>
      <c r="P14" s="13">
        <f>RAB!P$29</f>
        <v>46363.801206140881</v>
      </c>
      <c r="Q14" s="13">
        <f>RAB!Q$29</f>
        <v>60163.206360215372</v>
      </c>
      <c r="R14" s="13">
        <f>RAB!R$29</f>
        <v>78366.552628022066</v>
      </c>
      <c r="S14" s="13">
        <f>RAB!S$29</f>
        <v>87040.365987311365</v>
      </c>
      <c r="T14" s="13">
        <f>RAB!T$29</f>
        <v>98754.403132208565</v>
      </c>
      <c r="U14" s="13">
        <f>RAB!U$29</f>
        <v>103283.74539611445</v>
      </c>
      <c r="V14" s="13">
        <f>RAB!V$29</f>
        <v>110613.5119377732</v>
      </c>
      <c r="W14" s="13">
        <f>RAB!W$29</f>
        <v>111731.56912101313</v>
      </c>
      <c r="X14" s="13">
        <f>RAB!X$29</f>
        <v>111237.81262305799</v>
      </c>
    </row>
    <row r="15" spans="1:24">
      <c r="E15" s="34" t="str">
        <f xml:space="preserve"> RAB!E$256</f>
        <v>Charge as a % of UK en route rate real (RAB only)</v>
      </c>
      <c r="F15" s="34">
        <f xml:space="preserve"> RAB!F$256</f>
        <v>0</v>
      </c>
      <c r="G15" s="34" t="str">
        <f xml:space="preserve"> RAB!G$256</f>
        <v>%</v>
      </c>
      <c r="H15" s="34"/>
      <c r="I15" s="34"/>
      <c r="J15" s="34"/>
      <c r="K15" s="34"/>
      <c r="L15" s="69">
        <f xml:space="preserve"> RAB!L$256</f>
        <v>0</v>
      </c>
      <c r="M15" s="34">
        <f xml:space="preserve"> RAB!M$256</f>
        <v>0</v>
      </c>
      <c r="N15" s="19">
        <f xml:space="preserve"> RAB!N$256</f>
        <v>0</v>
      </c>
      <c r="O15" s="19">
        <f xml:space="preserve"> RAB!O$256</f>
        <v>5.9454411499639632E-3</v>
      </c>
      <c r="P15" s="19">
        <f xml:space="preserve"> RAB!P$256</f>
        <v>5.8350483434659586E-3</v>
      </c>
      <c r="Q15" s="19">
        <f xml:space="preserve"> RAB!Q$256</f>
        <v>9.0965305774371261E-3</v>
      </c>
      <c r="R15" s="19">
        <f xml:space="preserve"> RAB!R$256</f>
        <v>1.1841597209247073E-2</v>
      </c>
      <c r="S15" s="19">
        <f xml:space="preserve"> RAB!S$256</f>
        <v>1.3571548415196186E-2</v>
      </c>
      <c r="T15" s="19">
        <f xml:space="preserve"> RAB!T$256</f>
        <v>1.5526410009104109E-2</v>
      </c>
      <c r="U15" s="19">
        <f xml:space="preserve"> RAB!U$256</f>
        <v>1.6788865133694725E-2</v>
      </c>
      <c r="V15" s="19">
        <f xml:space="preserve"> RAB!V$256</f>
        <v>1.8274287099367983E-2</v>
      </c>
      <c r="W15" s="19">
        <f xml:space="preserve"> RAB!W$256</f>
        <v>1.9249378091296666E-2</v>
      </c>
      <c r="X15" s="19">
        <f xml:space="preserve"> RAB!X$256</f>
        <v>2.0045640094427011E-2</v>
      </c>
    </row>
    <row r="16" spans="1:24" s="131" customFormat="1">
      <c r="A16" s="38"/>
      <c r="B16" s="38"/>
      <c r="C16" s="63"/>
      <c r="D16" s="90"/>
      <c r="E16" s="33" t="str">
        <f xml:space="preserve"> RAB!E$250</f>
        <v>Charge per pax (RAB only)</v>
      </c>
      <c r="F16" s="33">
        <f xml:space="preserve"> RAB!F$250</f>
        <v>0</v>
      </c>
      <c r="G16" s="33" t="str">
        <f xml:space="preserve"> RAB!G$250</f>
        <v>£ real</v>
      </c>
      <c r="H16" s="33"/>
      <c r="I16" s="33"/>
      <c r="J16" s="33"/>
      <c r="K16" s="33"/>
      <c r="L16" s="128">
        <f xml:space="preserve"> RAB!L$250</f>
        <v>0.40310282061551861</v>
      </c>
      <c r="M16" s="129">
        <f xml:space="preserve"> RAB!M$250</f>
        <v>0</v>
      </c>
      <c r="N16" s="130">
        <f xml:space="preserve"> RAB!N$250</f>
        <v>0</v>
      </c>
      <c r="O16" s="130">
        <f xml:space="preserve"> RAB!O$250</f>
        <v>1.7060429673999965E-2</v>
      </c>
      <c r="P16" s="130">
        <f xml:space="preserve"> RAB!P$250</f>
        <v>1.6847838650024888E-2</v>
      </c>
      <c r="Q16" s="130">
        <f xml:space="preserve"> RAB!Q$250</f>
        <v>2.6414962921823142E-2</v>
      </c>
      <c r="R16" s="130">
        <f xml:space="preserve"> RAB!R$250</f>
        <v>3.4582922276623504E-2</v>
      </c>
      <c r="S16" s="130">
        <f xml:space="preserve"> RAB!S$250</f>
        <v>3.9849044645428058E-2</v>
      </c>
      <c r="T16" s="130">
        <f xml:space="preserve"> RAB!T$250</f>
        <v>4.5815652402480353E-2</v>
      </c>
      <c r="U16" s="130">
        <f xml:space="preserve"> RAB!U$250</f>
        <v>4.9811803174516882E-2</v>
      </c>
      <c r="V16" s="130">
        <f xml:space="preserve"> RAB!V$250</f>
        <v>5.4522546335320048E-2</v>
      </c>
      <c r="W16" s="130">
        <f xml:space="preserve"> RAB!W$250</f>
        <v>5.7739685170153307E-2</v>
      </c>
      <c r="X16" s="130">
        <f xml:space="preserve"> RAB!X$250</f>
        <v>6.0457935365148444E-2</v>
      </c>
    </row>
    <row r="17" spans="5:24">
      <c r="E17" s="33" t="str">
        <f xml:space="preserve"> RAB!E$268</f>
        <v>NPV Determined Cost from 2026 Real (RAB only)</v>
      </c>
      <c r="F17" s="33">
        <f xml:space="preserve"> RAB!$F$268</f>
        <v>170039.80803190827</v>
      </c>
      <c r="G17" s="33" t="str">
        <f xml:space="preserve"> RAB!G$268</f>
        <v>£ real</v>
      </c>
      <c r="H17" s="33"/>
      <c r="I17" s="33"/>
      <c r="J17" s="33"/>
      <c r="K17" s="33"/>
      <c r="L17" s="67"/>
      <c r="M17" s="33"/>
      <c r="N17" s="13"/>
      <c r="O17" s="13"/>
      <c r="P17" s="13"/>
      <c r="Q17" s="13"/>
      <c r="R17" s="13"/>
      <c r="S17" s="13"/>
      <c r="T17" s="13"/>
      <c r="U17" s="13"/>
      <c r="V17" s="13"/>
      <c r="W17" s="13"/>
      <c r="X17" s="13"/>
    </row>
    <row r="18" spans="5:24">
      <c r="E18" s="33" t="str">
        <f xml:space="preserve"> 'Scenarios Chosen'!E$37</f>
        <v>Estimated total cost of providing the UKADS and the Support Fund NR23</v>
      </c>
      <c r="F18" s="33">
        <f xml:space="preserve"> 'Scenarios Chosen'!$F$37</f>
        <v>52071.943844968133</v>
      </c>
      <c r="G18" s="33" t="str">
        <f xml:space="preserve"> 'Scenarios Chosen'!G$37</f>
        <v>£'000 (2024 prices)</v>
      </c>
      <c r="H18" s="33"/>
      <c r="I18" s="33"/>
      <c r="J18" s="33"/>
      <c r="K18" s="33"/>
      <c r="L18" s="67"/>
      <c r="M18" s="33"/>
      <c r="N18" s="13"/>
      <c r="O18" s="13"/>
      <c r="P18" s="13"/>
      <c r="Q18" s="13"/>
      <c r="R18" s="13"/>
      <c r="S18" s="13"/>
      <c r="T18" s="13"/>
      <c r="U18" s="13"/>
      <c r="V18" s="13"/>
      <c r="W18" s="13"/>
      <c r="X18" s="13"/>
    </row>
    <row r="19" spans="5:24">
      <c r="E19" s="33" t="str">
        <f xml:space="preserve"> 'Scenarios Chosen'!E$48</f>
        <v>Total Service Units forecast for NR23 period (2026 start)</v>
      </c>
      <c r="F19" s="33">
        <f xml:space="preserve"> 'Scenarios Chosen'!$F$48</f>
        <v>25398</v>
      </c>
      <c r="G19" s="33" t="str">
        <f xml:space="preserve"> 'Scenarios Chosen'!G$48</f>
        <v>000</v>
      </c>
      <c r="H19" s="33"/>
      <c r="I19" s="33"/>
      <c r="J19" s="33"/>
      <c r="K19" s="33"/>
      <c r="L19" s="67"/>
      <c r="M19" s="33"/>
      <c r="N19" s="21"/>
      <c r="O19" s="21"/>
      <c r="P19" s="21"/>
      <c r="Q19" s="21"/>
      <c r="R19" s="21"/>
      <c r="S19" s="21"/>
      <c r="T19" s="21"/>
      <c r="U19" s="21"/>
      <c r="V19" s="21"/>
      <c r="W19" s="21"/>
      <c r="X19" s="21"/>
    </row>
    <row r="20" spans="5:24">
      <c r="E20" s="33" t="str">
        <f xml:space="preserve"> 'Scenarios Chosen'!E$59</f>
        <v>Total Flights forecast for NR23 period (2026 start)</v>
      </c>
      <c r="F20" s="33">
        <f xml:space="preserve"> 'Scenarios Chosen'!$F$59</f>
        <v>5104</v>
      </c>
      <c r="G20" s="33" t="str">
        <f xml:space="preserve"> 'Scenarios Chosen'!G$59</f>
        <v>000</v>
      </c>
      <c r="H20" s="33"/>
      <c r="I20" s="33"/>
      <c r="J20" s="33"/>
      <c r="K20" s="33"/>
      <c r="L20" s="67"/>
      <c r="M20" s="33"/>
      <c r="N20" s="21"/>
      <c r="O20" s="21"/>
      <c r="P20" s="21"/>
      <c r="Q20" s="21"/>
      <c r="R20" s="21"/>
      <c r="S20" s="21"/>
      <c r="T20" s="21"/>
      <c r="U20" s="21"/>
      <c r="V20" s="21"/>
      <c r="W20" s="21"/>
      <c r="X20" s="21"/>
    </row>
    <row r="21" spans="5:24">
      <c r="E21" s="33" t="str">
        <f xml:space="preserve"> Inputs!E$35</f>
        <v>Passengers (PAX) per flight</v>
      </c>
      <c r="F21" s="33">
        <f xml:space="preserve"> Inputs!$F$35</f>
        <v>130</v>
      </c>
      <c r="G21" s="33">
        <f xml:space="preserve"> Inputs!G$35</f>
        <v>0</v>
      </c>
      <c r="H21" s="33"/>
      <c r="I21" s="33"/>
      <c r="J21" s="33"/>
      <c r="K21" s="33"/>
      <c r="L21" s="67"/>
      <c r="M21" s="33"/>
      <c r="N21" s="21"/>
      <c r="O21" s="21"/>
      <c r="P21" s="21"/>
      <c r="Q21" s="21"/>
      <c r="R21" s="21"/>
      <c r="S21" s="21"/>
      <c r="T21" s="21"/>
      <c r="U21" s="21"/>
      <c r="V21" s="21"/>
      <c r="W21" s="21"/>
      <c r="X21" s="21"/>
    </row>
    <row r="22" spans="5:24">
      <c r="E22" s="33" t="str">
        <f xml:space="preserve"> Inputs!E$36</f>
        <v>UK en-route rate</v>
      </c>
      <c r="F22" s="33">
        <f xml:space="preserve"> Inputs!$F$36</f>
        <v>75.2</v>
      </c>
      <c r="G22" s="33" t="str">
        <f xml:space="preserve"> Inputs!G$36</f>
        <v>£ real</v>
      </c>
      <c r="H22" s="33"/>
      <c r="I22" s="33"/>
      <c r="J22" s="33"/>
      <c r="K22" s="33"/>
      <c r="L22" s="67"/>
      <c r="M22" s="33"/>
      <c r="N22" s="13"/>
      <c r="O22" s="13"/>
      <c r="P22" s="13"/>
      <c r="Q22" s="13"/>
      <c r="R22" s="13"/>
      <c r="S22" s="13"/>
      <c r="T22" s="13"/>
      <c r="U22" s="13"/>
      <c r="V22" s="13"/>
      <c r="W22" s="13"/>
      <c r="X22" s="13"/>
    </row>
    <row r="23" spans="5:24">
      <c r="E23" s="33" t="str">
        <f xml:space="preserve"> RAB!E$283</f>
        <v>Total Determined Cost from 2026 real (NR23 period)</v>
      </c>
      <c r="F23" s="33">
        <f xml:space="preserve"> RAB!$F$283</f>
        <v>11248.964909848617</v>
      </c>
      <c r="G23" s="33" t="str">
        <f xml:space="preserve"> RAB!G$283</f>
        <v>£'000 (2024 prices)</v>
      </c>
      <c r="H23" s="41"/>
      <c r="I23" s="41"/>
      <c r="J23" s="41"/>
      <c r="K23" s="41"/>
      <c r="L23" s="67"/>
      <c r="M23" s="33"/>
      <c r="N23" s="13"/>
      <c r="O23" s="13"/>
      <c r="P23" s="13"/>
      <c r="Q23" s="13"/>
      <c r="R23" s="13"/>
      <c r="S23" s="13"/>
      <c r="T23" s="13"/>
      <c r="U23" s="13"/>
      <c r="V23" s="13"/>
      <c r="W23" s="13"/>
      <c r="X23" s="13"/>
    </row>
    <row r="24" spans="5:24">
      <c r="E24" s="41" t="str">
        <f xml:space="preserve"> RAB!E$289</f>
        <v>Charge per service unit (RAB only) real for NR23 period</v>
      </c>
      <c r="F24" s="41">
        <f xml:space="preserve"> RAB!$F$289</f>
        <v>0.44290750885300484</v>
      </c>
      <c r="G24" s="41" t="str">
        <f xml:space="preserve"> RAB!G$289</f>
        <v>£ real</v>
      </c>
      <c r="H24" s="41"/>
      <c r="I24" s="41"/>
      <c r="J24" s="41"/>
      <c r="K24" s="41"/>
      <c r="L24" s="80"/>
      <c r="M24" s="41"/>
      <c r="N24" s="22"/>
      <c r="O24" s="22"/>
      <c r="P24" s="22"/>
      <c r="Q24" s="22"/>
      <c r="R24" s="22"/>
      <c r="S24" s="22"/>
      <c r="T24" s="22"/>
      <c r="U24" s="22"/>
      <c r="V24" s="22"/>
      <c r="W24" s="22"/>
      <c r="X24" s="22"/>
    </row>
    <row r="25" spans="5:24">
      <c r="E25" s="41" t="str">
        <f xml:space="preserve"> RAB!E$295</f>
        <v>Charge per flight (RAB only) real for NR23 period</v>
      </c>
      <c r="F25" s="41">
        <f xml:space="preserve"> RAB!$F$295</f>
        <v>2.2039508052211239</v>
      </c>
      <c r="G25" s="41" t="str">
        <f xml:space="preserve"> RAB!G$295</f>
        <v>£( 2024 prices)</v>
      </c>
      <c r="H25" s="41"/>
      <c r="I25" s="41"/>
      <c r="J25" s="41"/>
      <c r="K25" s="41"/>
      <c r="L25" s="80"/>
      <c r="M25" s="41"/>
      <c r="N25" s="22"/>
      <c r="O25" s="22"/>
      <c r="P25" s="22"/>
      <c r="Q25" s="22"/>
      <c r="R25" s="22"/>
      <c r="S25" s="22"/>
      <c r="T25" s="22"/>
      <c r="U25" s="22"/>
      <c r="V25" s="22"/>
      <c r="W25" s="22"/>
      <c r="X25" s="22"/>
    </row>
    <row r="26" spans="5:24">
      <c r="E26" s="41" t="str">
        <f xml:space="preserve"> RAB!E$301</f>
        <v>Charge per passenger (RAB only) real for NR23 period</v>
      </c>
      <c r="F26" s="41">
        <f xml:space="preserve"> RAB!$F$301</f>
        <v>1.6953467732470185E-2</v>
      </c>
      <c r="G26" s="41" t="str">
        <f xml:space="preserve"> RAB!G$301</f>
        <v>£( 2024 prices)</v>
      </c>
      <c r="H26" s="34"/>
      <c r="I26" s="34"/>
      <c r="J26" s="34"/>
      <c r="K26" s="34"/>
      <c r="L26" s="80"/>
      <c r="M26" s="41"/>
      <c r="N26" s="22"/>
      <c r="O26" s="22"/>
      <c r="P26" s="22"/>
      <c r="Q26" s="22"/>
      <c r="R26" s="22"/>
      <c r="S26" s="22"/>
      <c r="T26" s="22"/>
      <c r="U26" s="22"/>
      <c r="V26" s="22"/>
      <c r="W26" s="22"/>
      <c r="X26" s="22"/>
    </row>
    <row r="27" spans="5:24">
      <c r="E27" s="34" t="str">
        <f xml:space="preserve"> RAB!E$307</f>
        <v>Charge per SU (RAB only) as % of 2024 UK en route rate for NR23 period</v>
      </c>
      <c r="F27" s="34">
        <f xml:space="preserve"> RAB!$F$307</f>
        <v>5.8897275113431492E-3</v>
      </c>
      <c r="G27" s="34" t="str">
        <f xml:space="preserve"> RAB!G$307</f>
        <v>%</v>
      </c>
      <c r="H27" s="33"/>
      <c r="I27" s="33"/>
      <c r="J27" s="33"/>
      <c r="K27" s="33"/>
      <c r="L27" s="69"/>
      <c r="M27" s="34"/>
      <c r="N27" s="19"/>
      <c r="O27" s="19"/>
      <c r="P27" s="19"/>
      <c r="Q27" s="19"/>
      <c r="R27" s="19"/>
      <c r="S27" s="19"/>
      <c r="T27" s="19"/>
      <c r="U27" s="19"/>
      <c r="V27" s="19"/>
      <c r="W27" s="19"/>
      <c r="X27" s="19"/>
    </row>
    <row r="28" spans="5:24">
      <c r="E28" s="33" t="str">
        <f xml:space="preserve"> RAB!E$320</f>
        <v>Forecast closing RAB for NR23 period</v>
      </c>
      <c r="F28" s="33">
        <f xml:space="preserve"> RAB!F$320</f>
        <v>43144.981510199854</v>
      </c>
      <c r="G28" s="33" t="str">
        <f xml:space="preserve"> RAB!G$320</f>
        <v>£'000 (2024 prices)</v>
      </c>
      <c r="H28" s="33"/>
      <c r="I28" s="33"/>
      <c r="J28" s="33"/>
      <c r="K28" s="33"/>
      <c r="L28" s="67">
        <f xml:space="preserve"> RAB!L$320</f>
        <v>43144.981510199854</v>
      </c>
      <c r="M28" s="33">
        <f xml:space="preserve"> RAB!M$320</f>
        <v>0</v>
      </c>
      <c r="N28" s="13">
        <f xml:space="preserve"> RAB!N$320</f>
        <v>0</v>
      </c>
      <c r="O28" s="13">
        <f xml:space="preserve"> RAB!O$320</f>
        <v>0</v>
      </c>
      <c r="P28" s="13">
        <f xml:space="preserve"> RAB!P$320</f>
        <v>43144.981510199854</v>
      </c>
      <c r="Q28" s="13">
        <f xml:space="preserve"> RAB!Q$320</f>
        <v>0</v>
      </c>
      <c r="R28" s="13">
        <f xml:space="preserve"> RAB!R$320</f>
        <v>0</v>
      </c>
      <c r="S28" s="13">
        <f xml:space="preserve"> RAB!S$320</f>
        <v>0</v>
      </c>
      <c r="T28" s="13">
        <f xml:space="preserve"> RAB!T$320</f>
        <v>0</v>
      </c>
      <c r="U28" s="13">
        <f xml:space="preserve"> RAB!U$320</f>
        <v>0</v>
      </c>
      <c r="V28" s="13">
        <f xml:space="preserve"> RAB!V$320</f>
        <v>0</v>
      </c>
      <c r="W28" s="13">
        <f xml:space="preserve"> RAB!W$320</f>
        <v>0</v>
      </c>
      <c r="X28" s="13">
        <f xml:space="preserve"> RAB!X$320</f>
        <v>0</v>
      </c>
    </row>
    <row r="29" spans="5:24">
      <c r="E29" s="33" t="str">
        <f xml:space="preserve"> 'Scenarios Chosen'!E$73</f>
        <v>Estimated total cost of providing the UKADS and the Support Fund 10-year</v>
      </c>
      <c r="F29" s="33">
        <f xml:space="preserve"> 'Scenarios Chosen'!$F$73</f>
        <v>193700.30251704017</v>
      </c>
      <c r="G29" s="33" t="str">
        <f xml:space="preserve"> 'Scenarios Chosen'!G$73</f>
        <v>£'000 (2024 prices)</v>
      </c>
      <c r="H29" s="33"/>
      <c r="I29" s="33"/>
      <c r="J29" s="33"/>
      <c r="K29" s="33"/>
      <c r="L29" s="67"/>
      <c r="M29" s="33"/>
      <c r="N29" s="13"/>
      <c r="O29" s="13"/>
      <c r="P29" s="13"/>
      <c r="Q29" s="13"/>
      <c r="R29" s="13"/>
      <c r="S29" s="13"/>
      <c r="T29" s="13"/>
      <c r="U29" s="13"/>
      <c r="V29" s="13"/>
      <c r="W29" s="13"/>
      <c r="X29" s="13"/>
    </row>
    <row r="30" spans="5:24">
      <c r="E30" s="33" t="str">
        <f xml:space="preserve"> 'Scenarios Chosen'!E$84</f>
        <v>Total Service Units forecast for 10-year period (2026 start)</v>
      </c>
      <c r="F30" s="33">
        <f xml:space="preserve"> 'Scenarios Chosen'!$F$84</f>
        <v>136230</v>
      </c>
      <c r="G30" s="33" t="str">
        <f xml:space="preserve"> 'Scenarios Chosen'!G$84</f>
        <v>000</v>
      </c>
      <c r="H30" s="33"/>
      <c r="I30" s="33"/>
      <c r="J30" s="33"/>
      <c r="K30" s="33"/>
      <c r="L30" s="67"/>
      <c r="M30" s="33"/>
      <c r="N30" s="21"/>
      <c r="O30" s="21"/>
      <c r="P30" s="21"/>
      <c r="Q30" s="21"/>
      <c r="R30" s="21"/>
      <c r="S30" s="21"/>
      <c r="T30" s="21"/>
      <c r="U30" s="21"/>
      <c r="V30" s="21"/>
      <c r="W30" s="21"/>
      <c r="X30" s="21"/>
    </row>
    <row r="31" spans="5:24">
      <c r="E31" s="33" t="str">
        <f xml:space="preserve"> 'Scenarios Chosen'!E$95</f>
        <v>Total Flights forecast for 10-year period (2026 start)</v>
      </c>
      <c r="F31" s="33">
        <f xml:space="preserve"> 'Scenarios Chosen'!$F$95</f>
        <v>26759</v>
      </c>
      <c r="G31" s="33" t="str">
        <f xml:space="preserve"> 'Scenarios Chosen'!G$95</f>
        <v>000</v>
      </c>
      <c r="H31" s="41"/>
      <c r="I31" s="41"/>
      <c r="J31" s="41"/>
      <c r="K31" s="41"/>
      <c r="L31" s="67"/>
      <c r="M31" s="33"/>
      <c r="N31" s="21"/>
      <c r="O31" s="21"/>
      <c r="P31" s="21"/>
      <c r="Q31" s="21"/>
      <c r="R31" s="21"/>
      <c r="S31" s="21"/>
      <c r="T31" s="21"/>
      <c r="U31" s="21"/>
      <c r="V31" s="21"/>
      <c r="W31" s="21"/>
      <c r="X31" s="21"/>
    </row>
    <row r="32" spans="5:24">
      <c r="E32" s="33" t="str">
        <f xml:space="preserve"> RAB!E$333</f>
        <v>Total Determined Cost from 2026 real (10-year period)</v>
      </c>
      <c r="F32" s="33">
        <f xml:space="preserve"> RAB!$F$333</f>
        <v>130886.76806896691</v>
      </c>
      <c r="G32" s="33" t="str">
        <f xml:space="preserve"> RAB!G$333</f>
        <v>£'000 (2024 prices)</v>
      </c>
      <c r="H32" s="41"/>
      <c r="I32" s="41"/>
      <c r="J32" s="41"/>
      <c r="K32" s="41"/>
      <c r="L32" s="67"/>
      <c r="M32" s="33"/>
      <c r="N32" s="13"/>
      <c r="O32" s="13"/>
      <c r="P32" s="13"/>
      <c r="Q32" s="13"/>
      <c r="R32" s="13"/>
      <c r="S32" s="13"/>
      <c r="T32" s="13"/>
      <c r="U32" s="13"/>
      <c r="V32" s="13"/>
      <c r="W32" s="13"/>
      <c r="X32" s="13"/>
    </row>
    <row r="33" spans="5:24">
      <c r="E33" s="41" t="str">
        <f xml:space="preserve"> RAB!E$339</f>
        <v>Charge per service unit (RAB only) real for 10-year period</v>
      </c>
      <c r="F33" s="41">
        <f xml:space="preserve"> RAB!$F$339</f>
        <v>0.9607778614766711</v>
      </c>
      <c r="G33" s="41" t="str">
        <f xml:space="preserve"> RAB!G$339</f>
        <v>£( 2024 prices)</v>
      </c>
      <c r="H33" s="41"/>
      <c r="I33" s="41"/>
      <c r="J33" s="41"/>
      <c r="K33" s="41"/>
      <c r="L33" s="80"/>
      <c r="M33" s="41"/>
      <c r="N33" s="22"/>
      <c r="O33" s="22"/>
      <c r="P33" s="22"/>
      <c r="Q33" s="22"/>
      <c r="R33" s="22"/>
      <c r="S33" s="22"/>
      <c r="T33" s="22"/>
      <c r="U33" s="22"/>
      <c r="V33" s="22"/>
      <c r="W33" s="22"/>
      <c r="X33" s="22"/>
    </row>
    <row r="34" spans="5:24">
      <c r="E34" s="41" t="str">
        <f xml:space="preserve"> RAB!E$345</f>
        <v>Charge per flight (RAB only) real for 10-year period</v>
      </c>
      <c r="F34" s="41">
        <f xml:space="preserve"> RAB!$F$345</f>
        <v>4.8913176153431337</v>
      </c>
      <c r="G34" s="41" t="str">
        <f xml:space="preserve"> RAB!G$345</f>
        <v>£( 2024 prices)</v>
      </c>
      <c r="H34" s="34"/>
      <c r="I34" s="34"/>
      <c r="J34" s="34"/>
      <c r="K34" s="34"/>
      <c r="L34" s="80"/>
      <c r="M34" s="41"/>
      <c r="N34" s="22"/>
      <c r="O34" s="22"/>
      <c r="P34" s="22"/>
      <c r="Q34" s="22"/>
      <c r="R34" s="22"/>
      <c r="S34" s="22"/>
      <c r="T34" s="22"/>
      <c r="U34" s="22"/>
      <c r="V34" s="22"/>
      <c r="W34" s="22"/>
      <c r="X34" s="22"/>
    </row>
    <row r="35" spans="5:24">
      <c r="E35" s="41" t="str">
        <f xml:space="preserve"> RAB!E$351</f>
        <v>Charge per passenger (RAB only) real for 10-year period</v>
      </c>
      <c r="F35" s="41">
        <f xml:space="preserve"> RAB!$F$351</f>
        <v>3.7625520118024107E-2</v>
      </c>
      <c r="G35" s="41" t="str">
        <f xml:space="preserve"> RAB!G$351</f>
        <v>£( 2024 prices)</v>
      </c>
      <c r="L35" s="80"/>
      <c r="M35" s="41"/>
      <c r="N35" s="22"/>
      <c r="O35" s="22"/>
      <c r="P35" s="22"/>
      <c r="Q35" s="22"/>
      <c r="R35" s="22"/>
      <c r="S35" s="22"/>
      <c r="T35" s="22"/>
      <c r="U35" s="22"/>
      <c r="V35" s="22"/>
      <c r="W35" s="22"/>
      <c r="X35" s="22"/>
    </row>
    <row r="36" spans="5:24">
      <c r="E36" s="34" t="str">
        <f xml:space="preserve"> RAB!E$357</f>
        <v>Charge per SU (RAB only) as % of 2024 UK en route rate for 10-year period</v>
      </c>
      <c r="F36" s="34">
        <f xml:space="preserve"> RAB!$F$357</f>
        <v>1.2776301349423817E-2</v>
      </c>
      <c r="G36" s="34" t="str">
        <f xml:space="preserve"> RAB!G$357</f>
        <v>%</v>
      </c>
      <c r="L36" s="69"/>
      <c r="M36" s="34"/>
      <c r="N36" s="19"/>
      <c r="O36" s="19"/>
      <c r="P36" s="19"/>
      <c r="Q36" s="19"/>
      <c r="R36" s="19"/>
      <c r="S36" s="19"/>
      <c r="T36" s="19"/>
      <c r="U36" s="19"/>
      <c r="V36" s="19"/>
      <c r="W36" s="19"/>
      <c r="X36" s="19"/>
    </row>
    <row r="37" spans="5:24">
      <c r="E37" s="33" t="str">
        <f xml:space="preserve"> RAB!E$365</f>
        <v>Forecast Closing RAB for 10-year period only</v>
      </c>
      <c r="F37" s="33">
        <f xml:space="preserve"> RAB!F$365</f>
        <v>88348.842127089461</v>
      </c>
      <c r="G37" s="33" t="str">
        <f xml:space="preserve"> RAB!G$365</f>
        <v>£'000 (2024 prices)</v>
      </c>
      <c r="H37" s="33"/>
      <c r="I37" s="33"/>
      <c r="J37" s="33"/>
      <c r="K37" s="33"/>
      <c r="L37" s="67">
        <f xml:space="preserve"> RAB!L$365</f>
        <v>88348.842127089461</v>
      </c>
      <c r="M37" s="33">
        <f xml:space="preserve"> RAB!M$365</f>
        <v>0</v>
      </c>
      <c r="N37" s="13">
        <f xml:space="preserve"> RAB!N$365</f>
        <v>0</v>
      </c>
      <c r="O37" s="13">
        <f xml:space="preserve"> RAB!O$365</f>
        <v>0</v>
      </c>
      <c r="P37" s="13">
        <f xml:space="preserve"> RAB!P$365</f>
        <v>0</v>
      </c>
      <c r="Q37" s="13">
        <f xml:space="preserve"> RAB!Q$365</f>
        <v>0</v>
      </c>
      <c r="R37" s="13">
        <f xml:space="preserve"> RAB!R$365</f>
        <v>0</v>
      </c>
      <c r="S37" s="13">
        <f xml:space="preserve"> RAB!S$365</f>
        <v>0</v>
      </c>
      <c r="T37" s="13">
        <f xml:space="preserve"> RAB!T$365</f>
        <v>0</v>
      </c>
      <c r="U37" s="13">
        <f xml:space="preserve"> RAB!U$365</f>
        <v>0</v>
      </c>
      <c r="V37" s="13">
        <f xml:space="preserve"> RAB!V$365</f>
        <v>0</v>
      </c>
      <c r="W37" s="13">
        <f xml:space="preserve"> RAB!W$365</f>
        <v>0</v>
      </c>
      <c r="X37" s="13">
        <f xml:space="preserve"> RAB!X$365</f>
        <v>88348.842127089461</v>
      </c>
    </row>
  </sheetData>
  <pageMargins left="0.7" right="0.7" top="0.75" bottom="0.75" header="0.3" footer="0.3"/>
  <headerFooter>
    <oddHeader>&amp;C&amp;"Calibri"&amp;8&amp;K000000 OFFICIAL - Public. This information has been cleared for unrestricted distribution. &amp;1#_x000D_</oddHeader>
    <oddFooter>&amp;C_x000D_&amp;1#&amp;"Calibri"&amp;8&amp;K000000 OFFICIAL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0579850fabd4de2a8282f228563db32 xmlns="7c02c562-1e82-4d3d-bb6c-843c3e7142ca">
      <Terms xmlns="http://schemas.microsoft.com/office/infopath/2007/PartnerControls">
        <TermInfo xmlns="http://schemas.microsoft.com/office/infopath/2007/PartnerControls">
          <TermName xmlns="http://schemas.microsoft.com/office/infopath/2007/PartnerControls">Consumers and Markets</TermName>
          <TermId xmlns="http://schemas.microsoft.com/office/infopath/2007/PartnerControls">aaae88c1-0366-4a2a-8362-d7feeedf0c8e</TermId>
        </TermInfo>
      </Terms>
    </c0579850fabd4de2a8282f228563db32>
    <md537954de5d4799b31f8b38caab65fb xmlns="7c02c562-1e82-4d3d-bb6c-843c3e7142ca">
      <Terms xmlns="http://schemas.microsoft.com/office/infopath/2007/PartnerControls">
        <TermInfo xmlns="http://schemas.microsoft.com/office/infopath/2007/PartnerControls">
          <TermName xmlns="http://schemas.microsoft.com/office/infopath/2007/PartnerControls">Aviation Consumer Protection</TermName>
          <TermId xmlns="http://schemas.microsoft.com/office/infopath/2007/PartnerControls">ec17897e-028e-417d-afc9-b145dc8f0a0b</TermId>
        </TermInfo>
        <TermInfo xmlns="http://schemas.microsoft.com/office/infopath/2007/PartnerControls">
          <TermName xmlns="http://schemas.microsoft.com/office/infopath/2007/PartnerControls">Market and Performance Regulation</TermName>
          <TermId xmlns="http://schemas.microsoft.com/office/infopath/2007/PartnerControls">7c83a01d-94da-43c4-a6c6-f97ba212aa86</TermId>
        </TermInfo>
      </Terms>
    </md537954de5d4799b31f8b38caab65fb>
    <TaxCatchAll xmlns="7c02c562-1e82-4d3d-bb6c-843c3e7142ca">
      <Value>10</Value>
      <Value>2</Value>
      <Value>1</Value>
      <Value>3</Value>
    </TaxCatchAll>
    <obd7f88e7c304967bb7efaedae455aad xmlns="7c02c562-1e82-4d3d-bb6c-843c3e7142ca">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8f0ac385-1b1c-42dd-8d95-2d53389c5a43</TermId>
        </TermInfo>
      </Terms>
    </obd7f88e7c304967bb7efaedae455aad>
    <_dlc_DocId xmlns="7c02c562-1e82-4d3d-bb6c-843c3e7142ca">YDDR3SSRJYKD-1187335610-11055</_dlc_DocId>
    <_dlc_DocIdUrl xmlns="7c02c562-1e82-4d3d-bb6c-843c3e7142ca">
      <Url>https://caa.sharepoint.com/sites/consumers-and-markets-group/ercp/atm-regulation/_layouts/15/DocIdRedir.aspx?ID=YDDR3SSRJYKD-1187335610-11055</Url>
      <Description>YDDR3SSRJYKD-1187335610-11055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TM Regulation Project Finance Document" ma:contentTypeID="0x010100026BFE6A34D44FF09C8C098CCC1B744C009B8D996D0FD744A9A49CFBFA9017BD7300DCE6BBC719F04439B1E62E13E353A984005CBE5C5449DD8A44B4A6548A8E2D2E9F" ma:contentTypeVersion="1" ma:contentTypeDescription="Create a new document." ma:contentTypeScope="" ma:versionID="f46e77f0ae89084824d1a5e181d5bb38">
  <xsd:schema xmlns:xsd="http://www.w3.org/2001/XMLSchema" xmlns:xs="http://www.w3.org/2001/XMLSchema" xmlns:p="http://schemas.microsoft.com/office/2006/metadata/properties" xmlns:ns2="7c02c562-1e82-4d3d-bb6c-843c3e7142ca" targetNamespace="http://schemas.microsoft.com/office/2006/metadata/properties" ma:root="true" ma:fieldsID="11928b8a57ffaa568e669f7eab371ba2" ns2:_="">
    <xsd:import namespace="7c02c562-1e82-4d3d-bb6c-843c3e7142ca"/>
    <xsd:element name="properties">
      <xsd:complexType>
        <xsd:sequence>
          <xsd:element name="documentManagement">
            <xsd:complexType>
              <xsd:all>
                <xsd:element ref="ns2:obd7f88e7c304967bb7efaedae455aad" minOccurs="0"/>
                <xsd:element ref="ns2:TaxCatchAll" minOccurs="0"/>
                <xsd:element ref="ns2:TaxCatchAllLabel" minOccurs="0"/>
                <xsd:element ref="ns2:md537954de5d4799b31f8b38caab65fb" minOccurs="0"/>
                <xsd:element ref="ns2:c0579850fabd4de2a8282f228563db32"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2c562-1e82-4d3d-bb6c-843c3e7142ca" elementFormDefault="qualified">
    <xsd:import namespace="http://schemas.microsoft.com/office/2006/documentManagement/types"/>
    <xsd:import namespace="http://schemas.microsoft.com/office/infopath/2007/PartnerControls"/>
    <xsd:element name="obd7f88e7c304967bb7efaedae455aad" ma:index="8" ma:taxonomy="true" ma:internalName="obd7f88e7c304967bb7efaedae455aad" ma:taxonomyFieldName="CAAContentGroup" ma:displayName="Content Group" ma:fieldId="{8bd7f88e-7c30-4967-bb7e-faedae455aad}" ma:sspId="32b1b85a-9065-498a-a715-2e842cb76486" ma:termSetId="078a1673-67d9-42ad-9a0e-7f45c535eef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28361a6-fa2d-4f95-8851-bf529f68af46}" ma:internalName="TaxCatchAll" ma:showField="CatchAllData" ma:web="7c02c562-1e82-4d3d-bb6c-843c3e7142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28361a6-fa2d-4f95-8851-bf529f68af46}" ma:internalName="TaxCatchAllLabel" ma:readOnly="true" ma:showField="CatchAllDataLabel" ma:web="7c02c562-1e82-4d3d-bb6c-843c3e7142ca">
      <xsd:complexType>
        <xsd:complexContent>
          <xsd:extension base="dms:MultiChoiceLookup">
            <xsd:sequence>
              <xsd:element name="Value" type="dms:Lookup" maxOccurs="unbounded" minOccurs="0" nillable="true"/>
            </xsd:sequence>
          </xsd:extension>
        </xsd:complexContent>
      </xsd:complexType>
    </xsd:element>
    <xsd:element name="md537954de5d4799b31f8b38caab65fb" ma:index="12" ma:taxonomy="true" ma:internalName="md537954de5d4799b31f8b38caab65fb" ma:taxonomyFieldName="CAABusinessFunctions" ma:displayName="Business Functions" ma:fieldId="{6d537954-de5d-4799-b31f-8b38caab65fb}" ma:taxonomyMulti="true" ma:sspId="32b1b85a-9065-498a-a715-2e842cb76486" ma:termSetId="cf28a2d6-8bcd-450b-a49a-65779e58cd06" ma:anchorId="00000000-0000-0000-0000-000000000000" ma:open="false" ma:isKeyword="false">
      <xsd:complexType>
        <xsd:sequence>
          <xsd:element ref="pc:Terms" minOccurs="0" maxOccurs="1"/>
        </xsd:sequence>
      </xsd:complexType>
    </xsd:element>
    <xsd:element name="c0579850fabd4de2a8282f228563db32" ma:index="14" ma:taxonomy="true" ma:internalName="c0579850fabd4de2a8282f228563db32" ma:taxonomyFieldName="CAADepartments" ma:displayName="Departments" ma:fieldId="{c0579850-fabd-4de2-a828-2f228563db32}" ma:taxonomyMulti="true" ma:sspId="32b1b85a-9065-498a-a715-2e842cb76486" ma:termSetId="059fbec2-a57e-4088-9445-44d85639509f"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odelMaker><![CDATA[{
  "$id": "1",
  "$type": "ModelMaker.Models.Project, ModelMaker",
  "CanShowCompletionItems": true,
  "HistoricResults": null,
  "HasMultipleTimelines": false,
  "Dimensions": {
    "$type": "ModelMakerEngine.MMDimensions, ModelMakerEngine",
    "$values": [
      {
        "$id": "2",
        "$type": "ModelMakerEngine.MMDimension, ModelMakerEngine",
        "Elements": {
          "$type": "ModelMakerEngine.MMElements, ModelMakerEngine",
          "$values": [
            {
              "$id": "3",
              "$type": "ModelMakerEngine.MMElement, ModelMakerEngine",
              "Parent": {
                "$ref": "2"
              },
              "Name": "High"
            },
            {
              "$id": "4",
              "$type": "ModelMakerEngine.MMElement, ModelMakerEngine",
              "Parent": {
                "$ref": "2"
              },
              "Name": "Low"
            },
            {
              "$id": "5",
              "$type": "ModelMakerEngine.MMElement, ModelMakerEngine",
              "Parent": {
                "$ref": "2"
              },
              "Name": "Mid"
            }
          ]
        },
        "Name": "Cost of UKADS",
        "AlternativesOrSegments": 2,
        "ElementsAsInputs": false
      },
      {
        "$id": "6",
        "$type": "ModelMakerEngine.MMDimension, ModelMakerEngine",
        "Elements": {
          "$type": "ModelMakerEngine.MMElements, ModelMakerEngine",
          "$values": [
            {
              "$id": "7",
              "$type": "ModelMakerEngine.MMElement, ModelMakerEngine",
              "Parent": {
                "$ref": "6"
              },
              "Name": "High"
            },
            {
              "$id": "8",
              "$type": "ModelMakerEngine.MMElement, ModelMakerEngine",
              "Parent": {
                "$ref": "6"
              },
              "Name": "Low"
            },
            {
              "$id": "9",
              "$type": "ModelMakerEngine.MMElement, ModelMakerEngine",
              "Parent": {
                "$ref": "6"
              },
              "Name": "Mid"
            }
          ]
        },
        "Name": "Cost of UKADSF",
        "AlternativesOrSegments": 2,
        "ElementsAsInputs": false
      },
      {
        "$id": "10",
        "$type": "ModelMakerEngine.MMDimensionNumeric, ModelMakerEngine",
        "Elements": {
          "$type": "ModelMakerEngine.MMElements, ModelMakerEngine",
          "$values": [
            {
              "$id": "11",
              "$type": "ModelMakerEngine.MMElementNumeric, ModelMakerEngine",
              "NumericValue": 1,
              "Parent": {
                "$ref": "10"
              },
              "Name": "1"
            },
            {
              "$id": "12",
              "$type": "ModelMakerEngine.MMElementNumeric, ModelMakerEngine",
              "NumericValue": 2,
              "Parent": {
                "$ref": "10"
              },
              "Name": "2"
            },
            {
              "$id": "13",
              "$type": "ModelMakerEngine.MMElementNumeric, ModelMakerEngine",
              "NumericValue": 3,
              "Parent": {
                "$ref": "10"
              },
              "Name": "3"
            },
            {
              "$id": "14",
              "$type": "ModelMakerEngine.MMElementNumeric, ModelMakerEngine",
              "NumericValue": 4,
              "Parent": {
                "$ref": "10"
              },
              "Name": "4"
            },
            {
              "$id": "15",
              "$type": "ModelMakerEngine.MMElementNumeric, ModelMakerEngine",
              "NumericValue": 5,
              "Parent": {
                "$ref": "10"
              },
              "Name": "5"
            },
            {
              "$id": "16",
              "$type": "ModelMakerEngine.MMElementNumeric, ModelMakerEngine",
              "NumericValue": 6,
              "Parent": {
                "$ref": "10"
              },
              "Name": "6"
            },
            {
              "$id": "17",
              "$type": "ModelMakerEngine.MMElementNumeric, ModelMakerEngine",
              "NumericValue": 7,
              "Parent": {
                "$ref": "10"
              },
              "Name": "7"
            },
            {
              "$id": "18",
              "$type": "ModelMakerEngine.MMElementNumeric, ModelMakerEngine",
              "NumericValue": 8,
              "Parent": {
                "$ref": "10"
              },
              "Name": "8"
            },
            {
              "$id": "19",
              "$type": "ModelMakerEngine.MMElementNumeric, ModelMakerEngine",
              "NumericValue": 9,
              "Parent": {
                "$ref": "10"
              },
              "Name": "9"
            },
            {
              "$id": "20",
              "$type": "ModelMakerEngine.MMElementNumeric, ModelMakerEngine",
              "NumericValue": 10,
              "Parent": {
                "$ref": "10"
              },
              "Name": "10"
            },
            {
              "$id": "21",
              "$type": "ModelMakerEngine.MMElementNumeric, ModelMakerEngine",
              "NumericValue": 11,
              "Parent": {
                "$ref": "10"
              },
              "Name": "11"
            }
          ]
        },
        "Name": "RAB depreciation by Year",
        "AlternativesOrSegments": 2,
        "ElementsAsInputs": false
      }
    ]
  },
  "HasDimensions": true,
  "DefaultUnit": {
    "$id": "22",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FileVersion": 2,
  "FilePath": "C:\\Users\\omo.ugowe\\OneDrive - Civil Aviation Authority\\Desktop\\UKADSmodel\\Hassan\\OpexRABModel_8.obz",
  "Nodes": {
    "$type": "ModelMaker.Models.ProjectItemSet`1[[ModelMakerEngine.INode, ModelMakerEngine]], ModelMaker",
    "$values": [
      {
        "$id": "23",
        "$type": "ModelMaker.GroupNode, ModelMaker",
        "TabOrHeaderColour": "",
        "Comment": "",
        "NameOfGroup": null,
        "YPosition": 0,
        "Folded": false,
        "Font": null,
        "Children": {
          "$type": "ModelMaker.GroupNodeChildCollection, ModelMaker",
          "$values": []
        },
        "AllowAddChildren": true,
        "AllowRemoveChildren": true,
        "IsImported": false,
        "IsChecksGroup": false,
        "IsAlertsGroup": false,
        "IsChecksAndAlertsGroup": false,
        "IsUnallocatedGroup": true,
        "IsInputsGroup": false,
        "IsFlag": false,
        "IsTimeAndFlagsGroup": false,
        "DimensionsAcross": {
          "$type": "ModelMakerEngine.MMDimensions, ModelMakerEngine",
          "$values": []
        },
        "TimeAxis": 0,
        "IndexInParent": 0,
        "HasOneSheetPerElem": false,
        "OneSheetPerElem": null,
        "Name": "Unallocated",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false,
        "Issues": null
      },
      {
        "$id": "24",
        "$type": "ModelMaker.GroupNode, ModelMaker",
        "TabOrHeaderColour": "",
        "Comment": "",
        "NameOfGroup": null,
        "YPosition": 0,
        "Folded": false,
        "Font": null,
        "Children": {
          "$type": "ModelMaker.GroupNodeChildCollection, ModelMaker",
          "$values": [
            {
              "$id": "25",
              "$type": "ModelMaker.GroupNode, ModelMaker",
              "TabOrHeaderColour": "",
              "Comment": "",
              "NameOfGroup": "Inputs",
              "YPosition": 0,
              "Folded": false,
              "Font": null,
              "Children": {
                "$type": "ModelMaker.GroupNodeChildCollection, ModelMaker",
                "$values": [
                  {
                    "$id": "26",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9c3a6a5f-443d-4cfe-b32b-f8d670672043",
                    "Dimensions": {
                      "$type": "ModelMakerEngine.MMDimensions, ModelMakerEngine",
                      "$values": []
                    },
                    "EquationOBXInternal": "46022",
                    "NameOfGroup": "Time.2025 flag_1",
                    "EquationToParse": "46022",
                    "MostRecentExpectedUnitErrors": null,
                    "Units": {
                      "$id": "27",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2025 date",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8",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45c9277e-f32c-432a-932d-1be32e37cbe2",
                    "Dimensions": {
                      "$type": "ModelMakerEngine.MMDimensions, ModelMakerEngine",
                      "$values": []
                    },
                    "EquationOBXInternal": "46387",
                    "NameOfGroup": "Time.2026 flag_1",
                    "EquationToParse": "46387",
                    "MostRecentExpectedUnitErrors": null,
                    "Units": {
                      "$id": "29",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2026 date",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07ce6643-1111-477a-9344-b970338ab1a2",
                    "Dimensions": {
                      "$type": "ModelMakerEngine.MMDimensions, ModelMakerEngine",
                      "$values": []
                    },
                    "EquationOBXInternal": "47483",
                    "NameOfGroup": "Time.CPI Index forecast flag_1",
                    "EquationToParse": "47483",
                    "MostRecentExpectedUnitErrors": null,
                    "Units": {
                      "$id": "31",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CPI Index forecast beginning date",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Date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32",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f66f0097-2409-4a54-9e59-7f0cb319aab9",
              "Dimensions": {
                "$type": "ModelMakerEngine.MMDimensions, ModelMakerEngine",
                "$values": []
              },
              "EquationOBXInternal": "46722",
              "NameOfGroup": "Time.NR23 flag_1",
              "EquationToParse": "46722",
              "MostRecentExpectedUnitErrors": null,
              "Units": {
                "$id": "33",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NR23 beginning date",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c1bbe523-2bf8-42e7-bbc5-cf1768212c7a",
              "Dimensions": {
                "$type": "ModelMakerEngine.MMDimensions, ModelMakerEngine",
                "$values": []
              },
              "EquationOBXInternal": "46752",
              "NameOfGroup": "Inputs",
              "EquationToParse": "46752",
              "MostRecentExpectedUnitErrors": null,
              "Units": {
                "$id": "35",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NR23 specific date date",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6",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204910f7-e02f-43ed-b868-0117068f554c",
              "Dimensions": {
                "$type": "ModelMakerEngine.MMDimensions, ModelMakerEngine",
                "$values": []
              },
              "EquationOBXInternal": "49674",
              "NameOfGroup": "Time.NR33 (Closing RAB end date) flag_1",
              "EquationToParse": "49674",
              "MostRecentExpectedUnitErrors": null,
              "Units": {
                "$id": "37",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NR33 (Closing RAB end date) date",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8",
              "$type": "ModelMaker.GroupNode, ModelMaker",
              "TabOrHeaderColour": "",
              "Comment": "",
              "NameOfGroup": "Inputs",
              "YPosition": 4,
              "Folded": false,
              "Font": null,
              "Children": {
                "$type": "ModelMaker.GroupNodeChildCollection, ModelMaker",
                "$values": [
                  {
                    "$id": "3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false,
                    "Comment": "",
                    "HasSwitchSignLine": false,
                    "SwitchSignForReport": false,
                    "MultipleInputValues": null,
                    "NonPrimaryInput": false,
                    "Max": "NaN",
                    "Min": "NaN",
                    "IsBalanceButNotCorkscrew": false,
                    "IsEditable": true,
                    "IsConstant": true,
                    "UniqueID": "2fb4d7eb-82d3-4825-9091-89fd47f680af",
                    "Dimensions": {
                      "$type": "ModelMakerEngine.MMDimensions, ModelMakerEngine",
                      "$values": []
                    },
                    "EquationOBXInternal": "45658",
                    "NameOfGroup": "Inputs",
                    "EquationToParse": "45658",
                    "MostRecentExpectedUnitErrors": null,
                    "Units": {
                      "$id": "40",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Start date",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7,
                    "IsStandardNode": true,
                    "WarnMessage": null,
                    "HasStandardDescription": false,
                    "HasStandardName": tru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false,
                    "Comment": "",
                    "HasSwitchSignLine": false,
                    "SwitchSignForReport": false,
                    "MultipleInputValues": null,
                    "NonPrimaryInput": false,
                    "Max": "NaN",
                    "Min": "NaN",
                    "IsBalanceButNotCorkscrew": false,
                    "IsEditable": true,
                    "IsConstant": true,
                    "UniqueID": "514237f3-0502-46ca-8827-0641dc29d210",
                    "Dimensions": {
                      "$type": "ModelMakerEngine.MMDimensions, ModelMakerEngine",
                      "$values": []
                    },
                    "EquationOBXInternal": "12",
                    "NameOfGroup": "Inputs",
                    "EquationToParse": "12",
                    "MostRecentExpectedUnitErrors": null,
                    "Units": {
                      "$id": "42",
                      "$type": "ModelMaker.Unit, ModelMaker",
                      "DefaultNumberFormat": 5,
                      "NumberFormatOverride": null,
                      "MatchAnything": false,
                      "ExternalRepresentation": "Months",
                      "ItemsOnTop": {
                        "$type": "System.Collections.Generic.List`1[[System.String, mscorlib]], mscorlib",
                        "$values": [
                          "month"
                        ]
                      },
                      "ItemsOnBottom": {
                        "$type": "System.Collections.Generic.List`1[[System.String, mscorlib]], mscorlib",
                        "$values": []
                      },
                      "IsCurrency": false,
                      "ContainsSMU": false,
                      "IsDimensionless": false,
                      "InsertRowTotal": true,
                      "IgnoreWhenDeterminingExpectedUnits": false
                    },
                    "Name": "Months per period",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11,
                    "IsStandardNode": true,
                    "WarnMessage": null,
                    "HasStandardDescription": false,
                    "HasStandardName": tru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false,
                    "Comment": "",
                    "HasSwitchSignLine": false,
                    "SwitchSignForReport": false,
                    "MultipleInputValues": null,
                    "NonPrimaryInput": false,
                    "Max": "NaN",
                    "Min": "NaN",
                    "IsBalanceButNotCorkscrew": false,
                    "IsEditable": true,
                    "IsConstant": true,
                    "UniqueID": "39633169-149f-459c-8d60-e06ea1358e2f",
                    "Dimensions": {
                      "$type": "ModelMakerEngine.MMDimensions, ModelMakerEngine",
                      "$values": []
                    },
                    "EquationOBXInternal": "12",
                    "NameOfGroup": "Inputs",
                    "EquationToParse": "12",
                    "MostRecentExpectedUnitErrors": null,
                    "Units": {
                      "$id": "44",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Financial year end month",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6,
                    "IsStandardNode": true,
                    "WarnMessage": null,
                    "HasStandardDescription": false,
                    "HasStandardName": tru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Header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45",
              "$type": "ModelMaker.GroupNode, ModelMaker",
              "TabOrHeaderColour": "",
              "Comment": "",
              "NameOfGroup": "Inputs",
              "YPosition": 5,
              "Folded": false,
              "Font": null,
              "Children": {
                "$type": "ModelMaker.GroupNodeChildCollection, ModelMaker",
                "$values": [
                  {
                    "$id": "46",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cc9cd41f-ae6f-40bd-8618-20c54fbcaf34",
                    "Dimensions": {
                      "$type": "ModelMakerEngine.MMDimensions, ModelMakerEngine",
                      "$values": []
                    },
                    "EquationOBXInternal": "2.26%\r\n",
                    "NameOfGroup": "Unallocated",
                    "EquationToParse": "2.26%\r\n",
                    "MostRecentExpectedUnitErrors": null,
                    "Units": {
                      "$id": "47",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Real Return",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8",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f15faa3e-25bb-4035-b9a5-a5c81e1504b6",
                    "Dimensions": {
                      "$type": "ModelMakerEngine.MMDimensions, ModelMakerEngine",
                      "$values": []
                    },
                    "EquationOBXInternal": "46022",
                    "NameOfGroup": "Time.NR23 flag_1",
                    "EquationToParse": "46022",
                    "MostRecentExpectedUnitErrors": null,
                    "Units": {
                      "$id": "49",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NR23 end date",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5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ad970205-75f0-4528-90d5-870f8b375761",
                    "Dimensions": {
                      "$type": "ModelMakerEngine.MMDimensions, ModelMakerEngine",
                      "$values": []
                    },
                    "EquationOBXInternal": "2",
                    "NameOfGroup": "Inputs.Model Constants",
                    "EquationToParse": "2",
                    "MostRecentExpectedUnitErrors": null,
                    "Units": {
                      "$id": "51",
                      "$type": "ModelMaker.Unit, ModelMaker",
                      "DefaultNumberFormat": 3,
                      "NumberFormatOverride": null,
                      "MatchAnything": false,
                      "ExternalRepresentation": "factor",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factor dividing the determined costs for 2026 and 2027",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52",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true,
                    "UniqueID": "b368d4d6-5167-4ef7-bd77-be0c1b2ff782",
                    "Dimensions": {
                      "$type": "ModelMakerEngine.MMDimensions, ModelMakerEngine",
                      "$values": []
                    },
                    "EquationOBXInternal": "25%\r\n",
                    "NameOfGroup": "Unallocated",
                    "EquationToParse": "25%\r\n",
                    "MostRecentExpectedUnitErrors": null,
                    "Units": {
                      "$ref": "22"
                    },
                    "Name": "UK corporation tax rate",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5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bae53e55-2ab9-4166-8d86-d975360dcb28",
                    "Dimensions": {
                      "$type": "ModelMakerEngine.MMDimensions, ModelMakerEngine",
                      "$values": []
                    },
                    "EquationOBXInternal": "10",
                    "NameOfGroup": "Unallocated",
                    "EquationToParse": "10",
                    "MostRecentExpectedUnitErrors": null,
                    "Units": {
                      "$id": "54",
                      "$type": "ModelMaker.Unit, ModelMaker",
                      "DefaultNumberFormat": 5,
                      "NumberFormatOverride": null,
                      "MatchAnything": false,
                      "ExternalRepresentation": "years",
                      "ItemsOnTop": {
                        "$type": "System.Collections.Generic.List`1[[System.String, mscorlib]], mscorlib",
                        "$values": [
                          "year"
                        ]
                      },
                      "ItemsOnBottom": {
                        "$type": "System.Collections.Generic.List`1[[System.String, mscorlib]], mscorlib",
                        "$values": []
                      },
                      "IsCurrency": false,
                      "ContainsSMU": false,
                      "IsDimensionless": false,
                      "InsertRowTotal": true,
                      "IgnoreWhenDeterminingExpectedUnits": false
                    },
                    "Name": "Assumed asset life for depreciation",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55",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true,
                    "UniqueID": "ee7fd92f-d9e0-4d7e-a3ce-a8cec1c382fb",
                    "Dimensions": {
                      "$type": "ModelMakerEngine.MMDimensions, ModelMakerEngine",
                      "$values": []
                    },
                    "EquationOBXInternal": "100%",
                    "NameOfGroup": "Unallocated",
                    "EquationToParse": "100%",
                    "MostRecentExpectedUnitErrors": null,
                    "Units": {
                      "$id": "56",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Proportion of first year RAB additions in depreciation",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5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b9ef8ac8-cfcf-43ab-992d-aca56aa4c02c",
                    "Dimensions": {
                      "$type": "ModelMakerEngine.MMDimensions, ModelMakerEngine",
                      "$values": []
                    },
                    "EquationOBXInternal": "1.02",
                    "NameOfGroup": "Inputs.Model Constants",
                    "EquationToParse": "1.02",
                    "MostRecentExpectedUnitErrors": null,
                    "Units": {
                      "$id": "58",
                      "$type": "ModelMaker.Unit, ModelMaker",
                      "DefaultNumberFormat": 3,
                      "NumberFormatOverride": null,
                      "MatchAnything": false,
                      "ExternalRepresentation": "factor",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Forecast CPI  growth from 2030",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5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309f93bd-8fd0-43c0-a866-4d7601cbef5a",
                    "Dimensions": {
                      "$type": "ModelMakerEngine.MMDimensions, ModelMakerEngine",
                      "$values": []
                    },
                    "EquationOBXInternal": "133.853166666667",
                    "NameOfGroup": "Unallocated",
                    "EquationToParse": "133.853166666667",
                    "MostRecentExpectedUnitErrors": null,
                    "Units": {
                      "$id": "60",
                      "$type": "ModelMaker.Unit, ModelMaker",
                      "DefaultNumberFormat": 5,
                      "NumberFormatOverride": null,
                      "MatchAnything": false,
                      "ExternalRepresentation": "index (2015=100)",
                      "ItemsOnTop": {
                        "$type": "System.Collections.Generic.List`1[[System.String, mscorlib]], mscorlib",
                        "$values": [
                          "index (2015=100"
                        ]
                      },
                      "ItemsOnBottom": {
                        "$type": "System.Collections.Generic.List`1[[System.String, mscorlib]], mscorlib",
                        "$values": []
                      },
                      "IsCurrency": false,
                      "ContainsSMU": false,
                      "IsDimensionless": false,
                      "InsertRowTotal": true,
                      "IgnoreWhenDeterminingExpectedUnits": false
                    },
                    "Name": "CPI Index 2024",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7,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6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8be8660d-e81b-4cfa-aea1-2063a3042d57",
                    "Dimensions": {
                      "$type": "ModelMakerEngine.MMDimensions, ModelMakerEngine",
                      "$values": []
                    },
                    "EquationOBXInternal": "1%",
                    "NameOfGroup": "Inputs",
                    "EquationToParse": "1%",
                    "MostRecentExpectedUnitErrors": null,
                    "Units": {
                      "$id": "62",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Operating Margin for Opex",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8,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6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465a5f8b-dfc8-4422-8afc-0423d59f2a64",
                    "Dimensions": {
                      "$type": "ModelMakerEngine.MMDimensions, ModelMakerEngine",
                      "$values": []
                    },
                    "EquationOBXInternal": "1%",
                    "NameOfGroup": "Inputs.Model Constants",
                    "EquationToParse": "1%",
                    "MostRecentExpectedUnitErrors": null,
                    "Units": {
                      "$id": "64",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Operating Margin for RAB",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9,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6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5716ae85-307b-4344-9a67-c8506f0f2cf5",
                    "Dimensions": {
                      "$type": "ModelMakerEngine.MMDimensions, ModelMakerEngine",
                      "$values": []
                    },
                    "EquationOBXInternal": "130",
                    "NameOfGroup": "Inputs.Model Constants",
                    "EquationToParse": "130",
                    "MostRecentExpectedUnitErrors": null,
                    "Units": {
                      "$id": "66",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Passengers (PAX) per flight",
                    "ReportLines": {
                      "$type": "ModelMaker.UndoableCollection`1[[ModelMakerEngine.IReportLine, ModelMakerEngine]], ModelMaker.Undo",
                      "$values": [
                        {
                          "$id": "67",
                          "$type": "ModelMaker.ReportLine, ModelMaker",
                          "AssociatedSchematicNode": {
                            "$ref": "65"
                          },
                          "OpeningBalanceFlagAppliedName": "",
                          "SumOfAboveIncludesPreviousTotal": false,
                          "LastNameUsed": null,
                          "SwitchSignForReport": false,
                          "IsSumOfAbove": false,
                          "PreferredName": "Passengers (PAX) per flight",
                          "ParentReport": {
                            "$id": "68",
                            "$type": "ModelMaker.Report, ModelMaker",
                            "TimeStep": 8,
                            "YearEndBasis": 1002,
                            "TimeStepYearEndBasisPairs": {
                              "$type": "ModelMaker.UndoableCollection`1[[ModelMakerEngine.TimeStepPeriodEndBasisPair, ModelMakerEngine]], ModelMaker.Undo",
                              "$values": [
                                {
                                  "$id": "69",
                                  "$type": "ModelMakerEngine.TimeStepPeriodEndBasisPair, ModelMakerEngine",
                                  "TimeStep": 8,
                                  "YearEnd": 1002
                                }
                              ]
                            },
                            "YearEndMonth": 0,
                            "AllowTitleChange": true,
                            "IsDuplicate": false,
                            "Title": "Operating Cost + Margin Report",
                            "ReportLinesCalculated": {
                              "$type": "System.Collections.Generic.List`1[[ModelMakerEngine.IReportLine, ModelMakerEngine]], mscorlib",
                              "$values": []
                            },
                            "ReportLines": {
                              "$type": "ModelMaker.UndoableCollection`1[[ModelMakerEngine.IReportLine, ModelMakerEngine]], ModelMaker.Undo",
                              "$values": [
                                {
                                  "$id": "70",
                                  "$type": "ModelMaker.ReportLine, ModelMaker",
                                  "AssociatedSchematicNode": {
                                    "$id": "7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e63b925c-ba50-4814-b40f-cc0705862c49",
                                    "Dimensions": {
                                      "$type": "ModelMakerEngine.MMDimensions, ModelMakerEngine",
                                      "$values": []
                                    },
                                    "EquationOBXInternal": "[Determined costs real from 2026]*([CPI Index Forecast (Calculations)]/[CPI Index 2024])",
                                    "NameOfGroup": "Cost+ Operating Margin",
                                    "EquationToParse": "[Determined costs real from 2026]*([CPI Index Forecast (Calculations)]/[CPI Index 2024])",
                                    "MostRecentExpectedUnitErrors": null,
                                    "Units": {
                                      "$id": "72",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Determined Cost nominal from 2026",
                                    "ReportLines": {
                                      "$type": "ModelMaker.UndoableCollection`1[[ModelMakerEngine.IReportLine, ModelMakerEngine]], ModelMaker.Undo",
                                      "$values": [
                                        {
                                          "$ref": "70"
                                        }
                                      ]
                                    },
                                    "IsOpeningBalance": false,
                                    "ExternalLinks": {
                                      "$type": "UINext.Collections.DeepObservableCollection`1[[ExternalLinks.IExternalDataLink, ExternalLinks]], UINext",
                                      "$values": []
                                    },
                                    "HasUnits": true,
                                    "UnitsValid": false,
                                    "UnitsErrorMessage": "Units should be £'000 (2024 prices/index (2015=100,  but they are £'000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etermined Cost nominal from 2026",
                                  "ParentReport": {
                                    "$ref": "68"
                                  },
                                  "HeadingLevel": 0,
                                  "ReportFormatName": null,
                                  "ReportFormatColor": null,
                                  "YPosition": -1,
                                  "Visible": true,
                                  "Font": null,
                                  "AllowIncomingLinks": true,
                                  "AllowOutgoingLinks": true,
                                  "Deletable": true,
                                  "Issues": null
                                },
                                {
                                  "$id": "73",
                                  "$type": "ModelMaker.ReportLine, ModelMaker",
                                  "AssociatedSchematicNode": {
                                    "$id": "7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9c418b6c-68f1-4dc2-bbaf-10101c276ca6",
                                    "Dimensions": {
                                      "$type": "ModelMakerEngine.MMDimensions, ModelMakerEngine",
                                      "$values": []
                                    },
                                    "EquationOBXInternal": "[Determined Cost nominal from 2026]/[Service Units]",
                                    "NameOfGroup": "Opex Model",
                                    "EquationToParse": "[Determined Cost nominal from 2026]/[Service Units]",
                                    "MostRecentExpectedUnitErrors": null,
                                    "Units": {
                                      "$id": "75",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SU nominal from 2026",
                                    "ReportLines": {
                                      "$type": "ModelMaker.UndoableCollection`1[[ModelMakerEngine.IReportLine, ModelMakerEngine]], ModelMaker.Undo",
                                      "$values": [
                                        {
                                          "$ref": "73"
                                        }
                                      ]
                                    },
                                    "IsOpeningBalance": false,
                                    "ExternalLinks": {
                                      "$type": "UINext.Collections.DeepObservableCollection`1[[ExternalLinks.IExternalDataLink, ExternalLinks]], UINext",
                                      "$values": []
                                    },
                                    "HasUnits": true,
                                    "UnitsValid": false,
                                    "UnitsErrorMessage": "Units should be £'000 nominal/'000,  but they are £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C per SU nominal from 2026",
                                  "ParentReport": {
                                    "$ref": "68"
                                  },
                                  "HeadingLevel": 0,
                                  "ReportFormatName": null,
                                  "ReportFormatColor": null,
                                  "YPosition": -1,
                                  "Visible": true,
                                  "Font": null,
                                  "AllowIncomingLinks": true,
                                  "AllowOutgoingLinks": true,
                                  "Deletable": true,
                                  "Issues": null
                                },
                                {
                                  "$id": "76",
                                  "$type": "ModelMaker.ReportLine, ModelMaker",
                                  "AssociatedSchematicNode": {
                                    "$id": "7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41e88b1c-235b-4bb8-b8cf-2f12d88cae2a",
                                    "Dimensions": {
                                      "$type": "ModelMakerEngine.MMDimensions, ModelMakerEngine",
                                      "$values": []
                                    },
                                    "EquationOBXInternal": "[Determined Cost nominal from 2026]/[Flights]",
                                    "NameOfGroup": "Opex Model",
                                    "EquationToParse": "[Determined Cost nominal from 2026]/[Flights]",
                                    "MostRecentExpectedUnitErrors": null,
                                    "Units": {
                                      "$id": "78",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flight nominal from 2026",
                                    "ReportLines": {
                                      "$type": "ModelMaker.UndoableCollection`1[[ModelMakerEngine.IReportLine, ModelMakerEngine]], ModelMaker.Undo",
                                      "$values": [
                                        {
                                          "$ref": "76"
                                        }
                                      ]
                                    },
                                    "IsOpeningBalance": false,
                                    "ExternalLinks": {
                                      "$type": "UINext.Collections.DeepObservableCollection`1[[ExternalLinks.IExternalDataLink, ExternalLinks]], UINext",
                                      "$values": []
                                    },
                                    "HasUnits": true,
                                    "UnitsValid": false,
                                    "UnitsErrorMessage": "Units should be £'000 nominal/'000,  but they are £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C per flight nominal from 2026",
                                  "ParentReport": {
                                    "$ref": "68"
                                  },
                                  "HeadingLevel": 0,
                                  "ReportFormatName": null,
                                  "ReportFormatColor": null,
                                  "YPosition": -1,
                                  "Visible": true,
                                  "Font": null,
                                  "AllowIncomingLinks": true,
                                  "AllowOutgoingLinks": true,
                                  "Deletable": true,
                                  "Issues": null
                                },
                                {
                                  "$id": "79",
                                  "$type": "ModelMaker.ReportLine, ModelMaker",
                                  "AssociatedSchematicNode": {
                                    "$id": "8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b6b6c658-0a7b-436d-95dc-d8bb951b4456",
                                    "Dimensions": {
                                      "$type": "ModelMakerEngine.MMDimensions, ModelMakerEngine",
                                      "$values": []
                                    },
                                    "EquationOBXInternal": "[Determined costs real for 2026 only]+[Initial Calculations Determined Cost Real from 2026]",
                                    "NameOfGroup": "Cost+ Operating Margin",
                                    "EquationToParse": "[Determined costs real for 2026 only]+[Initial Calculations Determined Cost Real from 2026]",
                                    "MostRecentExpectedUnitErrors": null,
                                    "Units": {
                                      "$id": "81",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s real from 2026",
                                    "ReportLines": {
                                      "$type": "ModelMaker.UndoableCollection`1[[ModelMakerEngine.IReportLine, ModelMakerEngine]], ModelMaker.Undo",
                                      "$values": [
                                        {
                                          "$ref": "79"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7,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etermined costs real from 2026",
                                  "ParentReport": {
                                    "$ref": "68"
                                  },
                                  "HeadingLevel": 0,
                                  "ReportFormatName": null,
                                  "ReportFormatColor": null,
                                  "YPosition": -1,
                                  "Visible": true,
                                  "Font": null,
                                  "AllowIncomingLinks": true,
                                  "AllowOutgoingLinks": true,
                                  "Deletable": true,
                                  "Issues": null
                                },
                                {
                                  "$id": "82",
                                  "$type": "ModelMaker.ReportLine, ModelMaker",
                                  "AssociatedSchematicNode": {
                                    "$id": "8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ffac266e-a841-4938-8569-fb86c972eeee",
                                    "Dimensions": {
                                      "$type": "ModelMakerEngine.MMDimensions, ModelMakerEngine",
                                      "$values": []
                                    },
                                    "EquationOBXInternal": "[Determined costs real from 2026]/[Flights]",
                                    "NameOfGroup": "Cost+ Operating Margin",
                                    "EquationToParse": "[Determined costs real from 2026]/[Flights]",
                                    "MostRecentExpectedUnitErrors": null,
                                    "Units": {
                                      "$id": "84",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flight real from 2026",
                                    "ReportLines": {
                                      "$type": "ModelMaker.UndoableCollection`1[[ModelMakerEngine.IReportLine, ModelMakerEngine]], ModelMaker.Undo",
                                      "$values": [
                                        {
                                          "$ref": "76"
                                        },
                                        {
                                          "$ref": "82"
                                        }
                                      ]
                                    },
                                    "IsOpeningBalance": false,
                                    "ExternalLinks": {
                                      "$type": "UINext.Collections.DeepObservableCollection`1[[ExternalLinks.IExternalDataLink, ExternalLinks]], UINext",
                                      "$values": []
                                    },
                                    "HasUnits": true,
                                    "UnitsValid": false,
                                    "UnitsErrorMessage": "Units should be £'000 (2024 prices/'000,  but they are £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8,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C per flight real from 2026",
                                  "ParentReport": {
                                    "$ref": "68"
                                  },
                                  "HeadingLevel": 0,
                                  "ReportFormatName": null,
                                  "ReportFormatColor": null,
                                  "YPosition": -1,
                                  "Visible": true,
                                  "Font": null,
                                  "AllowIncomingLinks": true,
                                  "AllowOutgoingLinks": true,
                                  "Deletable": true,
                                  "Issues": null
                                },
                                {
                                  "$id": "85",
                                  "$type": "ModelMaker.ReportLine, ModelMaker",
                                  "AssociatedSchematicNode": {
                                    "$id": "86",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36bdfa5a-10d6-4908-aab6-10ca5b982696",
                                    "Dimensions": {
                                      "$type": "ModelMakerEngine.MMDimensions, ModelMakerEngine",
                                      "$values": []
                                    },
                                    "EquationOBXInternal": "[Determined costs real from 2026]/[Service Units]",
                                    "NameOfGroup": "Cost+ Operating Margin",
                                    "EquationToParse": "[Determined costs real from 2026]/[Service Units]",
                                    "MostRecentExpectedUnitErrors": null,
                                    "Units": {
                                      "$id": "87",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DC per SU real from 2026",
                                    "ReportLines": {
                                      "$type": "ModelMaker.UndoableCollection`1[[ModelMakerEngine.IReportLine, ModelMakerEngine]], ModelMaker.Undo",
                                      "$values": [
                                        {
                                          "$ref": "73"
                                        },
                                        {
                                          "$ref": "85"
                                        }
                                      ]
                                    },
                                    "IsOpeningBalance": false,
                                    "ExternalLinks": {
                                      "$type": "UINext.Collections.DeepObservableCollection`1[[ExternalLinks.IExternalDataLink, ExternalLinks]], UINext",
                                      "$values": []
                                    },
                                    "HasUnits": true,
                                    "UnitsValid": false,
                                    "UnitsErrorMessage": "Units should be £'000 (2024 prices/'000,  but they are £(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9,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C per SU real from 2026",
                                  "ParentReport": {
                                    "$ref": "68"
                                  },
                                  "HeadingLevel": 0,
                                  "ReportFormatName": null,
                                  "ReportFormatColor": null,
                                  "YPosition": -1,
                                  "Visible": true,
                                  "Font": null,
                                  "AllowIncomingLinks": true,
                                  "AllowOutgoingLinks": true,
                                  "Deletable": true,
                                  "Issues": null
                                },
                                {
                                  "$id": "88",
                                  "$type": "ModelMaker.ReportLine, ModelMaker",
                                  "AssociatedSchematicNode": {
                                    "$id": "8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8bd8b7f0-83fe-430f-985b-e5a750376e27",
                                    "Dimensions": {
                                      "$type": "ModelMakerEngine.MMDimensions, ModelMakerEngine",
                                      "$values": []
                                    },
                                    "EquationOBXInternal": "[DC per flight Opex real prelim model]/[Passengers (PAX) per flight]",
                                    "NameOfGroup": "Cost+ Operating Margin",
                                    "EquationToParse": "[DC per flight Opex real prelim model]/[Passengers (PAX) per flight]",
                                    "MostRecentExpectedUnitErrors": null,
                                    "Units": {
                                      "$id": "90",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Charge per pax (Cost+Operating Margin only)",
                                    "ReportLines": {
                                      "$type": "ModelMaker.UndoableCollection`1[[ModelMakerEngine.IReportLine, ModelMakerEngine]], ModelMaker.Undo",
                                      "$values": [
                                        {
                                          "$ref": "88"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pax (Cost+Operating Margin only)",
                                  "ParentReport": {
                                    "$ref": "68"
                                  },
                                  "HeadingLevel": 0,
                                  "ReportFormatName": null,
                                  "ReportFormatColor": null,
                                  "YPosition": -1,
                                  "Visible": true,
                                  "Font": null,
                                  "AllowIncomingLinks": true,
                                  "AllowOutgoingLinks": true,
                                  "Deletable": true,
                                  "Issues": null
                                },
                                {
                                  "$id": "91",
                                  "$type": "ModelMaker.ReportLine, ModelMaker",
                                  "AssociatedSchematicNode": {
                                    "$id": "92",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f8f5035b-28b7-4e1c-b41d-123db147322f",
                                    "Dimensions": {
                                      "$type": "ModelMakerEngine.MMDimensions, ModelMakerEngine",
                                      "$values": []
                                    },
                                    "EquationOBXInternal": "[DC per SU real from 2026]/[UK en-route rate]",
                                    "NameOfGroup": "Cost+ Operating Margin",
                                    "EquationToParse": "[DC per SU real from 2026]/[UK en-route rate]",
                                    "MostRecentExpectedUnitErrors": null,
                                    "Units": {
                                      "$id": "93",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Charge as a % of UK en route rate real (Operating Cost+Margin only)",
                                    "ReportLines": {
                                      "$type": "ModelMaker.UndoableCollection`1[[ModelMakerEngine.IReportLine, ModelMakerEngine]], ModelMaker.Undo",
                                      "$values": [
                                        {
                                          "$ref": "91"
                                        }
                                      ]
                                    },
                                    "IsOpeningBalance": false,
                                    "ExternalLinks": {
                                      "$type": "UINext.Collections.DeepObservableCollection`1[[ExternalLinks.IExternalDataLink, ExternalLinks]], UINext",
                                      "$values": []
                                    },
                                    "HasUnits": true,
                                    "UnitsValid": false,
                                    "UnitsErrorMessage": "Units should be £( 2024 prices/£ real,  but they ar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as a % of UK en route rate real (Operating Cost+Margin only)",
                                  "ParentReport": {
                                    "$ref": "68"
                                  },
                                  "HeadingLevel": 0,
                                  "ReportFormatName": null,
                                  "ReportFormatColor": null,
                                  "YPosition": -1,
                                  "Visible": true,
                                  "Font": null,
                                  "AllowIncomingLinks": true,
                                  "AllowOutgoingLinks": true,
                                  "Deletable": true,
                                  "Issues": null
                                },
                                {
                                  "$id": "94",
                                  "$type": "ModelMaker.ReportLine, ModelMaker",
                                  "AssociatedSchematicNode": {
                                    "$id": "9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d6f62840-1bc2-4c8f-b78f-c74657d97001",
                                    "Dimensions": {
                                      "$type": "ModelMakerEngine.MMDimensions, ModelMakerEngine",
                                      "$values": []
                                    },
                                    "EquationOBXInternal": "NPV([Real Social Time Preference Rate],ALLVALUES([Determined costs real from 2026]))",
                                    "NameOfGroup": "Cost+ Operating Margin",
                                    "EquationToParse": "NPV([Real Social Time Preference Rate],ALLVALUES([Determined costs real from 2026]))",
                                    "MostRecentExpectedUnitErrors": null,
                                    "Units": {
                                      "$id": "96",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NPV Operating cost + Margin",
                                    "ReportLines": {
                                      "$type": "ModelMaker.UndoableCollection`1[[ModelMakerEngine.IReportLine, ModelMakerEngine]], ModelMaker.Undo",
                                      "$values": [
                                        {
                                          "$ref": "94"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NPV Operating cost + Margin",
                                  "ParentReport": {
                                    "$ref": "68"
                                  },
                                  "HeadingLevel": 0,
                                  "ReportFormatName": null,
                                  "ReportFormatColor": null,
                                  "YPosition": -1,
                                  "Visible": true,
                                  "Font": null,
                                  "AllowIncomingLinks": true,
                                  "AllowOutgoingLinks": true,
                                  "Deletable": true,
                                  "Issues": null
                                },
                                {
                                  "$id": "97",
                                  "$type": "ModelMaker.ReportLine, ModelMaker",
                                  "AssociatedSchematicNode": {
                                    "$id": "98",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002c77b3-1687-4022-b078-eecfb92961e7",
                                    "Dimensions": {
                                      "$type": "ModelMakerEngine.MMDimensions, ModelMakerEngine",
                                      "$values": []
                                    },
                                    "EquationOBXInternal": "SUM(ALLVALUES([Estimated annual costs of providing the UKADS and the Support Fund NR23]))",
                                    "NameOfGroup": "Scenarios Chosen",
                                    "EquationToParse": "SUM(ALLVALUES([Estimated annual costs of providing the UKADS and the Support Fund NR23]))",
                                    "MostRecentExpectedUnitErrors": null,
                                    "Units": {
                                      "$id": "99",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Estimated total cost of providing the UKADS and the Support Fund NR23",
                                    "ReportLines": {
                                      "$type": "ModelMaker.UndoableCollection`1[[ModelMakerEngine.IReportLine, ModelMakerEngine]], ModelMaker.Undo",
                                      "$values": [
                                        {
                                          "$ref": "97"
                                        },
                                        {
                                          "$id": "100",
                                          "$type": "ModelMaker.ReportLine, ModelMaker",
                                          "AssociatedSchematicNode": {
                                            "$ref": "98"
                                          },
                                          "OpeningBalanceFlagAppliedName": "",
                                          "SumOfAboveIncludesPreviousTotal": false,
                                          "LastNameUsed": null,
                                          "SwitchSignForReport": false,
                                          "IsSumOfAbove": false,
                                          "PreferredName": "Estimated total cost of providing the UKADS and the Support Fund NR23",
                                          "ParentReport": {
                                            "$id": "101",
                                            "$type": "ModelMaker.Report, ModelMaker",
                                            "TimeStep": 8,
                                            "YearEndBasis": 1002,
                                            "TimeStepYearEndBasisPairs": {
                                              "$type": "ModelMaker.UndoableCollection`1[[ModelMakerEngine.TimeStepPeriodEndBasisPair, ModelMakerEngine]], ModelMaker.Undo",
                                              "$values": [
                                                {
                                                  "$id": "102",
                                                  "$type": "ModelMakerEngine.TimeStepPeriodEndBasisPair, ModelMakerEngine",
                                                  "TimeStep": 8,
                                                  "YearEnd": 1002
                                                }
                                              ]
                                            },
                                            "YearEndMonth": 0,
                                            "AllowTitleChange": true,
                                            "IsDuplicate": false,
                                            "Title": "RAB model Report",
                                            "ReportLinesCalculated": {
                                              "$type": "System.Collections.Generic.List`1[[ModelMakerEngine.IReportLine, ModelMakerEngine]], mscorlib",
                                              "$values": []
                                            },
                                            "ReportLines": {
                                              "$type": "ModelMaker.UndoableCollection`1[[ModelMakerEngine.IReportLine, ModelMakerEngine]], ModelMaker.Undo",
                                              "$values": [
                                                {
                                                  "$id": "103",
                                                  "$type": "ModelMaker.ReportLine, ModelMaker",
                                                  "AssociatedSchematicNode": {
                                                    "$id": "10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b0826a51-731a-415c-93a7-2f9e559afb52",
                                                    "Dimensions": {
                                                      "$type": "ModelMakerEngine.MMDimensions, ModelMakerEngine",
                                                      "$values": []
                                                    },
                                                    "EquationOBXInternal": "[Determined costs for RAB Real for 2026 only]+[Initial Calculations Determined Cost Real from 2026 (RAB only)]",
                                                    "NameOfGroup": "RAB",
                                                    "EquationToParse": "[Determined costs for RAB Real for 2026 only]+[Initial Calculations Determined Cost Real from 2026 (RAB only)]",
                                                    "MostRecentExpectedUnitErrors": null,
                                                    "Units": {
                                                      "$id": "105",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 from 2026 Real (RAB only)",
                                                    "ReportLines": {
                                                      "$type": "ModelMaker.UndoableCollection`1[[ModelMakerEngine.IReportLine, ModelMakerEngine]], ModelMaker.Undo",
                                                      "$values": [
                                                        {
                                                          "$ref": "103"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etermined Cost from 2026 Real (RAB only)",
                                                  "ParentReport": {
                                                    "$ref": "101"
                                                  },
                                                  "HeadingLevel": 0,
                                                  "ReportFormatName": null,
                                                  "ReportFormatColor": null,
                                                  "YPosition": -1,
                                                  "Visible": true,
                                                  "Font": null,
                                                  "AllowIncomingLinks": true,
                                                  "AllowOutgoingLinks": true,
                                                  "Deletable": true,
                                                  "Issues": null
                                                },
                                                {
                                                  "$id": "106",
                                                  "$type": "ModelMaker.ReportLine, ModelMaker",
                                                  "AssociatedSchematicNode": {
                                                    "$id": "10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da2cda09-cac7-4797-9525-20afacbd1d51",
                                                    "Dimensions": {
                                                      "$type": "ModelMakerEngine.MMDimensions, ModelMakerEngine",
                                                      "$values": []
                                                    },
                                                    "EquationOBXInternal": "[Determined Cost from 2026 Real (RAB only)]/[Service Units]",
                                                    "NameOfGroup": "RAB",
                                                    "EquationToParse": "[Determined Cost from 2026 Real (RAB only)]/[Service Units]",
                                                    "MostRecentExpectedUnitErrors": null,
                                                    "Units": {
                                                      "$id": "108",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DC per SU from 2026 real (RAB only)",
                                                    "ReportLines": {
                                                      "$type": "ModelMaker.UndoableCollection`1[[ModelMakerEngine.IReportLine, ModelMakerEngine]], ModelMaker.Undo",
                                                      "$values": [
                                                        {
                                                          "$ref": "106"
                                                        }
                                                      ]
                                                    },
                                                    "IsOpeningBalance": false,
                                                    "ExternalLinks": {
                                                      "$type": "UINext.Collections.DeepObservableCollection`1[[ExternalLinks.IExternalDataLink, ExternalLinks]], UINext",
                                                      "$values": []
                                                    },
                                                    "HasUnits": true,
                                                    "UnitsValid": false,
                                                    "UnitsErrorMessage": "Units should be £'000 (2024 prices/'000,  but they are £(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9,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C per SU from 2026 real (RAB only)",
                                                  "ParentReport": {
                                                    "$ref": "101"
                                                  },
                                                  "HeadingLevel": 0,
                                                  "ReportFormatName": null,
                                                  "ReportFormatColor": null,
                                                  "YPosition": -1,
                                                  "Visible": true,
                                                  "Font": null,
                                                  "AllowIncomingLinks": true,
                                                  "AllowOutgoingLinks": true,
                                                  "Deletable": true,
                                                  "Issues": null
                                                },
                                                {
                                                  "$id": "109",
                                                  "$type": "ModelMaker.ReportLine, ModelMaker",
                                                  "AssociatedSchematicNode": {
                                                    "$id": "11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eb2180d-c106-4e79-8aab-6f43a285a759",
                                                    "Dimensions": {
                                                      "$type": "ModelMakerEngine.MMDimensions, ModelMakerEngine",
                                                      "$values": []
                                                    },
                                                    "EquationOBXInternal": "[Determined Cost from 2026 Real (RAB only)]/[Flights]",
                                                    "NameOfGroup": "RAB",
                                                    "EquationToParse": "[Determined Cost from 2026 Real (RAB only)]/[Flights]",
                                                    "MostRecentExpectedUnitErrors": null,
                                                    "Units": {
                                                      "$id": "111",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DC per flight from 2026 real (RAB only)",
                                                    "ReportLines": {
                                                      "$type": "ModelMaker.UndoableCollection`1[[ModelMakerEngine.IReportLine, ModelMakerEngine]], ModelMaker.Undo",
                                                      "$values": [
                                                        {
                                                          "$ref": "109"
                                                        }
                                                      ]
                                                    },
                                                    "IsOpeningBalance": false,
                                                    "ExternalLinks": {
                                                      "$type": "UINext.Collections.DeepObservableCollection`1[[ExternalLinks.IExternalDataLink, ExternalLinks]], UINext",
                                                      "$values": []
                                                    },
                                                    "HasUnits": true,
                                                    "UnitsValid": false,
                                                    "UnitsErrorMessage": "Units should be £'000 (2024 prices/'000,  but they are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C per flight from 2026 real (RAB only)",
                                                  "ParentReport": {
                                                    "$ref": "101"
                                                  },
                                                  "HeadingLevel": 0,
                                                  "ReportFormatName": null,
                                                  "ReportFormatColor": null,
                                                  "YPosition": -1,
                                                  "Visible": true,
                                                  "Font": null,
                                                  "AllowIncomingLinks": true,
                                                  "AllowOutgoingLinks": true,
                                                  "Deletable": true,
                                                  "Issues": null
                                                },
                                                {
                                                  "$id": "112",
                                                  "$type": "ModelMaker.ReportLine, ModelMaker",
                                                  "AssociatedSchematicNode": {
                                                    "$id": "11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6677a944-ee7a-46da-887a-60f33217184a",
                                                    "Dimensions": {
                                                      "$type": "ModelMakerEngine.MMDimensions, ModelMakerEngine",
                                                      "$values": []
                                                    },
                                                    "EquationOBXInternal": "[Determined Cost from 2026 Real (RAB only)]*([CPI Index Forecast (Calculations)]/[CPI Index 2024])",
                                                    "NameOfGroup": "RAB",
                                                    "EquationToParse": "[Determined Cost from 2026 Real (RAB only)]*([CPI Index Forecast (Calculations)]/[CPI Index 2024])",
                                                    "MostRecentExpectedUnitErrors": null,
                                                    "Units": {
                                                      "$id": "114",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Determined Cost from 2026 nominal (RAB Only)",
                                                    "ReportLines": {
                                                      "$type": "ModelMaker.UndoableCollection`1[[ModelMakerEngine.IReportLine, ModelMakerEngine]], ModelMaker.Undo",
                                                      "$values": [
                                                        {
                                                          "$ref": "112"
                                                        }
                                                      ]
                                                    },
                                                    "IsOpeningBalance": false,
                                                    "ExternalLinks": {
                                                      "$type": "UINext.Collections.DeepObservableCollection`1[[ExternalLinks.IExternalDataLink, ExternalLinks]], UINext",
                                                      "$values": []
                                                    },
                                                    "HasUnits": true,
                                                    "UnitsValid": false,
                                                    "UnitsErrorMessage": "Units should be £'000 (2024 prices/index (2015=100,  but they are £'000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etermined Cost from 2026 nominal (RAB Only)",
                                                  "ParentReport": {
                                                    "$ref": "101"
                                                  },
                                                  "HeadingLevel": 0,
                                                  "ReportFormatName": null,
                                                  "ReportFormatColor": null,
                                                  "YPosition": -1,
                                                  "Visible": true,
                                                  "Font": null,
                                                  "AllowIncomingLinks": true,
                                                  "AllowOutgoingLinks": true,
                                                  "Deletable": true,
                                                  "Issues": null
                                                },
                                                {
                                                  "$id": "115",
                                                  "$type": "ModelMaker.ReportLine, ModelMaker",
                                                  "AssociatedSchematicNode": {
                                                    "$id": "116",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2710a54b-7105-404d-b02e-2f25b0d68144",
                                                    "Dimensions": {
                                                      "$type": "ModelMakerEngine.MMDimensions, ModelMakerEngine",
                                                      "$values": []
                                                    },
                                                    "EquationOBXInternal": "[DC per SU from 2026 real (RAB only)]*([CPI Index Forecast (Calculations)]/[CPI Index 2024])",
                                                    "NameOfGroup": "RAB",
                                                    "EquationToParse": "[DC per SU from 2026 real (RAB only)]*([CPI Index Forecast (Calculations)]/[CPI Index 2024])",
                                                    "MostRecentExpectedUnitErrors": null,
                                                    "Units": {
                                                      "$id": "117",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SU from 2026 nominal (RAB only)",
                                                    "ReportLines": {
                                                      "$type": "ModelMaker.UndoableCollection`1[[ModelMakerEngine.IReportLine, ModelMakerEngine]], ModelMaker.Undo",
                                                      "$values": [
                                                        {
                                                          "$ref": "115"
                                                        }
                                                      ]
                                                    },
                                                    "IsOpeningBalance": false,
                                                    "ExternalLinks": {
                                                      "$type": "UINext.Collections.DeepObservableCollection`1[[ExternalLinks.IExternalDataLink, ExternalLinks]], UINext",
                                                      "$values": []
                                                    },
                                                    "HasUnits": true,
                                                    "UnitsValid": false,
                                                    "UnitsErrorMessage": "Units should be £( 2024 prices/index (2015=100,  but they are £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C per SU from 2026 nominal (RAB only)",
                                                  "ParentReport": {
                                                    "$ref": "101"
                                                  },
                                                  "HeadingLevel": 0,
                                                  "ReportFormatName": null,
                                                  "ReportFormatColor": null,
                                                  "YPosition": -1,
                                                  "Visible": true,
                                                  "Font": null,
                                                  "AllowIncomingLinks": true,
                                                  "AllowOutgoingLinks": true,
                                                  "Deletable": true,
                                                  "Issues": null
                                                },
                                                {
                                                  "$id": "118",
                                                  "$type": "ModelMaker.ReportLine, ModelMaker",
                                                  "AssociatedSchematicNode": {
                                                    "$id": "11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ae9620a-d37e-4055-aa09-9aba2629b062",
                                                    "Dimensions": {
                                                      "$type": "ModelMakerEngine.MMDimensions, ModelMakerEngine",
                                                      "$values": []
                                                    },
                                                    "EquationOBXInternal": "[DC per flight from 2026 real (RAB only)]*([CPI Index Forecast (Calculations)]/[CPI Index 2024])",
                                                    "NameOfGroup": "RAB",
                                                    "EquationToParse": "[DC per flight from 2026 real (RAB only)]*([CPI Index Forecast (Calculations)]/[CPI Index 2024])",
                                                    "MostRecentExpectedUnitErrors": null,
                                                    "Units": {
                                                      "$id": "120",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flight from 2026 nominal (RAB only)",
                                                    "ReportLines": {
                                                      "$type": "ModelMaker.UndoableCollection`1[[ModelMakerEngine.IReportLine, ModelMakerEngine]], ModelMaker.Undo",
                                                      "$values": [
                                                        {
                                                          "$ref": "118"
                                                        }
                                                      ]
                                                    },
                                                    "IsOpeningBalance": false,
                                                    "ExternalLinks": {
                                                      "$type": "UINext.Collections.DeepObservableCollection`1[[ExternalLinks.IExternalDataLink, ExternalLinks]], UINext",
                                                      "$values": []
                                                    },
                                                    "HasUnits": true,
                                                    "UnitsValid": false,
                                                    "UnitsErrorMessage": "Units should be £ real/index (2015=100,  but they are £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DC per flight from 2026 nominal (RAB only)",
                                                  "ParentReport": {
                                                    "$ref": "101"
                                                  },
                                                  "HeadingLevel": 0,
                                                  "ReportFormatName": null,
                                                  "ReportFormatColor": null,
                                                  "YPosition": -1,
                                                  "Visible": true,
                                                  "Font": null,
                                                  "AllowIncomingLinks": true,
                                                  "AllowOutgoingLinks": true,
                                                  "Deletable": true,
                                                  "Issues": null
                                                },
                                                {
                                                  "$id": "121",
                                                  "$type": "ModelMaker.ReportLine, ModelMaker",
                                                  "AssociatedSchematicNode": {
                                                    "$id": "122",
                                                    "$type": "ModelMaker.StockNode, ModelMaker",
                                                    "OpeningOrActualsName": "",
                                                    "InFlows": {
                                                      "$type": "System.Collections.Generic.List`1[[ModelMakerEngine.IEquationNode, ModelMakerEngine]], mscorlib",
                                                      "$values": [
                                                        {
                                                          "$id": "12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9b1cc819-6648-4dc7-836e-4b053b3cbe66",
                                                          "Dimensions": {
                                                            "$type": "ModelMakerEngine.MMDimensions, ModelMakerEngine",
                                                            "$values": []
                                                          },
                                                          "EquationOBXInternal": "BEG([RAB])*[CPI Inflation]",
                                                          "NameOfGroup": "Unallocated",
                                                          "EquationToParse": "[RAB!!BEG]*[CPI Inflation]",
                                                          "MostRecentExpectedUnitErrors": null,
                                                          "Units": {
                                                            "$id": "124",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RAB Indexation",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12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ad50d6ca-00e4-44bf-b6f2-9320fd5e4228",
                                                          "Dimensions": {
                                                            "$type": "ModelMakerEngine.MMDimensions, ModelMakerEngine",
                                                            "$values": []
                                                          },
                                                          "EquationOBXInternal": "([CPI Index Forecast (Calculations)]/[CPI Index 2024])*[Slow Money]",
                                                          "NameOfGroup": "Unallocated",
                                                          "EquationToParse": "([CPI Index Forecast (Calculations)]/[CPI Index 2024])*[Slow Money]",
                                                          "MostRecentExpectedUnitErrors": null,
                                                          "Units": {
                                                            "$id": "126",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Net Capex for the year",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000 (2024 prices/index (2015=100,  but they are £'000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OutFlows": {
                                                      "$type": "System.Collections.Generic.List`1[[ModelMakerEngine.IEquationNode, ModelMakerEngine]], mscorlib",
                                                      "$values": [
                                                        {
                                                          "$id": "12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3082654a-246e-43a2-8ee2-5498bb3fab37",
                                                          "Dimensions": {
                                                            "$type": "ModelMakerEngine.MMDimensions, ModelMakerEngine",
                                                            "$values": []
                                                          },
                                                          "EquationOBXInternal": "SUMOVER([RAB depreciation nominal])",
                                                          "NameOfGroup": "Unallocated",
                                                          "EquationToParse": "SUMOVER([RAB depreciation nominal])",
                                                          "MostRecentExpectedUnitErrors": null,
                                                          "Units": {
                                                            "$id": "128",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Total RAB depreciation",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FlagApplied": null,
                                                    "ActualsFlag": null,
                                                    "Name": "RAB",
                                                    "HasDefaultEquation": false,
                                                    "NonStandardBalanceFormula": false,
                                                    "EquationOBXInternal": "BEG()+[RAB Indexation]+[Net Capex for the year]-[Total RAB depreciation]",
                                                    "InitialOpeningVariable": null,
                                                    "Units": {
                                                      "$id": "129",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Visible": true,
                                                    "RowTotalDependent": null,
                                                    "PutCalculationOnReport": false,
                                                    "CalculateOnThisReport": null,
                                                    "PivotTableLink": null,
                                                    "ExcelNameName": null,
                                                    "ExcelNameNames": {
                                                      "$type": "ModelMakerEngine.ExcelNameDictionary, ModelMakerEngine",
                                                      "$values": []
                                                    },
                                                    "NumberFormatOverride": null,
                                                    "Deletable": true,
                                                    "Comment": "",
                                                    "HasSwitchSignLine": false,
                                                    "SwitchSignForReport": false,
                                                    "MultipleInputValues": null,
                                                    "NonPrimaryInput": false,
                                                    "Max": "NaN",
                                                    "Min": "NaN",
                                                    "IsBalanceButNotCorkscrew": false,
                                                    "IsEditable": true,
                                                    "IsConstant": false,
                                                    "UniqueID": "985d2a4c-e5b3-46d2-88a9-1eafa5e85a10",
                                                    "Dimensions": {
                                                      "$type": "ModelMakerEngine.MMDimensions, ModelMakerEngine",
                                                      "$values": []
                                                    },
                                                    "NameOfGroup": "Unallocated",
                                                    "EquationToParse": "BEG()+[RAB Indexation]+[Net Capex for the year]-[Total RAB depreciation]",
                                                    "MostRecentExpectedUnitErrors": null,
                                                    "ReportLines": {
                                                      "$type": "ModelMaker.UndoableCollection`1[[ModelMakerEngine.IReportLine, ModelMakerEngine]], ModelMaker.Undo",
                                                      "$values": [
                                                        {
                                                          "$ref": "121"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RAB",
                                                  "ParentReport": {
                                                    "$ref": "101"
                                                  },
                                                  "HeadingLevel": 0,
                                                  "ReportFormatName": null,
                                                  "ReportFormatColor": null,
                                                  "YPosition": -1,
                                                  "Visible": true,
                                                  "Font": null,
                                                  "AllowIncomingLinks": true,
                                                  "AllowOutgoingLinks": true,
                                                  "Deletable": true,
                                                  "Issues": null
                                                },
                                                {
                                                  "$id": "130",
                                                  "$type": "ModelMaker.ReportLine, ModelMaker",
                                                  "AssociatedSchematicNode": {
                                                    "$id": "13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573f5d1-94c5-4f5d-9cab-406827e83604",
                                                    "Dimensions": {
                                                      "$type": "ModelMakerEngine.MMDimensions, ModelMakerEngine",
                                                      "$values": []
                                                    },
                                                    "EquationOBXInternal": "[DC per SU from 2026 real (RAB only)]/[UK en-route rate]",
                                                    "NameOfGroup": "RAB",
                                                    "EquationToParse": "[DC per SU from 2026 real (RAB only)]/[UK en-route rate]",
                                                    "MostRecentExpectedUnitErrors": null,
                                                    "Units": {
                                                      "$id": "132",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Charge as a % of UK en route rate real (RAB only)",
                                                    "ReportLines": {
                                                      "$type": "ModelMaker.UndoableCollection`1[[ModelMakerEngine.IReportLine, ModelMakerEngine]], ModelMaker.Undo",
                                                      "$values": [
                                                        {
                                                          "$ref": "130"
                                                        }
                                                      ]
                                                    },
                                                    "IsOpeningBalance": false,
                                                    "ExternalLinks": {
                                                      "$type": "UINext.Collections.DeepObservableCollection`1[[ExternalLinks.IExternalDataLink, ExternalLinks]], UINext",
                                                      "$values": []
                                                    },
                                                    "HasUnits": true,
                                                    "UnitsValid": false,
                                                    "UnitsErrorMessage": "Units should be £( 2024 prices/£ real,  but they ar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as a % of UK en route rate real (RAB only)",
                                                  "ParentReport": {
                                                    "$ref": "101"
                                                  },
                                                  "HeadingLevel": 0,
                                                  "ReportFormatName": null,
                                                  "ReportFormatColor": null,
                                                  "YPosition": -1,
                                                  "Visible": true,
                                                  "Font": null,
                                                  "AllowIncomingLinks": true,
                                                  "AllowOutgoingLinks": true,
                                                  "Deletable": true,
                                                  "Issues": null
                                                },
                                                {
                                                  "$id": "133",
                                                  "$type": "ModelMaker.ReportLine, ModelMaker",
                                                  "AssociatedSchematicNode": {
                                                    "$id": "13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14b4d79b-f785-4fef-8382-2a416f461b4d",
                                                    "Dimensions": {
                                                      "$type": "ModelMakerEngine.MMDimensions, ModelMakerEngine",
                                                      "$values": []
                                                    },
                                                    "EquationOBXInternal": "[DC per flight from 2026 real (RAB only)]/[Passengers (PAX) per flight]",
                                                    "NameOfGroup": "RAB",
                                                    "EquationToParse": "[DC per flight from 2026 real (RAB only)]/[Passengers (PAX) per flight]",
                                                    "MostRecentExpectedUnitErrors": null,
                                                    "Units": {
                                                      "$id": "135",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Charge per pax (RAB only)",
                                                    "ReportLines": {
                                                      "$type": "ModelMaker.UndoableCollection`1[[ModelMakerEngine.IReportLine, ModelMakerEngine]], ModelMaker.Undo",
                                                      "$values": [
                                                        {
                                                          "$ref": "133"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pax (RAB only)",
                                                  "ParentReport": {
                                                    "$ref": "101"
                                                  },
                                                  "HeadingLevel": 0,
                                                  "ReportFormatName": null,
                                                  "ReportFormatColor": null,
                                                  "YPosition": -1,
                                                  "Visible": true,
                                                  "Font": null,
                                                  "AllowIncomingLinks": true,
                                                  "AllowOutgoingLinks": true,
                                                  "Deletable": true,
                                                  "Issues": null
                                                },
                                                {
                                                  "$id": "136",
                                                  "$type": "ModelMaker.ReportLine, ModelMaker",
                                                  "AssociatedSchematicNode": {
                                                    "$id": "13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035ce2e3-6aa9-4b2e-8685-96cd8e84d67f",
                                                    "Dimensions": {
                                                      "$type": "ModelMakerEngine.MMDimensions, ModelMakerEngine",
                                                      "$values": []
                                                    },
                                                    "EquationOBXInternal": "NPV([Real Social Time Preference Rate],ALLVALUES([Determined Cost from 2026 Real (RAB only +Terminal Value)]))",
                                                    "NameOfGroup": "RAB",
                                                    "EquationToParse": "NPV([Real Social Time Preference Rate],ALLVALUES([Determined Cost from 2026 Real (RAB only +Terminal Value)]))",
                                                    "MostRecentExpectedUnitErrors": null,
                                                    "Units": {
                                                      "$id": "138",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NPV Determined Cost from 2026 Real (RAB only)",
                                                    "ReportLines": {
                                                      "$type": "ModelMaker.UndoableCollection`1[[ModelMakerEngine.IReportLine, ModelMakerEngine]], ModelMaker.Undo",
                                                      "$values": [
                                                        {
                                                          "$ref": "136"
                                                        }
                                                      ]
                                                    },
                                                    "IsOpeningBalance": false,
                                                    "ExternalLinks": {
                                                      "$type": "UINext.Collections.DeepObservableCollection`1[[ExternalLinks.IExternalDataLink, ExternalLinks]], UINext",
                                                      "$values": []
                                                    },
                                                    "HasUnits": true,
                                                    "UnitsValid": false,
                                                    "UnitsErrorMessage": "Units should be Year,  but they are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8,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NPV Determined Cost from 2026 Real (RAB only)",
                                                  "ParentReport": {
                                                    "$ref": "101"
                                                  },
                                                  "HeadingLevel": 0,
                                                  "ReportFormatName": null,
                                                  "ReportFormatColor": null,
                                                  "YPosition": -1,
                                                  "Visible": true,
                                                  "Font": null,
                                                  "AllowIncomingLinks": true,
                                                  "AllowOutgoingLinks": true,
                                                  "Deletable": true,
                                                  "Issues": null
                                                },
                                                {
                                                  "$ref": "100"
                                                },
                                                {
                                                  "$id": "139",
                                                  "$type": "ModelMaker.ReportLine, ModelMaker",
                                                  "AssociatedSchematicNode": {
                                                    "$id": "14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f6626e4c-39ac-4e89-a56d-f55388bbf603",
                                                    "Dimensions": {
                                                      "$type": "ModelMakerEngine.MMDimensions, ModelMakerEngine",
                                                      "$values": []
                                                    },
                                                    "EquationOBXInternal": "SUM(ALLVALUES([Annual Service Units forecast for NR23 period (2026 start)]))",
                                                    "NameOfGroup": "Scenarios Chosen",
                                                    "EquationToParse": "SUM(ALLVALUES([Annual Service Units forecast for NR23 period (2026 start)]))",
                                                    "MostRecentExpectedUnitErrors": null,
                                                    "Units": {
                                                      "$id": "141",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Total Service Units forecast for NR23 period (2026 start)",
                                                    "ReportLines": {
                                                      "$type": "ModelMaker.UndoableCollection`1[[ModelMakerEngine.IReportLine, ModelMakerEngine]], ModelMaker.Undo",
                                                      "$values": [
                                                        {
                                                          "$id": "142",
                                                          "$type": "ModelMaker.ReportLine, ModelMaker",
                                                          "AssociatedSchematicNode": {
                                                            "$ref": "140"
                                                          },
                                                          "OpeningBalanceFlagAppliedName": "",
                                                          "SumOfAboveIncludesPreviousTotal": false,
                                                          "LastNameUsed": null,
                                                          "SwitchSignForReport": false,
                                                          "IsSumOfAbove": false,
                                                          "PreferredName": "Total Service Units forecast for NR23 period (2026 start)",
                                                          "ParentReport": {
                                                            "$ref": "68"
                                                          },
                                                          "HeadingLevel": 0,
                                                          "ReportFormatName": null,
                                                          "ReportFormatColor": null,
                                                          "YPosition": -1,
                                                          "Visible": true,
                                                          "Font": null,
                                                          "AllowIncomingLinks": true,
                                                          "AllowOutgoingLinks": true,
                                                          "Deletable": true,
                                                          "Issues": null
                                                        },
                                                        {
                                                          "$ref": "139"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Total Service Units forecast for NR23 period (2026 start)",
                                                  "ParentReport": {
                                                    "$ref": "101"
                                                  },
                                                  "HeadingLevel": 0,
                                                  "ReportFormatName": null,
                                                  "ReportFormatColor": null,
                                                  "YPosition": -1,
                                                  "Visible": true,
                                                  "Font": null,
                                                  "AllowIncomingLinks": true,
                                                  "AllowOutgoingLinks": true,
                                                  "Deletable": true,
                                                  "Issues": null
                                                },
                                                {
                                                  "$id": "143",
                                                  "$type": "ModelMaker.ReportLine, ModelMaker",
                                                  "AssociatedSchematicNode": {
                                                    "$id": "14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43c7c230-7f46-4e40-a353-27f168685ded",
                                                    "Dimensions": {
                                                      "$type": "ModelMakerEngine.MMDimensions, ModelMakerEngine",
                                                      "$values": []
                                                    },
                                                    "EquationOBXInternal": "SUM(ALLVALUES([Annual Flights forecast for NR23 period (2026 start)]))",
                                                    "NameOfGroup": "Scenarios Chosen",
                                                    "EquationToParse": "SUM(ALLVALUES([Annual Flights forecast for NR23 period (2026 start)]))",
                                                    "MostRecentExpectedUnitErrors": null,
                                                    "Units": {
                                                      "$id": "145",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Total Flights forecast for NR23 period (2026 start)",
                                                    "ReportLines": {
                                                      "$type": "ModelMaker.UndoableCollection`1[[ModelMakerEngine.IReportLine, ModelMakerEngine]], ModelMaker.Undo",
                                                      "$values": [
                                                        {
                                                          "$id": "146",
                                                          "$type": "ModelMaker.ReportLine, ModelMaker",
                                                          "AssociatedSchematicNode": {
                                                            "$ref": "144"
                                                          },
                                                          "OpeningBalanceFlagAppliedName": "",
                                                          "SumOfAboveIncludesPreviousTotal": false,
                                                          "LastNameUsed": null,
                                                          "SwitchSignForReport": false,
                                                          "IsSumOfAbove": false,
                                                          "PreferredName": "Total Flights forecast for NR23 period (2026 start)",
                                                          "ParentReport": {
                                                            "$ref": "68"
                                                          },
                                                          "HeadingLevel": 0,
                                                          "ReportFormatName": null,
                                                          "ReportFormatColor": null,
                                                          "YPosition": -1,
                                                          "Visible": true,
                                                          "Font": null,
                                                          "AllowIncomingLinks": true,
                                                          "AllowOutgoingLinks": true,
                                                          "Deletable": true,
                                                          "Issues": null
                                                        },
                                                        {
                                                          "$ref": "143"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Total Flights forecast for NR23 period (2026 start)",
                                                  "ParentReport": {
                                                    "$ref": "101"
                                                  },
                                                  "HeadingLevel": 0,
                                                  "ReportFormatName": null,
                                                  "ReportFormatColor": null,
                                                  "YPosition": -1,
                                                  "Visible": true,
                                                  "Font": null,
                                                  "AllowIncomingLinks": true,
                                                  "AllowOutgoingLinks": true,
                                                  "Deletable": true,
                                                  "Issues": null
                                                },
                                                {
                                                  "$id": "147",
                                                  "$type": "ModelMaker.ReportLine, ModelMaker",
                                                  "AssociatedSchematicNode": {
                                                    "$ref": "65"
                                                  },
                                                  "OpeningBalanceFlagAppliedName": "",
                                                  "SumOfAboveIncludesPreviousTotal": false,
                                                  "LastNameUsed": null,
                                                  "SwitchSignForReport": false,
                                                  "IsSumOfAbove": false,
                                                  "PreferredName": "Passengers (PAX) per flight",
                                                  "ParentReport": {
                                                    "$ref": "101"
                                                  },
                                                  "HeadingLevel": 0,
                                                  "ReportFormatName": null,
                                                  "ReportFormatColor": null,
                                                  "YPosition": -1,
                                                  "Visible": true,
                                                  "Font": null,
                                                  "AllowIncomingLinks": true,
                                                  "AllowOutgoingLinks": true,
                                                  "Deletable": true,
                                                  "Issues": null
                                                },
                                                {
                                                  "$id": "148",
                                                  "$type": "ModelMaker.ReportLine, ModelMaker",
                                                  "AssociatedSchematicNode": {
                                                    "$id": "14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53262b1e-8247-41a0-8878-d7da774925a3",
                                                    "Dimensions": {
                                                      "$type": "ModelMakerEngine.MMDimensions, ModelMakerEngine",
                                                      "$values": []
                                                    },
                                                    "EquationOBXInternal": "75.2",
                                                    "NameOfGroup": "Inputs.Model Constants",
                                                    "EquationToParse": "75.2",
                                                    "MostRecentExpectedUnitErrors": null,
                                                    "Units": {
                                                      "$id": "150",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UK en-route rate",
                                                    "ReportLines": {
                                                      "$type": "ModelMaker.UndoableCollection`1[[ModelMakerEngine.IReportLine, ModelMakerEngine]], ModelMaker.Undo",
                                                      "$values": [
                                                        {
                                                          "$id": "151",
                                                          "$type": "ModelMaker.ReportLine, ModelMaker",
                                                          "AssociatedSchematicNode": {
                                                            "$ref": "149"
                                                          },
                                                          "OpeningBalanceFlagAppliedName": "",
                                                          "SumOfAboveIncludesPreviousTotal": false,
                                                          "LastNameUsed": null,
                                                          "SwitchSignForReport": false,
                                                          "IsSumOfAbove": false,
                                                          "PreferredName": "UK en-route rate",
                                                          "ParentReport": {
                                                            "$ref": "68"
                                                          },
                                                          "HeadingLevel": 0,
                                                          "ReportFormatName": null,
                                                          "ReportFormatColor": null,
                                                          "YPosition": -1,
                                                          "Visible": true,
                                                          "Font": null,
                                                          "AllowIncomingLinks": true,
                                                          "AllowOutgoingLinks": true,
                                                          "Deletable": true,
                                                          "Issues": null
                                                        },
                                                        {
                                                          "$ref": "148"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UK en-route rate",
                                                  "ParentReport": {
                                                    "$ref": "101"
                                                  },
                                                  "HeadingLevel": 0,
                                                  "ReportFormatName": null,
                                                  "ReportFormatColor": null,
                                                  "YPosition": -1,
                                                  "Visible": true,
                                                  "Font": null,
                                                  "AllowIncomingLinks": true,
                                                  "AllowOutgoingLinks": true,
                                                  "Deletable": true,
                                                  "Issues": null
                                                },
                                                {
                                                  "$id": "152",
                                                  "$type": "ModelMaker.ReportLine, ModelMaker",
                                                  "AssociatedSchematicNode": {
                                                    "$id": "15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fecf6bab-0d3d-4652-953f-8252a82cd50e",
                                                    "Dimensions": {
                                                      "$type": "ModelMakerEngine.MMDimensions, ModelMakerEngine",
                                                      "$values": []
                                                    },
                                                    "EquationOBXInternal": "SUM(ALLVALUES([Determined Cost from 2026 real (NR23 period)]))",
                                                    "NameOfGroup": "RAB",
                                                    "EquationToParse": "SUM(ALLVALUES([Determined Cost from 2026 real (NR23 period)]))",
                                                    "MostRecentExpectedUnitErrors": null,
                                                    "Units": {
                                                      "$id": "154",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Total Determined Cost from 2026 real (NR23 period)",
                                                    "ReportLines": {
                                                      "$type": "ModelMaker.UndoableCollection`1[[ModelMakerEngine.IReportLine, ModelMakerEngine]], ModelMaker.Undo",
                                                      "$values": [
                                                        {
                                                          "$ref": "152"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Total Determined Cost from 2026 real (NR23 period)",
                                                  "ParentReport": {
                                                    "$ref": "101"
                                                  },
                                                  "HeadingLevel": 0,
                                                  "ReportFormatName": null,
                                                  "ReportFormatColor": null,
                                                  "YPosition": -1,
                                                  "Visible": true,
                                                  "Font": null,
                                                  "AllowIncomingLinks": true,
                                                  "AllowOutgoingLinks": true,
                                                  "Deletable": true,
                                                  "Issues": null
                                                },
                                                {
                                                  "$id": "155",
                                                  "$type": "ModelMaker.ReportLine, ModelMaker",
                                                  "AssociatedSchematicNode": {
                                                    "$id": "156",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07a347df-fca1-4e08-bf6a-f09cd8c897a3",
                                                    "Dimensions": {
                                                      "$type": "ModelMakerEngine.MMDimensions, ModelMakerEngine",
                                                      "$values": []
                                                    },
                                                    "EquationOBXInternal": "[Total Determined Cost from 2026 real (NR23 period)]/[Total Service Units forecast for NR23 period (2026 start)]",
                                                    "NameOfGroup": "RAB",
                                                    "EquationToParse": "[Total Determined Cost from 2026 real (NR23 period)]/[Total Service Units forecast for NR23 period (2026 start)]",
                                                    "MostRecentExpectedUnitErrors": null,
                                                    "Units": {
                                                      "$id": "157",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Charge per service unit (RAB only) real for NR23 period",
                                                    "ReportLines": {
                                                      "$type": "ModelMaker.UndoableCollection`1[[ModelMakerEngine.IReportLine, ModelMakerEngine]], ModelMaker.Undo",
                                                      "$values": [
                                                        {
                                                          "$ref": "155"
                                                        }
                                                      ]
                                                    },
                                                    "IsOpeningBalance": false,
                                                    "ExternalLinks": {
                                                      "$type": "UINext.Collections.DeepObservableCollection`1[[ExternalLinks.IExternalDataLink, ExternalLinks]], UINext",
                                                      "$values": []
                                                    },
                                                    "HasUnits": true,
                                                    "UnitsValid": false,
                                                    "UnitsErrorMessage": "Units should be £'000 (2024 prices/'000,  but they are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service unit (RAB only) real for NR23 period",
                                                  "ParentReport": {
                                                    "$ref": "101"
                                                  },
                                                  "HeadingLevel": 0,
                                                  "ReportFormatName": null,
                                                  "ReportFormatColor": null,
                                                  "YPosition": -1,
                                                  "Visible": true,
                                                  "Font": null,
                                                  "AllowIncomingLinks": true,
                                                  "AllowOutgoingLinks": true,
                                                  "Deletable": true,
                                                  "Issues": null
                                                },
                                                {
                                                  "$id": "158",
                                                  "$type": "ModelMaker.ReportLine, ModelMaker",
                                                  "AssociatedSchematicNode": {
                                                    "$id": "159",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5d6677ea-21fe-4345-af8a-eeb3eba183d3",
                                                    "Dimensions": {
                                                      "$type": "ModelMakerEngine.MMDimensions, ModelMakerEngine",
                                                      "$values": []
                                                    },
                                                    "EquationOBXInternal": "[Total Determined Cost from 2026 real (NR23 period)]/[Total Flights forecast for NR23 period (2026 start)]",
                                                    "NameOfGroup": "RAB",
                                                    "EquationToParse": "[Total Determined Cost from 2026 real (NR23 period)]/[Total Flights forecast for NR23 period (2026 start)]",
                                                    "MostRecentExpectedUnitErrors": null,
                                                    "Units": {
                                                      "$id": "160",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Charge per flight (RAB only) real for NR23 period",
                                                    "ReportLines": {
                                                      "$type": "ModelMaker.UndoableCollection`1[[ModelMakerEngine.IReportLine, ModelMakerEngine]], ModelMaker.Undo",
                                                      "$values": [
                                                        {
                                                          "$ref": "158"
                                                        }
                                                      ]
                                                    },
                                                    "IsOpeningBalance": false,
                                                    "ExternalLinks": {
                                                      "$type": "UINext.Collections.DeepObservableCollection`1[[ExternalLinks.IExternalDataLink, ExternalLinks]], UINext",
                                                      "$values": []
                                                    },
                                                    "HasUnits": true,
                                                    "UnitsValid": false,
                                                    "UnitsErrorMessage": "Units should be £'000 (2024 prices/'000,  but they are £(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flight (RAB only) real for NR23 period",
                                                  "ParentReport": {
                                                    "$ref": "101"
                                                  },
                                                  "HeadingLevel": 0,
                                                  "ReportFormatName": null,
                                                  "ReportFormatColor": null,
                                                  "YPosition": -1,
                                                  "Visible": true,
                                                  "Font": null,
                                                  "AllowIncomingLinks": true,
                                                  "AllowOutgoingLinks": true,
                                                  "Deletable": true,
                                                  "Issues": null
                                                },
                                                {
                                                  "$id": "161",
                                                  "$type": "ModelMaker.ReportLine, ModelMaker",
                                                  "AssociatedSchematicNode": {
                                                    "$id": "162",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8482e9e4-46be-4707-895d-7e0772f7ceff",
                                                    "Dimensions": {
                                                      "$type": "ModelMakerEngine.MMDimensions, ModelMakerEngine",
                                                      "$values": []
                                                    },
                                                    "EquationOBXInternal": "[Charge per flight (RAB only) real for NR23 period]/[Passengers (PAX) per flight]",
                                                    "NameOfGroup": "RAB",
                                                    "EquationToParse": "[Charge per flight (RAB only) real for NR23 period]/[Passengers (PAX) per flight]",
                                                    "MostRecentExpectedUnitErrors": null,
                                                    "Units": {
                                                      "$id": "163",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Charge per passenger (RAB only) real for NR23 period",
                                                    "ReportLines": {
                                                      "$type": "ModelMaker.UndoableCollection`1[[ModelMakerEngine.IReportLine, ModelMakerEngine]], ModelMaker.Undo",
                                                      "$values": [
                                                        {
                                                          "$ref": "161"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passenger (RAB only) real for NR23 period",
                                                  "ParentReport": {
                                                    "$ref": "101"
                                                  },
                                                  "HeadingLevel": 0,
                                                  "ReportFormatName": null,
                                                  "ReportFormatColor": null,
                                                  "YPosition": -1,
                                                  "Visible": true,
                                                  "Font": null,
                                                  "AllowIncomingLinks": true,
                                                  "AllowOutgoingLinks": true,
                                                  "Deletable": true,
                                                  "Issues": null
                                                },
                                                {
                                                  "$id": "164",
                                                  "$type": "ModelMaker.ReportLine, ModelMaker",
                                                  "AssociatedSchematicNode": {
                                                    "$id": "165",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false,
                                                    "UniqueID": "92c29890-db5f-4e80-92bf-81e4a6d91ceb",
                                                    "Dimensions": {
                                                      "$type": "ModelMakerEngine.MMDimensions, ModelMakerEngine",
                                                      "$values": []
                                                    },
                                                    "EquationOBXInternal": "[Charge per service unit (RAB only) real for NR23 period]/[UK en-route rate]",
                                                    "NameOfGroup": "RAB",
                                                    "EquationToParse": "[Charge per service unit (RAB only) real for NR23 period]/[UK en-route rate]",
                                                    "MostRecentExpectedUnitErrors": null,
                                                    "Units": {
                                                      "$id": "166",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Charge per SU (RAB only) as % of 2024 UK en route rate for NR23 period",
                                                    "ReportLines": {
                                                      "$type": "ModelMaker.UndoableCollection`1[[ModelMakerEngine.IReportLine, ModelMakerEngine]], ModelMaker.Undo",
                                                      "$values": [
                                                        {
                                                          "$ref": "164"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SU (RAB only) as % of 2024 UK en route rate for NR23 period",
                                                  "ParentReport": {
                                                    "$ref": "101"
                                                  },
                                                  "HeadingLevel": 0,
                                                  "ReportFormatName": null,
                                                  "ReportFormatColor": null,
                                                  "YPosition": -1,
                                                  "Visible": true,
                                                  "Font": null,
                                                  "AllowIncomingLinks": true,
                                                  "AllowOutgoingLinks": true,
                                                  "Deletable": true,
                                                  "Issues": null
                                                },
                                                {
                                                  "$id": "167",
                                                  "$type": "ModelMaker.ReportLine, ModelMaker",
                                                  "AssociatedSchematicNode": {
                                                    "$id": "168",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57158ce1-fd30-4f98-b341-77f9360ba08e",
                                                    "Dimensions": {
                                                      "$type": "ModelMakerEngine.MMDimensions, ModelMakerEngine",
                                                      "$values": []
                                                    },
                                                    "EquationOBXInternal": "SUM(ALLVALUES([Forecast RAB for NR23 period])*[CPI Index 2024]/[CPI Index Forecast (Calculations)])",
                                                    "NameOfGroup": "RAB",
                                                    "EquationToParse": "SUM(ALLVALUES([Forecast RAB for NR23 period])*[CPI Index 2024]/[CPI Index Forecast (Calculations)])",
                                                    "MostRecentExpectedUnitErrors": null,
                                                    "Units": {
                                                      "$id": "169",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Forecast closing RAB for NR23 period",
                                                    "ReportLines": {
                                                      "$type": "ModelMaker.UndoableCollection`1[[ModelMakerEngine.IReportLine, ModelMakerEngine]], ModelMaker.Undo",
                                                      "$values": [
                                                        {
                                                          "$ref": "167"
                                                        }
                                                      ]
                                                    },
                                                    "IsOpeningBalance": false,
                                                    "ExternalLinks": {
                                                      "$type": "UINext.Collections.DeepObservableCollection`1[[ExternalLinks.IExternalDataLink, ExternalLinks]], UINext",
                                                      "$values": []
                                                    },
                                                    "HasUnits": true,
                                                    "UnitsValid": false,
                                                    "UnitsErrorMessage": "Units should be £'000 (2024 prices * index (2015=100,  but they are £'000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7,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Forecast closing RAB for NR23 period",
                                                  "ParentReport": {
                                                    "$ref": "101"
                                                  },
                                                  "HeadingLevel": 0,
                                                  "ReportFormatName": null,
                                                  "ReportFormatColor": null,
                                                  "YPosition": -1,
                                                  "Visible": true,
                                                  "Font": null,
                                                  "AllowIncomingLinks": true,
                                                  "AllowOutgoingLinks": true,
                                                  "Deletable": true,
                                                  "Issues": null
                                                },
                                                {
                                                  "$id": "170",
                                                  "$type": "ModelMaker.ReportLine, ModelMaker",
                                                  "AssociatedSchematicNode": {
                                                    "$id": "17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8b4b191-7c13-4659-973b-6959e193790c",
                                                    "Dimensions": {
                                                      "$type": "ModelMakerEngine.MMDimensions, ModelMakerEngine",
                                                      "$values": []
                                                    },
                                                    "EquationOBXInternal": "SUM(ALLVALUES([Estimated annual costs of providing the UKADS and the Support Fund 10-year]))",
                                                    "NameOfGroup": "Scenarios Chosen",
                                                    "EquationToParse": "SUM(ALLVALUES([Estimated annual costs of providing the UKADS and the Support Fund 10-year]))",
                                                    "MostRecentExpectedUnitErrors": null,
                                                    "Units": {
                                                      "$id": "172",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Estimated total cost of providing the UKADS and the Support Fund 10-year",
                                                    "ReportLines": {
                                                      "$type": "ModelMaker.UndoableCollection`1[[ModelMakerEngine.IReportLine, ModelMakerEngine]], ModelMaker.Undo",
                                                      "$values": [
                                                        {
                                                          "$id": "173",
                                                          "$type": "ModelMaker.ReportLine, ModelMaker",
                                                          "AssociatedSchematicNode": {
                                                            "$ref": "171"
                                                          },
                                                          "OpeningBalanceFlagAppliedName": "",
                                                          "SumOfAboveIncludesPreviousTotal": false,
                                                          "LastNameUsed": null,
                                                          "SwitchSignForReport": false,
                                                          "IsSumOfAbove": false,
                                                          "PreferredName": "Estimated total cost of providing the UKADS and the Support Fund 10-year",
                                                          "ParentReport": {
                                                            "$ref": "68"
                                                          },
                                                          "HeadingLevel": 0,
                                                          "ReportFormatName": null,
                                                          "ReportFormatColor": null,
                                                          "YPosition": -1,
                                                          "Visible": true,
                                                          "Font": null,
                                                          "AllowIncomingLinks": true,
                                                          "AllowOutgoingLinks": true,
                                                          "Deletable": true,
                                                          "Issues": null
                                                        },
                                                        {
                                                          "$ref": "170"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Estimated total cost of providing the UKADS and the Support Fund 10-year",
                                                  "ParentReport": {
                                                    "$ref": "101"
                                                  },
                                                  "HeadingLevel": 0,
                                                  "ReportFormatName": null,
                                                  "ReportFormatColor": null,
                                                  "YPosition": -1,
                                                  "Visible": true,
                                                  "Font": null,
                                                  "AllowIncomingLinks": true,
                                                  "AllowOutgoingLinks": true,
                                                  "Deletable": true,
                                                  "Issues": null
                                                },
                                                {
                                                  "$id": "174",
                                                  "$type": "ModelMaker.ReportLine, ModelMaker",
                                                  "AssociatedSchematicNode": {
                                                    "$id": "17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e998fb65-3617-432e-92c0-ae8f1a082e0a",
                                                    "Dimensions": {
                                                      "$type": "ModelMakerEngine.MMDimensions, ModelMakerEngine",
                                                      "$values": []
                                                    },
                                                    "EquationOBXInternal": "SUM(ALLVALUES([Annual Service Units forecast for 10-year period (2026 start)]))",
                                                    "NameOfGroup": "Scenarios Chosen",
                                                    "EquationToParse": "SUM(ALLVALUES([Annual Service Units forecast for 10-year period (2026 start)]))",
                                                    "MostRecentExpectedUnitErrors": null,
                                                    "Units": {
                                                      "$id": "176",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Total Service Units forecast for 10-year period (2026 start)",
                                                    "ReportLines": {
                                                      "$type": "ModelMaker.UndoableCollection`1[[ModelMakerEngine.IReportLine, ModelMakerEngine]], ModelMaker.Undo",
                                                      "$values": [
                                                        {
                                                          "$id": "177",
                                                          "$type": "ModelMaker.ReportLine, ModelMaker",
                                                          "AssociatedSchematicNode": {
                                                            "$ref": "175"
                                                          },
                                                          "OpeningBalanceFlagAppliedName": "",
                                                          "SumOfAboveIncludesPreviousTotal": false,
                                                          "LastNameUsed": null,
                                                          "SwitchSignForReport": false,
                                                          "IsSumOfAbove": false,
                                                          "PreferredName": "Total Service Units forecast for 10-year period (2026 start)",
                                                          "ParentReport": {
                                                            "$ref": "68"
                                                          },
                                                          "HeadingLevel": 0,
                                                          "ReportFormatName": null,
                                                          "ReportFormatColor": null,
                                                          "YPosition": -1,
                                                          "Visible": true,
                                                          "Font": null,
                                                          "AllowIncomingLinks": true,
                                                          "AllowOutgoingLinks": true,
                                                          "Deletable": true,
                                                          "Issues": null
                                                        },
                                                        {
                                                          "$ref": "174"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Total Service Units forecast for 10-year period (2026 start)",
                                                  "ParentReport": {
                                                    "$ref": "101"
                                                  },
                                                  "HeadingLevel": 0,
                                                  "ReportFormatName": null,
                                                  "ReportFormatColor": null,
                                                  "YPosition": -1,
                                                  "Visible": true,
                                                  "Font": null,
                                                  "AllowIncomingLinks": true,
                                                  "AllowOutgoingLinks": true,
                                                  "Deletable": true,
                                                  "Issues": null
                                                },
                                                {
                                                  "$id": "178",
                                                  "$type": "ModelMaker.ReportLine, ModelMaker",
                                                  "AssociatedSchematicNode": {
                                                    "$id": "17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90d2cffc-735d-4217-8a31-46a235a057df",
                                                    "Dimensions": {
                                                      "$type": "ModelMakerEngine.MMDimensions, ModelMakerEngine",
                                                      "$values": []
                                                    },
                                                    "EquationOBXInternal": "SUM(ALLVALUES([Annual Flights forecast for 10-year period (2026 start)]))",
                                                    "NameOfGroup": "Scenarios Chosen",
                                                    "EquationToParse": "SUM(ALLVALUES([Annual Flights forecast for 10-year period (2026 start)]))",
                                                    "MostRecentExpectedUnitErrors": null,
                                                    "Units": {
                                                      "$id": "180",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Total Flights forecast for 10-year period (2026 start)",
                                                    "ReportLines": {
                                                      "$type": "ModelMaker.UndoableCollection`1[[ModelMakerEngine.IReportLine, ModelMakerEngine]], ModelMaker.Undo",
                                                      "$values": [
                                                        {
                                                          "$id": "181",
                                                          "$type": "ModelMaker.ReportLine, ModelMaker",
                                                          "AssociatedSchematicNode": {
                                                            "$ref": "179"
                                                          },
                                                          "OpeningBalanceFlagAppliedName": "",
                                                          "SumOfAboveIncludesPreviousTotal": false,
                                                          "LastNameUsed": null,
                                                          "SwitchSignForReport": false,
                                                          "IsSumOfAbove": false,
                                                          "PreferredName": "Total Flights forecast for 10-year period (2026 start)",
                                                          "ParentReport": {
                                                            "$ref": "68"
                                                          },
                                                          "HeadingLevel": 0,
                                                          "ReportFormatName": null,
                                                          "ReportFormatColor": null,
                                                          "YPosition": -1,
                                                          "Visible": true,
                                                          "Font": null,
                                                          "AllowIncomingLinks": true,
                                                          "AllowOutgoingLinks": true,
                                                          "Deletable": true,
                                                          "Issues": null
                                                        },
                                                        {
                                                          "$ref": "178"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Total Flights forecast for 10-year period (2026 start)",
                                                  "ParentReport": {
                                                    "$ref": "101"
                                                  },
                                                  "HeadingLevel": 0,
                                                  "ReportFormatName": null,
                                                  "ReportFormatColor": null,
                                                  "YPosition": -1,
                                                  "Visible": true,
                                                  "Font": null,
                                                  "AllowIncomingLinks": true,
                                                  "AllowOutgoingLinks": true,
                                                  "Deletable": true,
                                                  "Issues": null
                                                },
                                                {
                                                  "$id": "182",
                                                  "$type": "ModelMaker.ReportLine, ModelMaker",
                                                  "AssociatedSchematicNode": {
                                                    "$id": "18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b4fd285d-1872-4fac-a979-2567d7a67aa9",
                                                    "Dimensions": {
                                                      "$type": "ModelMakerEngine.MMDimensions, ModelMakerEngine",
                                                      "$values": []
                                                    },
                                                    "EquationOBXInternal": "SUM(ALLVALUES([Determined Cost from 2026 real (10-year period)]))",
                                                    "NameOfGroup": "RAB",
                                                    "EquationToParse": "SUM(ALLVALUES([Determined Cost from 2026 real (10-year period)]))",
                                                    "MostRecentExpectedUnitErrors": null,
                                                    "Units": {
                                                      "$id": "184",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Total Determined Cost from 2026 real (10-year period)",
                                                    "ReportLines": {
                                                      "$type": "ModelMaker.UndoableCollection`1[[ModelMakerEngine.IReportLine, ModelMakerEngine]], ModelMaker.Undo",
                                                      "$values": [
                                                        {
                                                          "$ref": "182"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Total Determined Cost from 2026 real (10-year period)",
                                                  "ParentReport": {
                                                    "$ref": "101"
                                                  },
                                                  "HeadingLevel": 0,
                                                  "ReportFormatName": null,
                                                  "ReportFormatColor": null,
                                                  "YPosition": -1,
                                                  "Visible": true,
                                                  "Font": null,
                                                  "AllowIncomingLinks": true,
                                                  "AllowOutgoingLinks": true,
                                                  "Deletable": true,
                                                  "Issues": null
                                                },
                                                {
                                                  "$id": "185",
                                                  "$type": "ModelMaker.ReportLine, ModelMaker",
                                                  "AssociatedSchematicNode": {
                                                    "$id": "186",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79755161-cb09-4022-9d5d-4f73c9e0fd9a",
                                                    "Dimensions": {
                                                      "$type": "ModelMakerEngine.MMDimensions, ModelMakerEngine",
                                                      "$values": []
                                                    },
                                                    "EquationOBXInternal": "[Total Determined Cost from 2026 real (10-year period)]/[Total Service Units forecast for 10-year period (2026 start)]",
                                                    "NameOfGroup": "RAB",
                                                    "EquationToParse": "[Total Determined Cost from 2026 real (10-year period)]/[Total Service Units forecast for 10-year period (2026 start)]",
                                                    "MostRecentExpectedUnitErrors": null,
                                                    "Units": {
                                                      "$id": "187",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Charge per service unit (RAB only) real for 10-year period",
                                                    "ReportLines": {
                                                      "$type": "ModelMaker.UndoableCollection`1[[ModelMakerEngine.IReportLine, ModelMakerEngine]], ModelMaker.Undo",
                                                      "$values": [
                                                        {
                                                          "$ref": "185"
                                                        }
                                                      ]
                                                    },
                                                    "IsOpeningBalance": false,
                                                    "ExternalLinks": {
                                                      "$type": "UINext.Collections.DeepObservableCollection`1[[ExternalLinks.IExternalDataLink, ExternalLinks]], UINext",
                                                      "$values": []
                                                    },
                                                    "HasUnits": true,
                                                    "UnitsValid": false,
                                                    "UnitsErrorMessage": "Units should be £'000 (2024 prices/'000,  but they are £(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service unit (RAB only) real for 10-year period",
                                                  "ParentReport": {
                                                    "$ref": "101"
                                                  },
                                                  "HeadingLevel": 0,
                                                  "ReportFormatName": null,
                                                  "ReportFormatColor": null,
                                                  "YPosition": -1,
                                                  "Visible": true,
                                                  "Font": null,
                                                  "AllowIncomingLinks": true,
                                                  "AllowOutgoingLinks": true,
                                                  "Deletable": true,
                                                  "Issues": null
                                                },
                                                {
                                                  "$id": "188",
                                                  "$type": "ModelMaker.ReportLine, ModelMaker",
                                                  "AssociatedSchematicNode": {
                                                    "$id": "189",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ec3335ca-edad-4ed3-b218-9194092e7c60",
                                                    "Dimensions": {
                                                      "$type": "ModelMakerEngine.MMDimensions, ModelMakerEngine",
                                                      "$values": []
                                                    },
                                                    "EquationOBXInternal": "[Total Determined Cost from 2026 real (10-year period)]/[Total Flights forecast for 10-year period (2026 start)]",
                                                    "NameOfGroup": "RAB",
                                                    "EquationToParse": "[Total Determined Cost from 2026 real (10-year period)]/[Total Flights forecast for 10-year period (2026 start)]",
                                                    "MostRecentExpectedUnitErrors": null,
                                                    "Units": {
                                                      "$id": "190",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Charge per flight (RAB only) real for 10-year period",
                                                    "ReportLines": {
                                                      "$type": "ModelMaker.UndoableCollection`1[[ModelMakerEngine.IReportLine, ModelMakerEngine]], ModelMaker.Undo",
                                                      "$values": [
                                                        {
                                                          "$ref": "188"
                                                        }
                                                      ]
                                                    },
                                                    "IsOpeningBalance": false,
                                                    "ExternalLinks": {
                                                      "$type": "UINext.Collections.DeepObservableCollection`1[[ExternalLinks.IExternalDataLink, ExternalLinks]], UINext",
                                                      "$values": []
                                                    },
                                                    "HasUnits": true,
                                                    "UnitsValid": false,
                                                    "UnitsErrorMessage": "Units should be £'000 (2024 prices/'000,  but they are £(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flight (RAB only) real for 10-year period",
                                                  "ParentReport": {
                                                    "$ref": "101"
                                                  },
                                                  "HeadingLevel": 0,
                                                  "ReportFormatName": null,
                                                  "ReportFormatColor": null,
                                                  "YPosition": -1,
                                                  "Visible": true,
                                                  "Font": null,
                                                  "AllowIncomingLinks": true,
                                                  "AllowOutgoingLinks": true,
                                                  "Deletable": true,
                                                  "Issues": null
                                                },
                                                {
                                                  "$id": "191",
                                                  "$type": "ModelMaker.ReportLine, ModelMaker",
                                                  "AssociatedSchematicNode": {
                                                    "$id": "192",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10380fe7-7c5a-4544-b8b6-3059ebcce9a0",
                                                    "Dimensions": {
                                                      "$type": "ModelMakerEngine.MMDimensions, ModelMakerEngine",
                                                      "$values": []
                                                    },
                                                    "EquationOBXInternal": "[Charge per flight (RAB only) real for 10-year period]/[Passengers (PAX) per flight]",
                                                    "NameOfGroup": "RAB",
                                                    "EquationToParse": "[Charge per flight (RAB only) real for 10-year period]/[Passengers (PAX) per flight]",
                                                    "MostRecentExpectedUnitErrors": null,
                                                    "Units": {
                                                      "$id": "193",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Charge per passenger (RAB only) real for 10-year period",
                                                    "ReportLines": {
                                                      "$type": "ModelMaker.UndoableCollection`1[[ModelMakerEngine.IReportLine, ModelMakerEngine]], ModelMaker.Undo",
                                                      "$values": [
                                                        {
                                                          "$ref": "191"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passenger (RAB only) real for 10-year period",
                                                  "ParentReport": {
                                                    "$ref": "101"
                                                  },
                                                  "HeadingLevel": 0,
                                                  "ReportFormatName": null,
                                                  "ReportFormatColor": null,
                                                  "YPosition": -1,
                                                  "Visible": true,
                                                  "Font": null,
                                                  "AllowIncomingLinks": true,
                                                  "AllowOutgoingLinks": true,
                                                  "Deletable": true,
                                                  "Issues": null
                                                },
                                                {
                                                  "$id": "194",
                                                  "$type": "ModelMaker.ReportLine, ModelMaker",
                                                  "AssociatedSchematicNode": {
                                                    "$id": "195",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false,
                                                    "UniqueID": "1d371557-7fdf-4d2f-91c6-9495f79a2228",
                                                    "Dimensions": {
                                                      "$type": "ModelMakerEngine.MMDimensions, ModelMakerEngine",
                                                      "$values": []
                                                    },
                                                    "EquationOBXInternal": "[Charge per service unit (RAB only) real for 10-year period]/[UK en-route rate]",
                                                    "NameOfGroup": "RAB",
                                                    "EquationToParse": "[Charge per service unit (RAB only) real for 10-year period]/[UK en-route rate]",
                                                    "MostRecentExpectedUnitErrors": null,
                                                    "Units": {
                                                      "$id": "196",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Charge per SU (RAB only) as % of 2024 UK en route rate for 10-year period",
                                                    "ReportLines": {
                                                      "$type": "ModelMaker.UndoableCollection`1[[ModelMakerEngine.IReportLine, ModelMakerEngine]], ModelMaker.Undo",
                                                      "$values": [
                                                        {
                                                          "$ref": "194"
                                                        }
                                                      ]
                                                    },
                                                    "IsOpeningBalance": false,
                                                    "ExternalLinks": {
                                                      "$type": "UINext.Collections.DeepObservableCollection`1[[ExternalLinks.IExternalDataLink, ExternalLinks]], UINext",
                                                      "$values": []
                                                    },
                                                    "HasUnits": true,
                                                    "UnitsValid": false,
                                                    "UnitsErrorMessage": "Units should be £( 2024 prices/£ real,  but they ar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SU (RAB only) as % of 2024 UK en route rate for 10-year period",
                                                  "ParentReport": {
                                                    "$ref": "101"
                                                  },
                                                  "HeadingLevel": 0,
                                                  "ReportFormatName": null,
                                                  "ReportFormatColor": null,
                                                  "YPosition": -1,
                                                  "Visible": true,
                                                  "Font": null,
                                                  "AllowIncomingLinks": true,
                                                  "AllowOutgoingLinks": true,
                                                  "Deletable": true,
                                                  "Issues": null
                                                }
                                              ]
                                            },
                                            "AllowIncomingLinks": false,
                                            "AllowOutgoingLinks": false,
                                            "YPosition": -1,
                                            "Name": "RAB model Report",
                                            "Parent": {
                                              "$ref": "1"
                                            },
                                            "Visible": true,
                                            "ToolTip": "",
                                            "OpeningBalanceFlagAppliedName": "",
                                            "Font": null,
                                            "IncomingLinks": {
                                              "$type": "System.Collections.ObjectModel.Collection`1[[ModelMaker.MMLink, ModelMaker]], mscorlib",
                                              "$values": []
                                            },
                                            "OutgoingLinks": {
                                              "$type": "System.Collections.ObjectModel.Collection`1[[ModelMaker.MMLink, ModelMaker]], mscorlib",
                                              "$values": []
                                            },
                                            "Deletable": true,
                                            "Issues": null
                                          },
                                          "HeadingLevel": 0,
                                          "ReportFormatName": null,
                                          "ReportFormatColor": null,
                                          "YPosition": -1,
                                          "Visible": true,
                                          "Font": null,
                                          "AllowIncomingLinks": true,
                                          "AllowOutgoingLinks": true,
                                          "Deletable": true,
                                          "Issues": null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Estimated total cost of providing the UKADS and the Support Fund NR23",
                                  "ParentReport": {
                                    "$ref": "68"
                                  },
                                  "HeadingLevel": 0,
                                  "ReportFormatName": null,
                                  "ReportFormatColor": null,
                                  "YPosition": -1,
                                  "Visible": true,
                                  "Font": null,
                                  "AllowIncomingLinks": true,
                                  "AllowOutgoingLinks": true,
                                  "Deletable": true,
                                  "Issues": null
                                },
                                {
                                  "$ref": "142"
                                },
                                {
                                  "$ref": "146"
                                },
                                {
                                  "$ref": "67"
                                },
                                {
                                  "$ref": "151"
                                },
                                {
                                  "$id": "197",
                                  "$type": "ModelMaker.ReportLine, ModelMaker",
                                  "AssociatedSchematicNode": {
                                    "$id": "198",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01c8982c-da09-48ff-92f3-964739ab9c3e",
                                    "Dimensions": {
                                      "$type": "ModelMakerEngine.MMDimensions, ModelMakerEngine",
                                      "$values": []
                                    },
                                    "EquationOBXInternal": "SUM(ALLVALUES([Determined costs real from 2026 (NR23 period)]))",
                                    "NameOfGroup": "Cost+ Operating Margin",
                                    "EquationToParse": "SUM(ALLVALUES([Determined costs real from 2026 (NR23 period)]))",
                                    "MostRecentExpectedUnitErrors": null,
                                    "Units": {
                                      "$id": "199",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Total Determined costs real from 2026 (NR23 period)",
                                    "ReportLines": {
                                      "$type": "ModelMaker.UndoableCollection`1[[ModelMakerEngine.IReportLine, ModelMakerEngine]], ModelMaker.Undo",
                                      "$values": [
                                        {
                                          "$ref": "197"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Total Determined costs real from 2026 (NR23 period)",
                                  "ParentReport": {
                                    "$ref": "68"
                                  },
                                  "HeadingLevel": 0,
                                  "ReportFormatName": null,
                                  "ReportFormatColor": null,
                                  "YPosition": -1,
                                  "Visible": true,
                                  "Font": null,
                                  "AllowIncomingLinks": true,
                                  "AllowOutgoingLinks": true,
                                  "Deletable": true,
                                  "Issues": null
                                },
                                {
                                  "$id": "200",
                                  "$type": "ModelMaker.ReportLine, ModelMaker",
                                  "AssociatedSchematicNode": {
                                    "$id": "201",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03abfde9-bbd1-447e-918f-7d8ff23b2120",
                                    "Dimensions": {
                                      "$type": "ModelMakerEngine.MMDimensions, ModelMakerEngine",
                                      "$values": []
                                    },
                                    "EquationOBXInternal": "[Total Determined costs real from 2026 (NR23 period)]/[Total Service Units forecast for NR23 period (2026 start)]",
                                    "NameOfGroup": "Cost+ Operating Margin",
                                    "EquationToParse": "[Total Determined costs real from 2026 (NR23 period)]/[Total Service Units forecast for NR23 period (2026 start)]",
                                    "MostRecentExpectedUnitErrors": null,
                                    "Units": {
                                      "$id": "202",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Charge per service unit real for NR23 period",
                                    "ReportLines": {
                                      "$type": "ModelMaker.UndoableCollection`1[[ModelMakerEngine.IReportLine, ModelMakerEngine]], ModelMaker.Undo",
                                      "$values": [
                                        {
                                          "$ref": "200"
                                        }
                                      ]
                                    },
                                    "IsOpeningBalance": false,
                                    "ExternalLinks": {
                                      "$type": "UINext.Collections.DeepObservableCollection`1[[ExternalLinks.IExternalDataLink, ExternalLinks]], UINext",
                                      "$values": []
                                    },
                                    "HasUnits": true,
                                    "UnitsValid": false,
                                    "UnitsErrorMessage": "Units should be £'000 (2024 prices/'000,  but they are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service unit real for NR23 period",
                                  "ParentReport": {
                                    "$ref": "68"
                                  },
                                  "HeadingLevel": 0,
                                  "ReportFormatName": null,
                                  "ReportFormatColor": null,
                                  "YPosition": -1,
                                  "Visible": true,
                                  "Font": null,
                                  "AllowIncomingLinks": true,
                                  "AllowOutgoingLinks": true,
                                  "Deletable": true,
                                  "Issues": null
                                },
                                {
                                  "$id": "203",
                                  "$type": "ModelMaker.ReportLine, ModelMaker",
                                  "AssociatedSchematicNode": {
                                    "$id": "204",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f931084f-0a89-43c9-bca5-e8c8f123e5ce",
                                    "Dimensions": {
                                      "$type": "ModelMakerEngine.MMDimensions, ModelMakerEngine",
                                      "$values": []
                                    },
                                    "EquationOBXInternal": "[Total Determined costs real from 2026 (NR23 period)]/[Total Flights forecast for NR23 period (2026 start)]",
                                    "NameOfGroup": "Cost+ Operating Margin",
                                    "EquationToParse": "[Total Determined costs real from 2026 (NR23 period)]/[Total Flights forecast for NR23 period (2026 start)]",
                                    "MostRecentExpectedUnitErrors": null,
                                    "Units": {
                                      "$id": "205",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Charge per flight real for NR23 period",
                                    "ReportLines": {
                                      "$type": "ModelMaker.UndoableCollection`1[[ModelMakerEngine.IReportLine, ModelMakerEngine]], ModelMaker.Undo",
                                      "$values": [
                                        {
                                          "$ref": "203"
                                        }
                                      ]
                                    },
                                    "IsOpeningBalance": false,
                                    "ExternalLinks": {
                                      "$type": "UINext.Collections.DeepObservableCollection`1[[ExternalLinks.IExternalDataLink, ExternalLinks]], UINext",
                                      "$values": []
                                    },
                                    "HasUnits": true,
                                    "UnitsValid": false,
                                    "UnitsErrorMessage": "Units should be £'000 (2024 prices/'000,  but they are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flight real for NR23 period",
                                  "ParentReport": {
                                    "$ref": "68"
                                  },
                                  "HeadingLevel": 0,
                                  "ReportFormatName": null,
                                  "ReportFormatColor": null,
                                  "YPosition": -1,
                                  "Visible": true,
                                  "Font": null,
                                  "AllowIncomingLinks": true,
                                  "AllowOutgoingLinks": true,
                                  "Deletable": true,
                                  "Issues": null
                                },
                                {
                                  "$id": "206",
                                  "$type": "ModelMaker.ReportLine, ModelMaker",
                                  "AssociatedSchematicNode": {
                                    "$id": "207",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8014ab19-4f92-451a-aff3-b786eb95aac8",
                                    "Dimensions": {
                                      "$type": "ModelMakerEngine.MMDimensions, ModelMakerEngine",
                                      "$values": []
                                    },
                                    "EquationOBXInternal": "[Charge per flight real for NR23 period]/[Passengers (PAX) per flight]",
                                    "NameOfGroup": "Cost+ Operating Margin",
                                    "EquationToParse": "[Charge per flight real for NR23 period]/[Passengers (PAX) per flight]",
                                    "MostRecentExpectedUnitErrors": null,
                                    "Units": {
                                      "$id": "208",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Charge per passenger real for NR23 period",
                                    "ReportLines": {
                                      "$type": "ModelMaker.UndoableCollection`1[[ModelMakerEngine.IReportLine, ModelMakerEngine]], ModelMaker.Undo",
                                      "$values": [
                                        {
                                          "$ref": "206"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passenger real for NR23 period",
                                  "ParentReport": {
                                    "$ref": "68"
                                  },
                                  "HeadingLevel": 0,
                                  "ReportFormatName": null,
                                  "ReportFormatColor": null,
                                  "YPosition": -1,
                                  "Visible": true,
                                  "Font": null,
                                  "AllowIncomingLinks": true,
                                  "AllowOutgoingLinks": true,
                                  "Deletable": true,
                                  "Issues": null
                                },
                                {
                                  "$id": "209",
                                  "$type": "ModelMaker.ReportLine, ModelMaker",
                                  "AssociatedSchematicNode": {
                                    "$id": "210",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false,
                                    "UniqueID": "0d34ac2c-7cfe-4700-9d37-8241d848135d",
                                    "Dimensions": {
                                      "$type": "ModelMakerEngine.MMDimensions, ModelMakerEngine",
                                      "$values": []
                                    },
                                    "EquationOBXInternal": "[Charge per service unit real for NR23 period]/[UK en-route rate]",
                                    "NameOfGroup": "Cost+ Operating Margin",
                                    "EquationToParse": "[Charge per service unit real for NR23 period]/[UK en-route rate]",
                                    "MostRecentExpectedUnitErrors": null,
                                    "Units": {
                                      "$id": "211",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Charge per SU as % of 2024 UK en route rate for NR23 period",
                                    "ReportLines": {
                                      "$type": "ModelMaker.UndoableCollection`1[[ModelMakerEngine.IReportLine, ModelMakerEngine]], ModelMaker.Undo",
                                      "$values": [
                                        {
                                          "$ref": "209"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SU as % of 2024 UK en route rate for NR23 period",
                                  "ParentReport": {
                                    "$ref": "68"
                                  },
                                  "HeadingLevel": 0,
                                  "ReportFormatName": null,
                                  "ReportFormatColor": null,
                                  "YPosition": -1,
                                  "Visible": true,
                                  "Font": null,
                                  "AllowIncomingLinks": true,
                                  "AllowOutgoingLinks": true,
                                  "Deletable": true,
                                  "Issues": null
                                },
                                {
                                  "$ref": "173"
                                },
                                {
                                  "$ref": "177"
                                },
                                {
                                  "$ref": "181"
                                },
                                {
                                  "$id": "212",
                                  "$type": "ModelMaker.ReportLine, ModelMaker",
                                  "AssociatedSchematicNode": {
                                    "$id": "21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a7958a07-cc49-48a5-be5b-b7112987fc17",
                                    "Dimensions": {
                                      "$type": "ModelMakerEngine.MMDimensions, ModelMakerEngine",
                                      "$values": []
                                    },
                                    "EquationOBXInternal": "SUM(ALLVALUES([Determined costs real from 2026 (10-year period)]))",
                                    "NameOfGroup": "Cost+ Operating Margin",
                                    "EquationToParse": "SUM(ALLVALUES([Determined costs real from 2026 (10-year period)]))",
                                    "MostRecentExpectedUnitErrors": null,
                                    "Units": {
                                      "$id": "214",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Total Determined costs real from 2026 (10-year period)",
                                    "ReportLines": {
                                      "$type": "ModelMaker.UndoableCollection`1[[ModelMakerEngine.IReportLine, ModelMakerEngine]], ModelMaker.Undo",
                                      "$values": [
                                        {
                                          "$ref": "212"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Total Determined costs real from 2026 (10-year period)",
                                  "ParentReport": {
                                    "$ref": "68"
                                  },
                                  "HeadingLevel": 0,
                                  "ReportFormatName": null,
                                  "ReportFormatColor": null,
                                  "YPosition": -1,
                                  "Visible": true,
                                  "Font": null,
                                  "AllowIncomingLinks": true,
                                  "AllowOutgoingLinks": true,
                                  "Deletable": true,
                                  "Issues": null
                                },
                                {
                                  "$id": "215",
                                  "$type": "ModelMaker.ReportLine, ModelMaker",
                                  "AssociatedSchematicNode": {
                                    "$id": "216",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4a864a34-d845-481e-afba-b4b05646760e",
                                    "Dimensions": {
                                      "$type": "ModelMakerEngine.MMDimensions, ModelMakerEngine",
                                      "$values": []
                                    },
                                    "EquationOBXInternal": "[Total Determined costs real from 2026 (10-year period)]/[Total Service Units forecast for 10-year period (2026 start)]",
                                    "NameOfGroup": "Cost+ Operating Margin.Calculations for Final reporting.10-year period",
                                    "EquationToParse": "[Total Determined costs real from 2026 (10-year period)]/[Total Service Units forecast for 10-year period (2026 start)]",
                                    "MostRecentExpectedUnitErrors": null,
                                    "Units": {
                                      "$id": "217",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Charge per service unit real for 10-year period",
                                    "ReportLines": {
                                      "$type": "ModelMaker.UndoableCollection`1[[ModelMakerEngine.IReportLine, ModelMakerEngine]], ModelMaker.Undo",
                                      "$values": [
                                        {
                                          "$ref": "215"
                                        }
                                      ]
                                    },
                                    "IsOpeningBalance": false,
                                    "ExternalLinks": {
                                      "$type": "UINext.Collections.DeepObservableCollection`1[[ExternalLinks.IExternalDataLink, ExternalLinks]], UINext",
                                      "$values": []
                                    },
                                    "HasUnits": true,
                                    "UnitsValid": false,
                                    "UnitsErrorMessage": "Units should be £'000 (2024 prices/'000,  but they are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service unit real for 10-year period",
                                  "ParentReport": {
                                    "$ref": "68"
                                  },
                                  "HeadingLevel": 0,
                                  "ReportFormatName": null,
                                  "ReportFormatColor": null,
                                  "YPosition": -1,
                                  "Visible": true,
                                  "Font": null,
                                  "AllowIncomingLinks": true,
                                  "AllowOutgoingLinks": true,
                                  "Deletable": true,
                                  "Issues": null
                                },
                                {
                                  "$id": "218",
                                  "$type": "ModelMaker.ReportLine, ModelMaker",
                                  "AssociatedSchematicNode": {
                                    "$id": "219",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275740a0-d16f-4c4e-a8e2-a5335f22ed7d",
                                    "Dimensions": {
                                      "$type": "ModelMakerEngine.MMDimensions, ModelMakerEngine",
                                      "$values": []
                                    },
                                    "EquationOBXInternal": "[Total Determined costs real from 2026 (10-year period)]/[Total Flights forecast for 10-year period (2026 start)]",
                                    "NameOfGroup": "Cost+ Operating Margin.Calculations for Final reporting.10-year period",
                                    "EquationToParse": "[Total Determined costs real from 2026 (10-year period)]/[Total Flights forecast for 10-year period (2026 start)]",
                                    "MostRecentExpectedUnitErrors": null,
                                    "Units": {
                                      "$id": "220",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Charge per flight real for 10-year period",
                                    "ReportLines": {
                                      "$type": "ModelMaker.UndoableCollection`1[[ModelMakerEngine.IReportLine, ModelMakerEngine]], ModelMaker.Undo",
                                      "$values": [
                                        {
                                          "$ref": "218"
                                        }
                                      ]
                                    },
                                    "IsOpeningBalance": false,
                                    "ExternalLinks": {
                                      "$type": "UINext.Collections.DeepObservableCollection`1[[ExternalLinks.IExternalDataLink, ExternalLinks]], UINext",
                                      "$values": []
                                    },
                                    "HasUnits": true,
                                    "UnitsValid": false,
                                    "UnitsErrorMessage": "Units should be £'000 (2024 prices/'000,  but they are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flight real for 10-year period",
                                  "ParentReport": {
                                    "$ref": "68"
                                  },
                                  "HeadingLevel": 0,
                                  "ReportFormatName": null,
                                  "ReportFormatColor": null,
                                  "YPosition": -1,
                                  "Visible": true,
                                  "Font": null,
                                  "AllowIncomingLinks": true,
                                  "AllowOutgoingLinks": true,
                                  "Deletable": true,
                                  "Issues": null
                                },
                                {
                                  "$id": "221",
                                  "$type": "ModelMaker.ReportLine, ModelMaker",
                                  "AssociatedSchematicNode": {
                                    "$id": "222",
                                    "$type": "ModelMaker.VariableNode, ModelMaker",
                                    "RowTotalDependent": null,
                                    "PutCalculationOnReport": false,
                                    "CalculateOnThisReport": null,
                                    "PivotTableLink": null,
                                    "ExcelNameName": null,
                                    "ExcelNameNames": {
                                      "$type": "ModelMakerEngine.ExcelNameDictionary, ModelMakerEngine",
                                      "$values": []
                                    },
                                    "NumberFormatOverride": "#.##",
                                    "HasOpeningBalanceFlag": false,
                                    "OpeningBalanceFlagAppliedName": "",
                                    "Deletable": true,
                                    "Comment": "",
                                    "HasSwitchSignLine": false,
                                    "SwitchSignForReport": false,
                                    "MultipleInputValues": null,
                                    "NonPrimaryInput": false,
                                    "Max": "NaN",
                                    "Min": "NaN",
                                    "IsBalanceButNotCorkscrew": false,
                                    "IsEditable": true,
                                    "IsConstant": false,
                                    "UniqueID": "c6a4ca4c-7a08-488f-9df3-6f09d458e111",
                                    "Dimensions": {
                                      "$type": "ModelMakerEngine.MMDimensions, ModelMakerEngine",
                                      "$values": []
                                    },
                                    "EquationOBXInternal": "[Charge per flight real for 10-year period]/[Passengers (PAX) per flight]",
                                    "NameOfGroup": "Cost+ Operating Margin.Calculations for Final reporting.10-year period",
                                    "EquationToParse": "[Charge per flight real for 10-year period]/[Passengers (PAX) per flight]",
                                    "MostRecentExpectedUnitErrors": null,
                                    "Units": {
                                      "$id": "223",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Charge per passenger real for 10-year period",
                                    "ReportLines": {
                                      "$type": "ModelMaker.UndoableCollection`1[[ModelMakerEngine.IReportLine, ModelMakerEngine]], ModelMaker.Undo",
                                      "$values": [
                                        {
                                          "$ref": "221"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passenger real for 10-year period",
                                  "ParentReport": {
                                    "$ref": "68"
                                  },
                                  "HeadingLevel": 0,
                                  "ReportFormatName": null,
                                  "ReportFormatColor": null,
                                  "YPosition": -1,
                                  "Visible": true,
                                  "Font": null,
                                  "AllowIncomingLinks": true,
                                  "AllowOutgoingLinks": true,
                                  "Deletable": true,
                                  "Issues": null
                                },
                                {
                                  "$id": "224",
                                  "$type": "ModelMaker.ReportLine, ModelMaker",
                                  "AssociatedSchematicNode": {
                                    "$id": "225",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false,
                                    "UniqueID": "377cad55-06d3-472d-941d-045843d147fd",
                                    "Dimensions": {
                                      "$type": "ModelMakerEngine.MMDimensions, ModelMakerEngine",
                                      "$values": []
                                    },
                                    "EquationOBXInternal": "[Charge per service unit real for 10-year period]/[UK en-route rate]",
                                    "NameOfGroup": "Cost+ Operating Margin.Calculations for Final reporting.10-year period",
                                    "EquationToParse": "[Charge per service unit real for 10-year period]/[UK en-route rate]",
                                    "MostRecentExpectedUnitErrors": null,
                                    "Units": {
                                      "$id": "226",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Charge per SU as % of 2024 UK en route rate for 10-year period",
                                    "ReportLines": {
                                      "$type": "ModelMaker.UndoableCollection`1[[ModelMakerEngine.IReportLine, ModelMakerEngine]], ModelMaker.Undo",
                                      "$values": [
                                        {
                                          "$ref": "224"
                                        }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OpeningBalanceFlagAppliedName": "",
                                  "SumOfAboveIncludesPreviousTotal": false,
                                  "LastNameUsed": null,
                                  "SwitchSignForReport": false,
                                  "IsSumOfAbove": false,
                                  "PreferredName": "Charge per SU as % of 2024 UK en route rate for 10-year period",
                                  "ParentReport": {
                                    "$ref": "68"
                                  },
                                  "HeadingLevel": 0,
                                  "ReportFormatName": null,
                                  "ReportFormatColor": null,
                                  "YPosition": -1,
                                  "Visible": true,
                                  "Font": null,
                                  "AllowIncomingLinks": true,
                                  "AllowOutgoingLinks": true,
                                  "Deletable": true,
                                  "Issues": null
                                }
                              ]
                            },
                            "AllowIncomingLinks": false,
                            "AllowOutgoingLinks": false,
                            "YPosition": -1,
                            "Name": "Operating Cost + Margin Report",
                            "Parent": {
                              "$ref": "1"
                            },
                            "Visible": true,
                            "ToolTip": "",
                            "OpeningBalanceFlagAppliedName": "",
                            "Font": null,
                            "IncomingLinks": {
                              "$type": "System.Collections.ObjectModel.Collection`1[[ModelMaker.MMLink, ModelMaker]], mscorlib",
                              "$values": []
                            },
                            "OutgoingLinks": {
                              "$type": "System.Collections.ObjectModel.Collection`1[[ModelMaker.MMLink, ModelMaker]], mscorlib",
                              "$values": []
                            },
                            "Deletable": true,
                            "Issues": null
                          },
                          "HeadingLevel": 0,
                          "ReportFormatName": null,
                          "ReportFormatColor": null,
                          "YPosition": -1,
                          "Visible": true,
                          "Font": null,
                          "AllowIncomingLinks": true,
                          "AllowOutgoingLinks": true,
                          "Deletable": true,
                          "Issues": null
                        },
                        {
                          "$ref": "147"
                        }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49"
                  },
                  {
                    "$id": "227",
                    "$type": "ModelMaker.GroupNode, ModelMaker",
                    "TabOrHeaderColour": "",
                    "Comment": "",
                    "NameOfGroup": "Inputs.Model Constants",
                    "YPosition": 12,
                    "Folded": false,
                    "Font": null,
                    "Children": {
                      "$type": "ModelMaker.GroupNodeChildCollection, ModelMaker",
                      "$values": [
                        {
                          "$id": "228",
                          "$type": "ModelMaker.VariableNode, ModelMaker",
                          "RowTotalDependent": null,
                          "PutCalculationOnReport": false,
                          "CalculateOnThisReport": null,
                          "PivotTableLink": null,
                          "ExcelNameName": null,
                          "ExcelNameNames": {
                            "$type": "ModelMakerEngine.ExcelNameDictionary, ModelMakerEngine",
                            "$values": [
                              {
                                "Key": {
                                  "$type": "ModelMakerEngine.MMElements, ModelMakerEngine",
                                  "$values": [
                                    {
                                      "$ref": "7"
                                    }
                                  ]
                                },
                                "Value": "Cost_of_UKADSF.High"
                              },
                              {
                                "Key": {
                                  "$type": "ModelMakerEngine.MMElements, ModelMakerEngine",
                                  "$values": [
                                    {
                                      "$ref": "8"
                                    }
                                  ]
                                },
                                "Value": "Cost_of_UKADSF.Low"
                              },
                              {
                                "Key": {
                                  "$type": "ModelMakerEngine.MMElements, ModelMakerEngine",
                                  "$values": [
                                    {
                                      "$ref": "9"
                                    }
                                  ]
                                },
                                "Value": "Cost_of_UKADSF.Mid"
                              }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29",
                                "$type": "ModelMaker.DimensionedArrayValues, ModelMaker",
                                "Elements": {
                                  "$type": "ModelMakerEngine.MMElements, ModelMakerEngine",
                                  "$values": [
                                    {
                                      "$ref": "7"
                                    }
                                  ]
                                },
                                "Values": {
                                  "$type": "System.Collections.Generic.List`1[[System.Object, mscorlib]], mscorlib",
                                  "$values": [
                                    2650.5001220490235,
                                    10893.158942652908,
                                    9866.2664723040889,
                                    9700.9676942234419,
                                    10476.354493357156,
                                    7861.8510280492073,
                                    6434.9693930697294,
                                    6434.9693930697294,
                                    6434.9693930697294,
                                    6434.9693930697294,
                                    6434.9693930697294,
                                    null
                                  ]
                                }
                              },
                              {
                                "$id": "230",
                                "$type": "ModelMaker.DimensionedArrayValues, ModelMaker",
                                "Elements": {
                                  "$type": "ModelMakerEngine.MMElements, ModelMakerEngine",
                                  "$values": [
                                    {
                                      "$ref": "8"
                                    }
                                  ]
                                },
                                "Values": {
                                  "$type": "System.Collections.Generic.List`1[[System.Object, mscorlib]], mscorlib",
                                  "$values": [
                                    2120.400097639219,
                                    7573.021846138744,
                                    6751.50786985969,
                                    6619.26884739517,
                                    7239.5782867021426,
                                    5147.975514455783,
                                    5147.975514455783,
                                    5147.975514455783,
                                    5147.975514455783,
                                    5147.975514455783,
                                    5147.975514455783,
                                    null
                                  ]
                                }
                              },
                              {
                                "$id": "231",
                                "$type": "ModelMaker.DimensionedArrayValues, ModelMaker",
                                "Elements": {
                                  "$type": "ModelMakerEngine.MMElements, ModelMakerEngine",
                                  "$values": [
                                    {
                                      "$ref": "9"
                                    }
                                  ]
                                },
                                "Values": {
                                  "$type": "System.Collections.Generic.List`1[[System.Object, mscorlib]], mscorlib",
                                  "$values": [
                                    2438.4601122851013,
                                    9511.0549027019752,
                                    8566.3138299810635,
                                    8414.2389541468656,
                                    9127.5948093498828,
                                    6722.2516212665705,
                                    5920.17184162415,
                                    5920.17184162415,
                                    5920.17184162415,
                                    5920.17184162415,
                                    5920.17184162415,
                                    null
                                  ]
                                }
                              }
                            ]
                          },
                          "NonPrimaryInput": false,
                          "Max": "NaN",
                          "Min": "NaN",
                          "IsBalanceButNotCorkscrew": false,
                          "IsEditable": true,
                          "IsConstant": false,
                          "UniqueID": "412b3f54-a81f-4220-9702-6c1c97a59585",
                          "Dimensions": {
                            "$type": "ModelMakerEngine.MMDimensions, ModelMakerEngine",
                            "$values": [
                              {
                                "$ref": "6"
                              }
                            ]
                          },
                          "EquationOBXInternal": "{2D array of values}",
                          "NameOfGroup": "Unallocated",
                          "EquationToParse": "{2D array of values}",
                          "MostRecentExpectedUnitErrors": null,
                          "Units": {
                            "$id": "232",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Cost of UKADSF",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33",
                          "$type": "ModelMaker.VariableNode, ModelMaker",
                          "RowTotalDependent": null,
                          "PutCalculationOnReport": false,
                          "CalculateOnThisReport": null,
                          "PivotTableLink": null,
                          "ExcelNameName": null,
                          "ExcelNameNames": {
                            "$type": "ModelMakerEngine.ExcelNameDictionary, ModelMakerEngine",
                            "$values": [
                              {
                                "Key": {
                                  "$type": "ModelMakerEngine.MMElements, ModelMakerEngine",
                                  "$values": [
                                    {
                                      "$ref": "3"
                                    }
                                  ]
                                },
                                "Value": "Cost_of_UKADS1.High"
                              },
                              {
                                "Key": {
                                  "$type": "ModelMakerEngine.MMElements, ModelMakerEngine",
                                  "$values": [
                                    {
                                      "$ref": "4"
                                    }
                                  ]
                                },
                                "Value": "Cost_of_UKADS1.Low"
                              },
                              {
                                "Key": {
                                  "$type": "ModelMakerEngine.MMElements, ModelMakerEngine",
                                  "$values": [
                                    {
                                      "$ref": "5"
                                    }
                                  ]
                                },
                                "Value": "Cost_of_UKADS1.Mid"
                              }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34",
                                "$type": "ModelMaker.DimensionedArrayValues, ModelMaker",
                                "Elements": {
                                  "$type": "ModelMakerEngine.MMElements, ModelMakerEngine",
                                  "$values": []
                                },
                                "Values": {
                                  "$type": "System.Collections.Generic.List`1[[System.Object, mscorlib]], mscorlib",
                                  "$values": [
                                    null,
                                    9593.375,
                                    11026.25,
                                    21126.25,
                                    12582.5,
                                    21126.25,
                                    12582.5,
                                    21126.25,
                                    12582.5,
                                    19904.375,
                                    12582.5,
                                    12582.5,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id": "235",
                                "$type": "ModelMaker.DimensionedArrayValues, ModelMaker",
                                "Elements": {
                                  "$type": "ModelMakerEngine.MMElements, ModelMakerEngine",
                                  "$values": [
                                    {
                                      "$ref": "3"
                                    }
                                  ]
                                },
                                "Values": {
                                  "$type": "System.Collections.Generic.List`1[[System.Object, mscorlib]], mscorlib",
                                  "$values": [
                                    9593.375,
                                    11026.25,
                                    21126.25,
                                    12582.5,
                                    21126.25,
                                    12582.5,
                                    21126.25,
                                    12582.5,
                                    19904.375,
                                    12582.5,
                                    12582.5,
                                    null
                                  ]
                                }
                              },
                              {
                                "$id": "236",
                                "$type": "ModelMaker.DimensionedArrayValues, ModelMaker",
                                "Elements": {
                                  "$type": "ModelMakerEngine.MMElements, ModelMakerEngine",
                                  "$values": [
                                    {
                                      "$ref": "4"
                                    }
                                  ]
                                },
                                "Values": {
                                  "$type": "System.Collections.Generic.List`1[[System.Object, mscorlib]], mscorlib",
                                  "$values": [
                                    6167.4,
                                    7302.15,
                                    12332.15,
                                    8547.15,
                                    12332.15,
                                    8547.15,
                                    12332.15,
                                    8547.15,
                                    11354.65,
                                    8547.15,
                                    8547.15,
                                    null
                                  ]
                                }
                              },
                              {
                                "$id": "237",
                                "$type": "ModelMaker.DimensionedArrayValues, ModelMaker",
                                "Elements": {
                                  "$type": "ModelMakerEngine.MMElements, ModelMakerEngine",
                                  "$values": [
                                    {
                                      "$ref": "5"
                                    }
                                  ]
                                },
                                "Values": {
                                  "$type": "System.Collections.Generic.List`1[[System.Object, mscorlib]], mscorlib",
                                  "$values": [
                                    7484.3149999999987,
                                    8792.9,
                                    15278.899999999998,
                                    10224.65,
                                    15278.899999999998,
                                    10224.65,
                                    15278.899999999998,
                                    10224.65,
                                    14154.774999999998,
                                    10224.65,
                                    10224.65,
                                    null
                                  ]
                                }
                              }
                            ]
                          },
                          "NonPrimaryInput": false,
                          "Max": "NaN",
                          "Min": "NaN",
                          "IsBalanceButNotCorkscrew": false,
                          "IsEditable": true,
                          "IsConstant": false,
                          "UniqueID": "d80616a2-2275-4087-8e6e-179e0ef19fd3",
                          "Dimensions": {
                            "$type": "ModelMakerEngine.MMDimensions, ModelMakerEngine",
                            "$values": [
                              {
                                "$ref": "2"
                              }
                            ]
                          },
                          "EquationOBXInternal": "{2D array of values}",
                          "NameOfGroup": "Unallocated",
                          "EquationToParse": "{2D array of values}",
                          "MostRecentExpectedUnitErrors": null,
                          "Units": {
                            "$id": "238",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Cost of UKADS1",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3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a244d70f-d2e0-4995-bc06-5db91c1f1d22",
                          "Dimensions": {
                            "$type": "ModelMakerEngine.MMDimensions, ModelMakerEngine",
                            "$values": []
                          },
                          "EquationOBXInternal": "\"Mid\"",
                          "NameOfGroup": "Unallocated",
                          "EquationToParse": "\"Mid\"",
                          "MostRecentExpectedUnitErrors": null,
                          "Units": {
                            "$id": "240",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UKADSF scenarios",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4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4ba114f4-0b32-4bbf-ba69-f4c46c0933a9",
                          "Dimensions": {
                            "$type": "ModelMakerEngine.MMDimensions, ModelMakerEngine",
                            "$values": []
                          },
                          "EquationOBXInternal": "\"Mid\"",
                          "NameOfGroup": "Inputs.Model Constants.Model Scenarios",
                          "EquationToParse": "\"Mid\"",
                          "MostRecentExpectedUnitErrors": null,
                          "Units": {
                            "$id": "242",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UKADS1 scenarios",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43",
                          "$type": "ModelMaker.GroupNode, ModelMaker",
                          "TabOrHeaderColour": "",
                          "Comment": "",
                          "NameOfGroup": "Inputs.Model Constants.Model Scenarios",
                          "YPosition": 4,
                          "Folded": false,
                          "Font": null,
                          "Children": {
                            "$type": "ModelMaker.GroupNodeChildCollection, ModelMaker",
                            "$values": [
                              {
                                "$id": "24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45",
                                      "$type": "ModelMaker.DimensionedArrayValues, ModelMaker",
                                      "Elements": {
                                        "$type": "ModelMakerEngine.MMElements, ModelMakerEngine",
                                        "$values": []
                                      },
                                      "Values": {
                                        "$type": "System.Collections.Generic.List`1[[System.Object, mscorlib]], mscorlib",
                                        "$values": [
                                          "138.153850729889",
                                          "141.033957438817",
                                          "143.839246023982",
                                          "146.716639335409",
                                          "149.650853361666",
                                          "",
                                          "",
                                          "",
                                          "",
                                          "",
                                          "",
                                          ""
                                        ]
                                      }
                                    }
                                  ]
                                },
                                "NonPrimaryInput": false,
                                "Max": "NaN",
                                "Min": "NaN",
                                "IsBalanceButNotCorkscrew": false,
                                "IsEditable": true,
                                "IsConstant": false,
                                "UniqueID": "35ec6c78-ff6a-477b-92fe-b527428f386f",
                                "Dimensions": {
                                  "$type": "ModelMakerEngine.MMDimensions, ModelMakerEngine",
                                  "$values": []
                                },
                                "EquationOBXInternal": "{138.153850729889,141.033957438817,143.839246023982,146.716639335409,149.650853361666,,,,,,,}",
                                "NameOfGroup": "Unallocated",
                                "EquationToParse": "{138.153850729889,141.033957438817,143.839246023982,146.716639335409,149.650853361666,,,,,,,}",
                                "MostRecentExpectedUnitErrors": null,
                                "Units": {
                                  "$id": "246",
                                  "$type": "ModelMaker.Unit, ModelMaker",
                                  "DefaultNumberFormat": 5,
                                  "NumberFormatOverride": null,
                                  "MatchAnything": false,
                                  "ExternalRepresentation": "index (2015=100)",
                                  "ItemsOnTop": {
                                    "$type": "System.Collections.Generic.List`1[[System.String, mscorlib]], mscorlib",
                                    "$values": [
                                      "index (2015=100"
                                    ]
                                  },
                                  "ItemsOnBottom": {
                                    "$type": "System.Collections.Generic.List`1[[System.String, mscorlib]], mscorlib",
                                    "$values": []
                                  },
                                  "IsCurrency": false,
                                  "ContainsSMU": false,
                                  "IsDimensionless": false,
                                  "InsertRowTotal": true,
                                  "IgnoreWhenDeterminingExpectedUnits": false
                                },
                                "Name": "CPI Index Forecast",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4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48",
                                      "$type": "ModelMaker.DimensionedArrayValues, ModelMaker",
                                      "Elements": {
                                        "$type": "ModelMakerEngine.MMElements, ModelMakerEngine",
                                        "$values": []
                                      },
                                      "Values": {
                                        "$type": "System.Collections.Generic.List`1[[System.Object, mscorlib]], mscorlib",
                                        "$values": [
                                          "2510",
                                          "2536",
                                          "2568",
                                          "2606",
                                          "2630",
                                          "2661",
                                          "2689",
                                          "2720",
                                          "2751",
                                          "2783",
                                          "2815",
                                          ""
                                        ]
                                      }
                                    }
                                  ]
                                },
                                "NonPrimaryInput": false,
                                "Max": "NaN",
                                "Min": "NaN",
                                "IsBalanceButNotCorkscrew": false,
                                "IsEditable": true,
                                "IsConstant": false,
                                "UniqueID": "686a99c0-d0fc-4762-aa4d-971e9e92c8a4",
                                "Dimensions": {
                                  "$type": "ModelMakerEngine.MMDimensions, ModelMakerEngine",
                                  "$values": []
                                },
                                "EquationOBXInternal": "{2510,2536,2568,2606,2630,2661,2689,2720,2751,2783,2815,}",
                                "NameOfGroup": "Unallocated",
                                "EquationToParse": "{2510,2536,2568,2606,2630,2661,2689,2720,2751,2783,2815,}",
                                "MostRecentExpectedUnitErrors": null,
                                "Units": {
                                  "$id": "249",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Flights",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5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51",
                                      "$type": "ModelMaker.DimensionedArrayValues, ModelMaker",
                                      "Elements": {
                                        "$type": "ModelMakerEngine.MMElements, ModelMakerEngine",
                                        "$values": []
                                      },
                                      "Values": {
                                        "$type": "System.Collections.Generic.List`1[[System.Object, mscorlib]], mscorlib",
                                        "$values": [
                                          "12392",
                                          "12580",
                                          "12818",
                                          "13082",
                                          "13278",
                                          "13507",
                                          "13717",
                                          "13951",
                                          "14189",
                                          "14431",
                                          "14677",
                                          ""
                                        ]
                                      }
                                    }
                                  ]
                                },
                                "NonPrimaryInput": false,
                                "Max": "NaN",
                                "Min": "NaN",
                                "IsBalanceButNotCorkscrew": false,
                                "IsEditable": true,
                                "IsConstant": false,
                                "UniqueID": "863f94ef-9e73-46b2-b839-7644aa86d0b4",
                                "Dimensions": {
                                  "$type": "ModelMakerEngine.MMDimensions, ModelMakerEngine",
                                  "$values": []
                                },
                                "EquationOBXInternal": "{12392,12580,12818,13082,13278,13507,13717,13951,14189,14431,14677,}",
                                "NameOfGroup": "Unallocated",
                                "EquationToParse": "{12392,12580,12818,13082,13278,13507,13717,13951,14189,14431,14677,}",
                                "MostRecentExpectedUnitErrors": null,
                                "Units": {
                                  "$id": "252",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Service Units",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53",
                                "$type": "ModelMaker.GroupNode, ModelMaker",
                                "TabOrHeaderColour": "",
                                "Comment": "",
                                "NameOfGroup": "Inputs.Model Constants.Model Scenarios.Time based",
                                "YPosition": 3,
                                "Folded": false,
                                "Font": null,
                                "Children": {
                                  "$type": "ModelMaker.GroupNodeChildCollection, ModelMaker",
                                  "$values": [
                                    {
                                      "$id": "254",
                                      "$type": "ModelMaker.VariableNode, ModelMaker",
                                      "RowTotalDependent": null,
                                      "PutCalculationOnReport": false,
                                      "CalculateOnThisReport": null,
                                      "PivotTableLink": null,
                                      "ExcelNameName": null,
                                      "ExcelNameNames": {
                                        "$type": "ModelMakerEngine.ExcelNameDictionary, ModelMakerEngine",
                                        "$values": [
                                          {
                                            "Key": {
                                              "$type": "ModelMakerEngine.MMElements, ModelMakerEngine",
                                              "$values": [
                                                {
                                                  "$ref": "11"
                                                }
                                              ]
                                            },
                                            "Value": "RAB_depreciation_by_Year.1"
                                          },
                                          {
                                            "Key": {
                                              "$type": "ModelMakerEngine.MMElements, ModelMakerEngine",
                                              "$values": [
                                                {
                                                  "$ref": "12"
                                                }
                                              ]
                                            },
                                            "Value": "RAB_depreciation_by_Year.2"
                                          },
                                          {
                                            "Key": {
                                              "$type": "ModelMakerEngine.MMElements, ModelMakerEngine",
                                              "$values": [
                                                {
                                                  "$ref": "13"
                                                }
                                              ]
                                            },
                                            "Value": "RAB_depreciation_by_Year.3"
                                          },
                                          {
                                            "Key": {
                                              "$type": "ModelMakerEngine.MMElements, ModelMakerEngine",
                                              "$values": [
                                                {
                                                  "$ref": "14"
                                                }
                                              ]
                                            },
                                            "Value": "RAB_depreciation_by_Year.4"
                                          },
                                          {
                                            "Key": {
                                              "$type": "ModelMakerEngine.MMElements, ModelMakerEngine",
                                              "$values": [
                                                {
                                                  "$ref": "15"
                                                }
                                              ]
                                            },
                                            "Value": "RAB_depreciation_by_Year.5"
                                          },
                                          {
                                            "Key": {
                                              "$type": "ModelMakerEngine.MMElements, ModelMakerEngine",
                                              "$values": [
                                                {
                                                  "$ref": "16"
                                                }
                                              ]
                                            },
                                            "Value": "RAB_depreciation_by_Year.6"
                                          },
                                          {
                                            "Key": {
                                              "$type": "ModelMakerEngine.MMElements, ModelMakerEngine",
                                              "$values": [
                                                {
                                                  "$ref": "17"
                                                }
                                              ]
                                            },
                                            "Value": "RAB_depreciation_by_Year.7"
                                          },
                                          {
                                            "Key": {
                                              "$type": "ModelMakerEngine.MMElements, ModelMakerEngine",
                                              "$values": [
                                                {
                                                  "$ref": "18"
                                                }
                                              ]
                                            },
                                            "Value": "RAB_depreciation_by_Year.8"
                                          },
                                          {
                                            "Key": {
                                              "$type": "ModelMakerEngine.MMElements, ModelMakerEngine",
                                              "$values": [
                                                {
                                                  "$ref": "19"
                                                }
                                              ]
                                            },
                                            "Value": "RAB_depreciation_by_Year.9"
                                          },
                                          {
                                            "Key": {
                                              "$type": "ModelMakerEngine.MMElements, ModelMakerEngine",
                                              "$values": [
                                                {
                                                  "$ref": "20"
                                                }
                                              ]
                                            },
                                            "Value": "RAB_depreciation_by_Year.10"
                                          },
                                          {
                                            "Key": {
                                              "$type": "ModelMakerEngine.MMElements, ModelMakerEngine",
                                              "$values": [
                                                {
                                                  "$ref": "21"
                                                }
                                              ]
                                            },
                                            "Value": "RAB_depreciation_by_Year.11"
                                          }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55",
                                            "$type": "ModelMaker.DimensionedArrayValues, ModelMaker",
                                            "Elements": {
                                              "$type": "ModelMakerEngine.MMElements, ModelMakerEngine",
                                              "$values": [
                                                {
                                                  "$ref": "11"
                                                }
                                              ]
                                            },
                                            "Values": {
                                              "$type": "System.Collections.Generic.List`1[[System.Object, mscorlib]], mscorlib",
                                              "$values": [
                                                "1"
                                              ]
                                            }
                                          },
                                          {
                                            "$id": "256",
                                            "$type": "ModelMaker.DimensionedArrayValues, ModelMaker",
                                            "Elements": {
                                              "$type": "ModelMakerEngine.MMElements, ModelMakerEngine",
                                              "$values": [
                                                {
                                                  "$ref": "12"
                                                }
                                              ]
                                            },
                                            "Values": {
                                              "$type": "System.Collections.Generic.List`1[[System.Object, mscorlib]], mscorlib",
                                              "$values": [
                                                "2"
                                              ]
                                            }
                                          },
                                          {
                                            "$id": "257",
                                            "$type": "ModelMaker.DimensionedArrayValues, ModelMaker",
                                            "Elements": {
                                              "$type": "ModelMakerEngine.MMElements, ModelMakerEngine",
                                              "$values": [
                                                {
                                                  "$ref": "13"
                                                }
                                              ]
                                            },
                                            "Values": {
                                              "$type": "System.Collections.Generic.List`1[[System.Object, mscorlib]], mscorlib",
                                              "$values": [
                                                "3"
                                              ]
                                            }
                                          },
                                          {
                                            "$id": "258",
                                            "$type": "ModelMaker.DimensionedArrayValues, ModelMaker",
                                            "Elements": {
                                              "$type": "ModelMakerEngine.MMElements, ModelMakerEngine",
                                              "$values": [
                                                {
                                                  "$ref": "14"
                                                }
                                              ]
                                            },
                                            "Values": {
                                              "$type": "System.Collections.Generic.List`1[[System.Object, mscorlib]], mscorlib",
                                              "$values": [
                                                "4"
                                              ]
                                            }
                                          },
                                          {
                                            "$id": "259",
                                            "$type": "ModelMaker.DimensionedArrayValues, ModelMaker",
                                            "Elements": {
                                              "$type": "ModelMakerEngine.MMElements, ModelMakerEngine",
                                              "$values": [
                                                {
                                                  "$ref": "15"
                                                }
                                              ]
                                            },
                                            "Values": {
                                              "$type": "System.Collections.Generic.List`1[[System.Object, mscorlib]], mscorlib",
                                              "$values": [
                                                "5"
                                              ]
                                            }
                                          },
                                          {
                                            "$id": "260",
                                            "$type": "ModelMaker.DimensionedArrayValues, ModelMaker",
                                            "Elements": {
                                              "$type": "ModelMakerEngine.MMElements, ModelMakerEngine",
                                              "$values": [
                                                {
                                                  "$ref": "16"
                                                }
                                              ]
                                            },
                                            "Values": {
                                              "$type": "System.Collections.Generic.List`1[[System.Object, mscorlib]], mscorlib",
                                              "$values": [
                                                "6"
                                              ]
                                            }
                                          },
                                          {
                                            "$id": "261",
                                            "$type": "ModelMaker.DimensionedArrayValues, ModelMaker",
                                            "Elements": {
                                              "$type": "ModelMakerEngine.MMElements, ModelMakerEngine",
                                              "$values": [
                                                {
                                                  "$ref": "17"
                                                }
                                              ]
                                            },
                                            "Values": {
                                              "$type": "System.Collections.Generic.List`1[[System.Object, mscorlib]], mscorlib",
                                              "$values": [
                                                "7"
                                              ]
                                            }
                                          },
                                          {
                                            "$id": "262",
                                            "$type": "ModelMaker.DimensionedArrayValues, ModelMaker",
                                            "Elements": {
                                              "$type": "ModelMakerEngine.MMElements, ModelMakerEngine",
                                              "$values": [
                                                {
                                                  "$ref": "18"
                                                }
                                              ]
                                            },
                                            "Values": {
                                              "$type": "System.Collections.Generic.List`1[[System.Object, mscorlib]], mscorlib",
                                              "$values": [
                                                "8"
                                              ]
                                            }
                                          },
                                          {
                                            "$id": "263",
                                            "$type": "ModelMaker.DimensionedArrayValues, ModelMaker",
                                            "Elements": {
                                              "$type": "ModelMakerEngine.MMElements, ModelMakerEngine",
                                              "$values": [
                                                {
                                                  "$ref": "19"
                                                }
                                              ]
                                            },
                                            "Values": {
                                              "$type": "System.Collections.Generic.List`1[[System.Object, mscorlib]], mscorlib",
                                              "$values": [
                                                "9"
                                              ]
                                            }
                                          },
                                          {
                                            "$id": "264",
                                            "$type": "ModelMaker.DimensionedArrayValues, ModelMaker",
                                            "Elements": {
                                              "$type": "ModelMakerEngine.MMElements, ModelMakerEngine",
                                              "$values": [
                                                {
                                                  "$ref": "20"
                                                }
                                              ]
                                            },
                                            "Values": {
                                              "$type": "System.Collections.Generic.List`1[[System.Object, mscorlib]], mscorlib",
                                              "$values": [
                                                "10"
                                              ]
                                            }
                                          },
                                          {
                                            "$id": "265",
                                            "$type": "ModelMaker.DimensionedArrayValues, ModelMaker",
                                            "Elements": {
                                              "$type": "ModelMakerEngine.MMElements, ModelMakerEngine",
                                              "$values": [
                                                {
                                                  "$ref": "21"
                                                }
                                              ]
                                            },
                                            "Values": {
                                              "$type": "System.Collections.Generic.List`1[[System.Object, mscorlib]], mscorlib",
                                              "$values": [
                                                "11"
                                              ]
                                            }
                                          }
                                        ]
                                      },
                                      "NonPrimaryInput": false,
                                      "Max": "NaN",
                                      "Min": "NaN",
                                      "IsBalanceButNotCorkscrew": false,
                                      "IsEditable": true,
                                      "IsConstant": true,
                                      "UniqueID": "bb7b1eb4-874f-4caf-b953-7748c55ab58d",
                                      "Dimensions": {
                                        "$type": "ModelMakerEngine.MMDimensions, ModelMakerEngine",
                                        "$values": [
                                          {
                                            "$ref": "10"
                                          }
                                        ]
                                      },
                                      "EquationOBXInternal": "{1,2,3,4,5,6,7,8,9,10,11}",
                                      "NameOfGroup": "Unallocated",
                                      "EquationToParse": "{1,2,3,4,5,6,7,8,9,10,11}",
                                      "MostRecentExpectedUnitErrors": null,
                                      "Units": {
                                        "$ref": "22"
                                      },
                                      "Name": "RAB depreciation by Year",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RAB Input",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266",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true,
                                "UniqueID": "f07765f0-e390-46dc-aa24-b0ec86b59da8",
                                "Dimensions": {
                                  "$type": "ModelMakerEngine.MMDimensions, ModelMakerEngine",
                                  "$values": []
                                },
                                "EquationOBXInternal": "60%\r\n",
                                "NameOfGroup": "Inputs.Model Constants.Model Scenarios.Time based",
                                "EquationToParse": "60%\r\n",
                                "MostRecentExpectedUnitErrors": null,
                                "Units": {
                                  "$id": "267",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UKADSF costs are capex (slow money) ratio",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68",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true,
                                "UniqueID": "e8c773d4-f478-4b4b-a800-70ff22843521",
                                "Dimensions": {
                                  "$type": "ModelMakerEngine.MMDimensions, ModelMakerEngine",
                                  "$values": []
                                },
                                "EquationOBXInternal": "60%\r\n",
                                "NameOfGroup": "Inputs.Model Constants.Model Scenarios.Time based",
                                "EquationToParse": "60%\r\n",
                                "MostRecentExpectedUnitErrors": null,
                                "Units": {
                                  "$id": "269",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UKADS1 costs are capex (slow money) ratio",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Time based",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Model Scenario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27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true,
                    "UniqueID": "6adaca76-7b4c-4e6e-bd32-ec10c4a6350a",
                    "Dimensions": {
                      "$type": "ModelMakerEngine.MMDimensions, ModelMakerEngine",
                      "$values": []
                    },
                    "EquationOBXInternal": "3.5%",
                    "NameOfGroup": "Inputs.Model Constants",
                    "EquationToParse": "3.5%",
                    "MostRecentExpectedUnitErrors": null,
                    "Units": {
                      "$id": "271",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Real Social Time Preference Rate",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Model Constant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272",
              "$type": "ModelMaker.GroupNode, ModelMaker",
              "TabOrHeaderColour": "",
              "Comment": "",
              "NameOfGroup": "Unallocated",
              "YPosition": 6,
              "Folded": false,
              "Font": null,
              "Children": {
                "$type": "ModelMaker.GroupNodeChildCollection, ModelMaker",
                "$values": [
                  {
                    "$id": "27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74",
                          "$type": "ModelMaker.DimensionedArrayValues, ModelMaker",
                          "Elements": {
                            "$type": "ModelMakerEngine.MMElements, ModelMakerEngine",
                            "$values": []
                          },
                          "Values": {
                            "$type": "System.Collections.Generic.List`1[[System.Object, mscorlib]], mscorlib",
                            "$values": [
                              null,
                              10.369215947046099,
                              10.240004533375743,
                              7.2238211219064983,
                              9.3728364096742887,
                              6.4323076427956538,
                              7.96246283378222,
                              5.9949522279560261,
                              7.3703003671539031,
                              5.8592418469422896,
                              5.7926359005472081,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b4ffd96f-8721-47de-983a-83a49d78b5f2",
                    "Dimensions": {
                      "$type": "ModelMakerEngine.MMDimensions, ModelMakerEngine",
                      "$values": []
                    },
                    "EquationOBXInternal": "{,10.3692159470461,10.2400045333757,7.2238211219065,9.37283640967429,6.43230764279565,7.96246283378222,5.99495222795603,7.3703003671539,5.85924184694229,5.79263590054721,,,,,,,,,,,,,,,,,,,,,,,,,,,,,,,,,,,,,,,,,,,,,,,,,,,,,,,,,,,,,,,,,,,,,,,,,,,,,,,,,,,,,,,,,,,,,,,,,,,,,,,,,,,,,,,,,,,,,,,,,,,,,,,,,,,,,,,,,,,,,,,,,,,,,,,,,,,,,,,,,,,,,,,,,,,,,,,,,,,,,,,,,,,,,,,,,,,,,,,,,,,,,,,,,,,,,,,,,,,,,,,,,,,,,,,,,,,,,,,,,,,,,,,,,,,,,,,,,,,,,,,,,,,,,,,,,,,,,,,,,,,,,,,,,,,,,,,,,,,,,,,,,,,,,,,,,,,,,,,,,,,,,,,,,,,,,,,,,,,,,,,,,,,,,,,,,,,,,,,,,,,,,,,,,,,,,,,,,,,,,,,,,,,,,,,,,,,,,,,,,,,,,,,,,,,,,,,,,,,,,,,,,,,,,,,,,,,,,,,,,,,,,,,,,,,,,,,,,,,,,,,,,,,,,,,,,,,,,,,,,,,,,,,,,,,,,,,,,,,,,,,,,,,,,,,,,,,,,,,,,,,,,,,,,,,,,,,,,,,,,,,,,,,,,,,,,,,,,,,,,,,,,,,,,,,,,,,,,,,,,,,,,,,,,,,,,,,,,,,,,,,,,,,,,,,,,,,,,,,,,,,,,,,,,,,,,,,,,,,,,,,,,,,,,,,,,,,,,,,,,,,,,,,,,,,,,,,,,,,,,,,,,,,,,,,,,,,,,,,,,,,,,,,,,,,,,,,,,,,,,,,,,,,,,,,,,,,,,,,,,,,,,,,,,,,,,,,,,,,,,,,,,,,,,,,,,,,,,,,,,,,,,,,,,,,,,,,,,,,,,,,,,,,,,,,,,,,,,,,,,,,,,,,,,,,,,,,,,,,,,,,,,,,,,,,,,,,,,,,,,,,,,,,,,,,,,,,,,,,,,,,,,,,,,,,,,,,,,,,,,,,,,,,,,,,,,,,,,,,,,,,,,,,,,,,,,,,,,,,,,,,,,,,,,,,,,,,,,,,,,,,,,,,,,,,,,,,,,,,,,,,,,,,,,,,,,,,,,,,,,,,,,,,,,,,,,,,,,,,,,,,,,,,,,,,,,,,,,,,,,,,,,,,,,,,,,,,,,,,,,,,,,,,,,,,,,,,,,,,,,,,,,,,,,,,,,,,,,,,,,,,,,,,,,,,,,,,,,,,,,,,,,,,,,,,,,,,,,,,,,,,,,,,,,,,,,,,,,,,,,,,,,,,,,,,,,,,,,,,,,,,,,,,,,,,,,,,,,,,,,,,,,,,,,,,,,,,,,,,,,,,,,,,,,,,,,,,,,,,,,,,,,,,,,,,,,,,,,,,,,,,,,,,,,,,,,,,,,,,,,,,,,,,,,,,,,,,,,,,,,,,,,,,,,,,,,,,,,,,,,,,,,,,,,,,,,,,,,,,,,,,,,,,,,,,,,,,,,,,,,,,,,,,,,,,,,,,,,,,,,,,,,,,,,,,,,,,,,,,,,,,,,,,,,,,,,,,,,,,,,,,,,,,,,,,,,,,,,,,,,,,,,,,,,,,,,,,,,,,,,,,,,,,,,,,,,,,,,,,,,,,,,,,,,,,,,,,,,,,,,,,,,,,,,,,,,,,,,,,,,,,,,,,,,,,,,,,,,,,,,,,,,,,,,,,,,,,,,,,,,,,,,,,,,,,,,,,,,,,,,,,,,,,,,,,,,,,,,,,,,,,,,,,,,,,,,,,,,,,,,,,,,,,,,,,,,,,,,,,,,,,,,,,,,,,,,,,,,,,,,,,,,,,,,,,,,,,,,,,,,,,,,,,,,,,,,,,,,,,,,,,,,,,,,,,,,,,,,,,,,,,,,,,,,,,,,,,,,,,,,,,,,,,,,,,,,,,,,,,,,,,,,,,,,,,,,,,,,,,,,,,,,,,,,,,,,,,,,,,,,,,,,,,,,,,,,,,,,,,,,,,,,,,,,,,,,,,,,,,,,,,,,,,,,,,,,,,,,,,,,,,,,,,,,,,,,,,,,,,,,,,,,,,,,,,,,,,,,,,,,,,,,,,,,,,,,,,,,,,,,,,,,,,,,,,,,,,,,,,,,,,,,,,,,,,,,,,,,,,,,,,,,,,,,,,,,,,,,,,,,,,,,,,,,,,,,,,,,,,,,,,,,,,,,,,,,,,,,,,,,,,,,,,,,,,,,,,,,,,,,,,,,,,,,,,,,,,,,,,,,,,,,,,,,,,,,,,,,,,,,,,,,,,,,,,,,,,,,,,,,,,,,,,,,,,,,,,,,,,,,,,,,,,,,,,,,,,,,,,,,,,,,,,,,,,,,,,,,,,,,,,,,,,,,,,,,,,,,,,,,,,,,,,,,,,,,,,,,,,,,,,,,,,,,,,,,,,,,,,,,,,,,,,,,,,,,,,,,,,,,,,,,,,,,,,,,,,,,,,,,,,,,,,,,,,,,,,,,,,,,,,,,,,,,,,,,,,,,,,,,,,,,,,,,,,,,,,,,,,,,,,,,,,,,,,,,,,,,,,,,,,,,,,,,,,,,,,,,,,,,,,,,,,,,,,,,,,,,,,,,,,,,,,,,,,,,,,,,,,,,,,,,,,,,,,,,,,,,,,,,,,,,,,,,,,,,,,,,,,,,,,,,,,,,,,,,,,,,,,,,,,,,,,,,,,,,,,,,,,,,,,,,,,,,,,,,,,,,,,,,,,,,,,,,,,,,,,,,,,,,,,,,,,,,,,,,,,,,,,,,,,,,,,,,,,,,,,,,,,,,,,,,,,,,,,,,,,,,,,,,,,,,,,,,,,,,,,,,,,,,,,,,,,,,,,,,,,,,,,,,,,,,,,,,,,,,,,,,,,,,,,,,,,,,,,,,,,,,,,,,,,,,,,,,,,,,,,,,,,,,,,,,,,,,,,,,,,,,,,,,,,,,,,,,,,,,,,,,,,,,,,,,,,,,,,,,,,,,,,,,,,,,,,,,,,,,,,,,,,,,,,,,,,,,,,,,,,,,,,,,,,,,,,,,,,,,,,,,,,,,,,,,,,,,,,,,,,,,,,,,,,,,,,,,,,,,,,,,,,,,,,,,,,,,,,,,,,,,,,,,,,,,,,,,,,,,,,,,,,,,,,,,,,,,,,,,,,,,,,,,,,,,,,,,,,,,,,,,,,,,,,,,,,,,,,,,,,,,,,,,,,,,,,,,,,,,,,,,,,,,,,,,,,,,,,,,,,,,,,,,,,,,,,,,,,,,,,,,,,,,,,,,,,,,,,,,,,,,,,,,,,,,,,,,,,,,,,,,,,,,,,,,,,,,,,,,,,,,,,,,,,,,,,,,,,,,,,,,,,,,,,,,,,,,,,,,,,,,,,,,,,,,,,,,,,,,,,,,,,,,,,,,,,,,,,,,,,,,,,,,,,,,,,,,,,,,,,,,,,,,,,,,,,,,,,,,,,,,,,,,,,,,,,,,,,,,,,,,,,,,,,,,,,,,,,,,,,,,,,,,,,,,,,,,,,,,,,,,,,,,,,,,,,,,,,,,,,,,,,,,,,,,,,,,,,,,,,,,,,,,,,,,,,,,,,,,,,,,,,,,,,,,,,,,,,,,,,,,,,,,,,,,,,,,,,,,,,,,,,,,,,,,,,,,,,,,,,,,,,,,,,,,,,,,,,,,,,,,,,,,,,,,,,,,,,,,,,,,,,,,,,,,,,,,,,,,,,,,,,,,,,,,,,,,,,,,,,,,,,,,,,,,,,,,,,,,,,,,,,,,,,,,,,,,,,,,,,,,,,,,,,,,,,,,,,,,,,,,,,,,,,,,,,,,,,,,,,,,,,,,,,,,,,,,,,,,,,,,,,,,,,,,,,,,,,,,,,,,,,,,,,,,,,,,,,,,,,,,,,,,,,,,,,,,,,,,,,,,,,,,,,,,,,,,,,,,,,,,,,,,,,,,,,,,,,,,,,,,,,,,,,,,,,,,,,,,,,,,,,,,,,,,,,,,,,,,,,,,,,,,,,,,,,,,,,,,,,,,,,,,,,,,,,,,,,,,,,,,,,,,,,,,,,,,,,,,,,,,,,,,,,,,,,,,,,,,,,,,,,,,,,,,,,,,,,,,,,,,,,,,,,,,,,,,,,,,,,,,,,,,,,,,,,,,,,,,,,,,,,,,,,,,,,,,,,,,,,,,,,,,,,,,,,,,,,,,,,,,,,,,,,,,,,,,,,,,,,,,,,,,,,,,,,,,,,,,,,,,,,,,,,,,,,,,,,,,,,,,,,,,,,,,,,,,,,,,,,,,,,,,,,,,,,,,,,,,,,,,,,,,,,,,,,,,,,,,,,,,,,,,,,,,,,,,,,,,,,,,,,,,,,,,,,,,,,,,,,,,,,,,,,,,,,,,,,,,,,,,,,,,,,,,,,,,,,,,,,,,,,,,,,,,,,,,,,,,,,,,,,,,,,,,,,,,,,,,,,,,,,,,,,,,,,,,,,,,,,,,,,,,,,,,,,,,,,,,,,,,,,,,,,,,,,,,,,,,,,,,,,,,,,,,,,,,,,,,,,,,,,,,,,,,,,,,,,,,,,,,,,,,,,,,,,,,,,,,,,,,,,,,,,,,,,,,,,,,,,,,,,,,,,,,,,,,,,,,,,,,,,,,,,,,,,,,,,,,,,,,,,,,,,,,,,,,,,,,,,,,,,,,,,,,,,,,,,,,,,,,,,,,,,,,,,,,,,,,,,,,,,,,,,,,,,,,,,,,,,,,,,,,,,,,,,,,,,,,,,,,,,,,,,,,,,,,,,,,,,,,,,,,,,,,,,,,,,,,,,,,,,,,,,,,,,,,,,,,,,,,,,,,,,,,,,,,,,,,,,,,,,,,,,,,,,,,,,,,,,,,,,,,,,,,,,,,,,,,,,,,,,,,,,,,,,,,,,,,,,,,,,,,,,,,,,,,,,,,,,,,,,,,,,,,,,,,,,,,,,,,,,,,,,,,,,,,,,,,,,,,,,,,,,,,,,,,,,,,,,,,,,,,,,,,,,,,,,,,,,,,,,,,,,,,,,,,,,,,,,,,,,,,,,,,,,,,,,,,,,,,,,,,,,,,,,,,,,,,,,,,,,,,,,,,,,,,,,,,,,,,,,,,,,,,,,,,,,,,,,,,,,,,,,,,,,,,,,,,,,,,,,,,,,,,,,,,,,,,,,,,,,,,,,,,,,,,,,,,,,,,,,,,,,,,,,,,,,,,,,,,,,,,,,,,,,,,,,,,,,,,,,,,,,,,,,,,,,,,,,,,,,,,,,,,,,,,,,,,,,,,,,,,,,,,,,,,,,,,,,,,,,,,,,,,,,,,,,,,,,,,,,,,,,,,,,,,,,,,,,,,,,,,,,,,,,,,,,,,,,,,,,,,,,,,,,,,,,,,,,,,,,,,,,,,,,,,,,,,,,,,,,,,,,,,,,,,,,,,,,,,,,,,,,,,,,,,,,,,,,,,,,,,,,,,,,,,,,,,,,,,,,,,,,,,,,,,,,,,,,,,,,,,,,,,,,,,,,,,,,,,,,,,,,,,,,,,,,,,,,,,,,,,,,,,,,,,,,,,,,,,,,,,,,,,,,,,,,,,,,,,,,,,,,,,,,,,,,,,,,,,,,,,,,,,,,,,,,,,,,,,,,,,,,,,,,,,,,,,,,,,,,,,,,,,,,,,,,,,,,,,,,,,,,,,,,,,,,,,,,,,,,,,,,,,,,,,,,,,,,,,,,,,,,,,,,,,,,,,,,,,,,,,,,,,,,,,,,,,,,,,,,,,,,,,,,,,,,,,,,,,,,,,,,,,,,,,,,,,,,,,,,,,,,,,,,,,,,,,,,,,,,,,,,,,,,,,,,,,,,,,,,,,,,,,,,,,,,,,,,,,,,,,,,,,,,,,,,,,,,,,,,,,,,,,,,,,,,,,,,,,,,,,,,,,,,,,,,,,,,,,,,,,,,,,,,,,,,,,,,,,,,,,,,,,,,,,,,,,,,,,,,,,,,,,,,,,,,,,,,,,,,,,,,,,,,,,,,,,,,,,,,,,,,,,,,,,,,,,,,,,,,,,,,,,,,,,,,,,,,,,,,,,,,,,,,,,,,,,,,,,,,,,,,,,,,,,,,,,,,,,,,,,,,,,,,,,,,,,,,,,,,,,,,,,,,,,,,,,,,,,,,,,,,,,,,,,,,,,,,,,,,,,,,,,,,,,,,,,,,,,,,,,,,,,,,,,,,,,,,,,,,,,,,,,,,,,,,,,,,,,,,,,,,,,,,,,,,,,,,,,,,,,,,,,,,,,,,,,,,,,,,,,,,,,,,,,,,,,,,,,,,,,,,,,,,,,,,,,,,,,,,,,,,,,,,,,,,,,,,,,,,,,,,,,,,,,,,,,,,,,,,,,,,,,,,,,,,,,,,,,,,,,,,,,,,,,,,,,,,,,,,,,,,,,,,,,,,,,,,,,,,,,,,,,,,,,,,,,,,,,,,,,,,,,,,,,,,,,,,,,,,,,,,,,,,,,,,,,,,,,,,,,,,,,,,,,,,,,,,,,,,,,,,,,,,,,,,,,,,,,,,,,,,,,,,,,,,,,,,,,,,,,,,,,,,,,,,,,,,,,,,,,,,,,,,,,,,,,,,,,,,,,,,,,,,,,,,,,,,,,,,,,,,,,,,,,,,,,,,,,,,,,,,,,,,,,,,,,,,,,,,,,,,,,,,,,,,,,,,,,,,,,,,,,,,,,,,,,,,,,,,,,,,,,,,,,,,,,,,,,,,,,,,,,,,,,,,,,,,,,,,,,,,,,,,,,,,,,,,,,,,,,,,,,,,,,,,,,,,,,,,,,,,,,,,,,,,,,,,,,,,,,,,,,,,,,,,,,,,,,,,,,,,,,,,,,,,,,,,,,,,,,,,,,,,,,,,,,,,,,,,,,,,,,,,,,,,,,,,,,,,,,,,,,,,,,,,,,,,,,,,,,,,,,,,,,,,,,,,,,,,,,,,,,,,,,,,,,,,,,,,,,,,,,,,,,,,,,,,,,,,,,,,,,,,,,,,,,,,,,,,,,,,,,,,,,,,,,,,,,,,,,,,,,,,,,,,,,,,,,,,,,,,,,,,,,,,,,,,,,,,,,,,,,,,,,,,,,,,,,,,,,,,,,,,,,,,,,,,,,,,,,,,,,,,,,,,,,,,,,,,,,,,,,,,,,,,,,,,,,,,,,,,,,,,,,,,,,,,,,,,,,,,,,,,,,,,,,,,,,,,,,,,,,,,,,,,,,,,,,,,,,,,,,,,,,,,,,,,,,,,,,,,,,,,,,,,,,,,,,,,,,,,,,,,,,,,,,,,,,,,,,,,,,,,,,,,,,,,,,,,,,,,,,,,,,,,,,,,,,,,,,,,,,,,,,,,,,,,,,,,,,,,,,,,,,,,,,,,,,,,,,,,,,,,,,,,,,,,,,,,,,,,,,,,,,,,,,,,,,,,,,,,,,,,,,,,,,,,,,,,,,,,,,,,,,,,,,,,,,,,,,,,,,,,,,,,,,,,,,,,,,,,,,,,,,,,,,,,,,,,,,,,,,,,,,,,,,,,,,,,,,,,,,,,,,,,,,,,,,,,,,,,,,,,,,,,,,,,,,,,,,,,,,,,,,,,,,,,,,,,,,,,,,,,,,,,,,,,,,,,,,,,,,,,,,,,,,,,,,,,,,,,,,,,,,,,,,,,,,,,,,,,,,,,,,,,,,,,,,,,,,,,,,,,,,,,,,,,,,,,,,,,,,,,,,,,,,,,,,,,,,,,,,,,,,,,,,,,,,,,,,,,,,,,,,,,,,,,,,,,,,,,,,,,,,,,,,,,,,,,,,,,,,,,,,,,,,,,,,,,,,,,,,,,,,,,,,,,,,,,,,,,,,,,,,,,,,,,,,,,,,,,,,,,,,,,,,,,,,,,,,,,,,,,,,,,,,,,,,,,,,,,,,,,,,,,,,,,,,,,,,,,,,,,,,,,,,,,,,,,,,,,,,,,,,,,,,,,,,,,,,,,,,,,,,,,,,,,,,,,,,,,,,,,,,,,,,,,,,,,,,,,,,,,,,,,,,,,,,,,,,,,,,,,,,,,,,,,,,,,,,,,,,,,,,,,,,,,,,,,,,,,,,,,,,,,,,,,,,,,,,,,,,,,,,,,,,,,,,,,,,,,,,,,,,,,,,,,,,,,,,,,,,,,,,,,,,,,,,,,,,,,,,,,,,,,,,,,,,,,,,,,,,,,,,,,,,,,,,,,,,,,,,,,,,,,,,,,,,,,,,,,,,,,,,,,,,,,,,,,,,,,,,,,,,,,,,,,,,,,,,,,,,,,,,,,,,,,,,,,,,,,,,,,,,,,,,,,,,,,,,,,,,,,,,,,,,,,,,,,,,,,,,,,,,,,,,,,,,,,,,,,,,,,,,,,,,,,,,,,,,,,,,,,,,,,,,,,,,,,,,,,,,,,,,,,,,,,,,,,,,,,,,,,,,,,,,,,,,,,,,,,,,,,,,,,,,,,,,,,,,,,,,,,,,,,,,,,,,,,,,,,,,,,,,,,,,,,,,,,,,,,,,,,,,,,,,,,,,,,,,,,,,,,,,,,,,,,,,,,,,,,,,,,,,,,,,,,,,,,,,,,,,,,,,,,,,,,,,,,,,,,,,,,,,,,,,,,,,,,,,,,,,,,,,,,,,,,,,,,,,,,,,,,,,,,,,,,,,,,,,,,,,,,,,,,,,,,,,,,,,,,,,,,,,,,,,,,,,,,,,,,,,,,,,,,,,,,,,,,,,,,,,,,,,,,,,,,,,,,,,,,,,,,,,,,,,,,,,,,,,,,,,,,,,,,,,,,,,,,,,,,,,,,,,,,,,,,,,,,,,,,,,,,,,,,,,,,,,,,,,,,,,,,,,,,,,,,,,,,,,,,,,,,,,,,,,,,,,,,,,,,,,,,,,,,,,,,,,,,,,,,,,,,,,,,,,,,,,,,,,,,,,,,,,,,,,,,,,,,,,,,,,,,,,,,,,,,,,,,,,,,,,,,,,,,,,,,,,,,,,,,,,,,,,,,,,,,,,,,,,,,,,,,,,,,,,,,,,,,,,,,,,,,,,,,,,,,,,,,,,,,,,,,,,,,,,,,,,,,,,,,,,,,,,,,,,,,,,,,,,,,,,,,,,,,,,,,,,,,,,,,,,,,,,,,,,,,,,,,,,,,,,,,,,,,,,,,,,,,,,,,,,,,,,,,,,,,,,,,,,,,,,,,,,,,,,,,,,,,,,,,,,,,,,,,,,,,,,,,,,,,,,,,,,,,,,,,,,,,,,,,,,,,,,,,,,,,,,,,,,,,,,,,,,,,,,,,,,,,,,,,,,,,,,,,,,,,,,,,,,,,,,,,,,,,,,,,,,,,,,,,,,,,,,,,,,,,,,,,,,,,,,,,,,,,,,,,,,,,,,,,,,,,,,,,,,,,,,,,,,,,,,,,,,,,,,,,,,,,,,,,,,,,,,,,,,,,,,,,,,,,,,,,,,,,,,,,,,,,,,,,,,,,,,,,,,,,,,,,,,,,,,,,,,,,,,,,,,,,,,,,,,,,,,,,,,,,,,,,,,,,,,,,,,,,,,,,,,,,,,,,,,,,,,,,,,,,,,,,,,,,,,,,,,,,,,,,,,,,,,,,,,,,,,,,,,,,,,,,,,,,,,,,,,,,,,,,,,,,,,,,,,,,,,,,,,,,,,,,,,,,,,,,,,,,,,,,,,,,,,,,,,,,,,,,,,,,,,,,,,,,,,,,,,,,,,,,,,,,,,,,,,,,,,,,,,,,,,,,,,,,,,,,,,,,,,,,,,,,,,,,,,,,,,,,,,,,,,,,,,,,,,,,,,,,,,,,,,,,,,,,,,,,,,,,,,,,,,,,,,,,,,,,,,,,,,,,,,,,,,,,,,,,,,,,,,,,,,,,,,,,,,,,,,,,,,,,,,,,,,,,,,,,,,,,,,,,,,,,,,,,,,,,,,,,,,,,,,,,,,,,,,,,,,,,,,,,,,,,,,,,,,,,,,,,,,,,,,,,,,,,,,,,,,,,,,,,,,,,,,,,,,,,,,,,,,,,,,,,,,,,,,,,,,,,,,,,,,,,,,,,,,,,,,,,,,,,,,,,,,,,,,,,,,,,,,,,,,,,,,,,,,,,,,,,,,,,,,,,,,,,,,,,,,,,,,,,,,,,,,,,,,,,,,,,,,,,,,,,,,,,,,,,,,,,,,,,,,,,,,,,,,,,,,,,,,,,,,,,,,,,,,,,,,,,,,,,,,,,,,,,,,,,,,,,,,,,,,,,,,,,,,,,,,,,,,,,,,,,,,,,,,,,,,,,,,,,,,,,,,,,,,,,,,,,,,,,,,,,,,,,,,,,,,,,,,,,,,,,,,,,,,,,,,,,,,,,,,,,,,,,,,,,,,,,,,,,,,,,,,,,,,,,,,,,,,,,,,,,,,,,,,,,,,,,,,,,,,,,,,,,,,,,,,,,,,,,,,,,,,,,,,,,,,,,,,,,,,,,,,,,,,,,,,,,,,,,,,,,,,,,,,,,,,,,,,,,,,,,,,,,,,,,,,,,,,,,,,,,,,,,,,,,,,,,,,,,,,,,,,,,,,,,,,,,,,,,,,,,,,,,,,,,,,,,,,,,,,,,,,,,,,,,,,,,,,,,,,,,,,,,,,,,,,,,,,,,,,,,,,,,,,,,,,,,,,,,,,,,,,,,,,,,,,,,,,,,,,,,,,,,,,,,,,,,,,,,,,,,,,,,,,,,,,,,,,,,,,,,,,,,,,,,,,,,,,,,,,,,,,,,,,,,,,,,,,,,,,,,,,,,,,,,,,,,,,,,,,,,,,,,,,,,,,,,,,,,,,,,,,,,,,,,,,,,,,,,,,,,,,,,,,,,,,,,,,,,,,,,,,,,,,,,,,,,,,,,,,,,,,,,,,,,,,,,,,,,,,,,,,,,,,,,,,,,,,,,,,,,,,,,,,,,,,,,,,,,,,,,,,,,,,,,,,,,,,,,,,,,,,,,,,,,,,,,,,,,,,,,,,,,,,,,,,,,,,,,,,,,,,,,,,,,,,,,,,,,,,,,,,,,,,,,,,,,,,,,,,,,,,,,,,,,,,,,,,,,,,,,,,,,,,,,,,,,,,,,,,,,,,,,,,,,,,,,,,,,,,,,,,,,,,,,,,,,,,,,,,,,,,,,,,,,,,,,,,,,,,,,,,,,,,,,,,,,,,,,,,,,,,,,,,,,,,,,,,,,,,,,,,,,,,,,,,,,,,,,,,,,,,,,,,,,,,,,,,,,,,,,,,,,,,,,,,,,,,,,,,,,,,,,,,,,,,,,,,,,,,,,,,,,,,,,,,,,,,,,,,,,,,,,,,,,,,,,,,,,,,,,,,,,,,,,,,,,,,,,,,,,,,,,,,,,,,,,,,,,,,,,,,,,,,,,,,,,,,,,,,,,,,,,,,,,,,,,,,,,,,,,,,,,,,,,,,,,,,,,,,,,,,,,,,,,,,,,,,,,,,,,,,,,,,,,,,,,,,,,,,,,,,,,,,,,,,,,,,,,,,,,,,,,,,,,,,,,,,,,,,,,,,,,,,,,,,,,,,,,,,,,,,,,,,,,,,,,,,,,,,,,,,,,,,,,,,,,,,,,,,,,,,,,,,,,,,,,,,,,,,,,,,,,,,,,,,,,,,,,,,,,,,,,,,,,,,,,,,,,,,,,,,,,,,,,,,,,,,,,,,,,,,,,,,,,,,,,,,,,,,,,,,,,,,,,,,,,,,,,,,,,,,,,,,,,,,,,,,,,,,,,,,,,,,,,,,,,,,,,,,,,,,,,,,,,,,,,,,,,,,,,,,,,,,,,,,,,,,,,,,,,,,,,,,,,,,,,,,,,,,,,,,,,,,,,,,,,,,,,,,,,,,,,,,,,,,,,,,,,,,,,,,,,,,,,,,,,,,,,,,,,,,,,,,,,,,,,,,,,,,,,,,,,,,,,,,,,,,,,,,,,,,,,,,,,,,,,,,,,,,,,,,,,,,,,,,,,,,,,,,,,,,,,,,,,,,,,,,,,,,,,,,,,,,,,,,,,,,,,,,,,,,,,,,,,,,,,,,,,,,,,,,,,,,,,,,,,,,,,,,,,,,,,,,,,,,,,,,,,,,,,,,,,,,,,,,,,,,,,,,,,,,,,,,,,,,,,,,,,,,,,,,,,,,,,,,,,,,,,,,,,,,,,,,,,,,,,,,,,,,,,,,,,,,,,,,,,,,,,,,,,,,,,,,,,,,,,,,,,,,,,,,,,,,,,,,,,,,,,,,,,,,,,,,,,,,,,,,,,,,,,,,,,,,,,,,,,,,,,,,,,,,,,,,,,,,,,,,,,,,,,,,,,,,,,,,,,,,,,,,,,,,,,,,,,,,,,,,,,,,,,,,,,,,,,,,,,,,,,,,,,,,,,,,,,,,,,,,,,,,,,,,,,,,,,,,,,,,,,,,,,,,,,,,,,,,,,,,,,,,,,,,,,,,,,,,,,,,,,,,,,,,,,,,,,,,,,,,,,,,,,,,,,,,,,,,,,,,,,,,,,,,,,,,,,,,,,,,,,,,,,,,,,,,,,,,,,,,,,,,,,,,,,,,,,,,,,,,,,,,,,,,,,,,,,,,,,,,,,,,,,,,,,,,,,,,,,,,,,,,,,,,,,,,,,,,,,,,,,,,,,,,,,,,,,,,,,,,,,,,,,,,,,,,,,,,,,,,,,,,,,,,,,,,,,,,,,,,,,,,,,,,,,,,,,,,,,,,,,,,,,,,,,,,,,,,,,,,,,,,,,,,,,,,,,,,,,,,,,,,,,,,,,,,,,,,,,,,,,,,,,,,,,,,,,,,,,,,,,,,,,,,,,,,,,,,,,,,,,,,,,,,,,,,,,,,,,,,,,,,,,,,,,,,,,,,,,,,,,,,,,,,,,,,,,,,,,,,,,,,,,,,,,,,,,,,,,,,,,,,,,,,,,,,,,,,,,,,,,,,,,,,,,,,,,,,,,,,,,,,,,,,,,,,,,,,,,,,,,,,,,,,,,,,,,,,,,,,,,,,,,,,,,,,,,,,,,,,,,,,,,,,,,,,,,,,,,,,,,,,,,,,,,,,,,,,,,,,,,,,,,,,,,,,,,,,,,,,,,,,,,,,,,,,,,,,,,,,,,,,,,,,,,,,,,,,,,,,,,,,,,,,,,,,,,,,,,,,,,,,,,,,,,,,,,,,,,,,,,,,,,,,,,,,,,,,,,,,,,,,,,,,,,,,,,,,,,,,,,,,,,,,,,,,,,,,,,,,,,,,,,,,,,,,,,,,,,,,,,,,,,,,,,,,,,,,,,,,,,,,,,,,,,,,,,,,,,,,,,,,,,,,,,,,,,,,,,,,,,,,,,,,,,,,,,,,,,,,,,,,,,,,,,,,,,,,,,,,,,,,,,,,,,,,,,,,,,,,,,,,,,,,,,,,,,,,,,,,,,,,,,,,,,,,,,,,,,,,,,,,,,,,,,,,,,,,,,,,,,,,,,,,,,,,,,,,,,,,,,,,,,,,,,,,,,,,,,,,,,,,,,,,,,,,,,,,,,,,,,,,,,,,,,,,,,,,,,,,,,,,,,,,,,,,,,,,,,,,,,,,,,,,,,,,,,,,,,,,,,,,,,,,,,,,,,,,,,,,,,,,,,,,,,,,,,,,,,,,,,,,,,,,,,,,,,,,,,,,,,,,,,,,,,,,,,,,,,,,,,,,,,,,,,,,,,,,,,,,,,,,,,,,,,,,,,,,,,,,,,,,,,,,,,,,,,,,,,,,,,,,,,,,,,,,,,,,,,,,,,,,,,,,,,,,,,,,,,,,,,,,,,,,,,,,,,,,,,,,,,,,,,,,,,,,,,,,,,,,,,,,,,,,,,,,,,,,,,,,,,,,,,,,,,,,,,,,,,,,,,,,,,,,,,,,,,,,,,,,,,,,,,,,,,,,,,,,,,,,,,,,,,,,,,,,,,,,,,,,,,,,,,,,,,,,,,,,,,,,,,,,,,,,,,,,,,,,,,,,,,,,,,,,,,,,,,,,,,,,,,,,,,,,,,,,,,,,,,,,,,,,,,,,,,,,,,,,,,,,,,,,,,,,,,,,,,,,,,,,,,,,,,,,,,,,,,,,,,,,,,,,,,,,,,,,,,,,,,,,,,,,,,,,,,,,,,,,,,,,,,,,,,,,,,,,,,,,,,,,,,,,,,,,,,,,,,,,,,,,,,,,,,,,,,,,,,,,,,,,,,,,,,,,,,,,,,,,,,,,,,,,,,,,,,,,,,,,,,,,,,,,,,,,,,,,,,,,,,,,,,,,,,,,,,,,,,,,,,,,,,,,,,,,,,,,,,,,,,,,,,,,,,,,,,,,,,,,,,,,,,,,,,,,,,,,,,,,,,,,,,,,,,,,,,,,,,,,,,,,,,,,,,,,,,,,,,,,,,,,,,,,,,,,,,,,,,,,,,,,,,,,,,,,,,,,,,,,,,,,,,,,,,,,,,,,,,,,,,,,,,,,,,,,,,,,,,,,,,,,,,,,,,,,,,,,,,,,,,,,,,,,,,,,,,,,,,,,,,,,,,,,,,,,,,,,,,,,,,,,,,,,,,,,,,,,,,,,,,,,,,,,,,,,,,,,,,,,,,,,,,,,,,,,,,,,,,,,,,,,,,,,,,,,,,,,,,,,,,,,,,,,,,,,,,,,,,,,,,,,,,,,,,,,,,,,,,,,,,,,,,,,,,,,,,,,,,,,,,,,,,,,,,,,,,,,,,,,,,,,,,,,,,,,,,,,,,,,,,,,,,,,,,,,,,,,,,,,,,,,,,,,,,,,,,,,,,,,,,,,,,,,,,,,,,,,,,,,,,,,,,,,,,,,,,,,,,,,,,,,,,,,,,,,,,,,,,,,,,,,,,,,,,,,,,,,,,,,,,,,,,,,,,,,,,,,,,,,,,,,,,,,,,,,,,,,,,,,,,,,,,,,,,,,,,,,,,,,,,,,,,,,,,,,,,,,,,,,,,,,,,,,,,,,,,,,,,,,,,,,,,,,,,,,,,,,,,,,,,,,,,,,,,,,,,,,,,,,,,,,,,,,,,,,,,,,,,,,,,,,,,,,,,,,,,,,,,,,,,,,,,,,,,,,,,,,,,,,,,,,,,,,,,,,,,,,,,,,,,,,,,,,,,,,,,,,,,,,,,,,,,,,,,,,,,,,,,,,,,,,,,,,,,,,,,,,,,,,,,,,,,,,,,,,,,,,,,,,,,,,,,,,,,,,,,,,,,,,,,,,,,,,,,,,,,,,,,,,,,,,,,,,,,,,,,,,,,,,,,,,,,,,,,,,,,,,,,,,,,,,,,,,,,,,,,,,,,,,,,,,,,,,,,,,,,,,,,,,,,,,,,,,,,,,,,,,,,,,,,,,,,,,,,,,,,,,,,,,,,,,,,,,,,,,,,,,,,,,,,,,,,,,,,,,,,,,,,,,,,,,,,,,,,,,,,,,,,,,,,,,,,,,,,,,,,,,,,,,,,,,,,,,,,,,,,,,,,,,,,,,,,,,,,,,,,,,,,,,,,,,,,,,,,,,,,,,,,,,,,,,,,,,,,,,,,,,,,,,,,,,,,,,,,,,,,,,,,,,,,,,,,,,,,,,,,,,,,,,,,,,,,,,,,,,,,,,,,,,,,,,,,,,,,,,,,,,,,,,,,,,,,,,,,,,,,,,,,,,,,,,,,,,,,,,,,,,,,,,,,,,,,,,,,,,,,,,,,,,,,,,,,,,,,,,,,,,,,,,,,,,,,,,,,,,,,,,,,,,,,,,,,,,,,,,,,,,,,,,,,,,,,,,,,,,,,,,,,,,,,,,,,,,,,,,,,,,,,,,,,,,,,,,,,,,,,,,,,,,,,,,,,,,,,,,,,,,,,,,,,,,,,,,,,,,,,,,,,,,,,,,,,,,,,,,,,,,,,,,,,,,,,,,,,,,,,,,,,,,,,,,,,,,,,,,,,,,,,,,,,,,,,,,,,,,,,,,,,,,,,,,,,,,,,,,,,,,,,,,,,,,,,,,,,,,,,,,,,,,,,,,,,,,,,,,,,,,,,,,,,,,,,,,,,,,,,,,,,,,,,,,,,,,,,,,,,,,,,,,,,,,,,,,,,,,,,,,,,,,,,,,,,,,,,,,,,,,,,,,,,,,,,,,,,,,,,,,,,,,,,,,,,,,,,,,,,,,,,,,,,,,,,,,,,,,,,,,,,,,,,,,,,,,,,,,,,,,,,,,,,,,,,,,,,,,,,,,,,,,,,,,,,,,,,,,,,,,,,,,,,,,,,,,,,,,,,,,,,,,,,,,,,,,,,,,,,,,,,,,,,,,,,,,,,,,,,,,,,,,,,,,,,,,,,,,,,,,,,,,,,,,,,,,,,,,,,,,,,,,,,,,,,,,,,,,,,,,,,,,,,,,,,,,,,,,,,,,,,,,,,,,,,,,,,,,,,,,,,,,,,,,,,,,,,,,,,,,,,,,,,,,,,,,,,,,,,,,,,,,,,,,,,,,,,,,,,,,,,,,,,,,,,,,,,,,,,,,,,,,,,,,,,,,,,,,,,,,,,,,,,,,,,,,,,,,,,,,,,,,,,,,,,,,,,,,,,,,,,,,,,,,,,,,,,,,,,,,,,,,,,,,,,,,,,,,,,,,,,,,,,,,,,,,,,,,,,,,,,,,,,,,,,,,,,,,,,,,,,,,,,,,,,,,,,,,,,,,,,,,,,,,,,,,,,,,,,,,,,,,,,,,,,,,,,,,,,,,,,,,,,,,,,,,,,,,,,,,,,,,,,,,,,,,,,,,,,,,,,,,,,,,,,,,,,,,,,,,,,,,,,,,,,,,,,,,,,,,,,,,,,,,,,,,,,,,,,,,,,,,,,,,,,,,,,,,,,,,,,,,,,,,,,,,,,,,,,,,,,,,,,,,,,,,,,,,,,,,,,,,,,,,,,,,,,,,,,,,,,,,,,,,,,,,,,,,,,,,,,,,,,,,,,,,,,,,,,,,,,,,,,,,,,,,,,,,,,,,,,,,,,,,,,,,,,,,,,,,,,,,,,,,,,,,,,,,,,,,,,,,,,,,,,,,,,,,,,,,,,,,,,,,,,,,,,,,,,,,,,,,,,,,,,,,,,,,,,,,,,,,,,,,,,,,,,,,,,,,,,,,,,,,,,,,,,,,,,,,,,,,,,,,,,,,,,,,,,,,,,,,,,,,,,,,,,,,,,,,,,,,,,,,,,,,,,,,,,,,,,,,,,,,,,,,,,,,,,,,,,,,,,,,,,,,,,,,,,,,,,,,,,,,,,,,,,,,,,,,,,,,,,,,,,,,,,,,,,,,,,,,,,,,,,,,,,,,,,,,,,,,,,,,,,,,,,,,,,,,,,,,,,,,,,,,,,,,,,,,,,,,,,,,,,,,,,,,,,,,,,,,,,,,,,,,,,,,,,,,,,,,,,,,,,,,,,,,,,,,,,,,,,,,,,,,,,,,,,,,,,,,,,,,,,,,,,,,,,,,,,,,,,,,,,,,,,,,,,,,,,,,,,,,,,,,,,,,,,,,,,,,,,,,,,,,,,,,,,,,,,,,,,,,,,,,,,,,,,,,,,,,,,,,,,,,,,,,,,,,,,,,,,,,,,,,,,,,,,,,,,,,,,,,,,,,,,,,,,,,,,,,,,,,,,,,,,,,,,,,,,,,,,,,,,,,,,,,,,,,,,,,,,,,,,,,,,,,,,,,,,,,,,,,,,,,,,,,,,,,,,,,,,,,,,,,,,,,,,,,,,,,,,,,,,,,,,,,,,,,,,,,,}",
                    "NameOfGroup": "Unallocated",
                    "EquationToParse": "{,10.3692159470461,10.2400045333757,7.2238211219065,9.37283640967429,6.43230764279565,7.96246283378222,5.99495222795603,7.3703003671539,5.85924184694229,5.79263590054721,,,,,,,,,,,,,,,,,,,,,,,,,,,,,,,,,,,,,,,,,,,,,,,,,,,,,,,,,,,,,,,,,,,,,,,,,,,,,,,,,,,,,,,,,,,,,,,,,,,,,,,,,,,,,,,,,,,,,,,,,,,,,,,,,,,,,,,,,,,,,,,,,,,,,,,,,,,,,,,,,,,,,,,,,,,,,,,,,,,,,,,,,,,,,,,,,,,,,,,,,,,,,,,,,,,,,,,,,,,,,,,,,,,,,,,,,,,,,,,,,,,,,,,,,,,,,,,,,,,,,,,,,,,,,,,,,,,,,,,,,,,,,,,,,,,,,,,,,,,,,,,,,,,,,,,,,,,,,,,,,,,,,,,,,,,,,,,,,,,,,,,,,,,,,,,,,,,,,,,,,,,,,,,,,,,,,,,,,,,,,,,,,,,,,,,,,,,,,,,,,,,,,,,,,,,,,,,,,,,,,,,,,,,,,,,,,,,,,,,,,,,,,,,,,,,,,,,,,,,,,,,,,,,,,,,,,,,,,,,,,,,,,,,,,,,,,,,,,,,,,,,,,,,,,,,,,,,,,,,,,,,,,,,,,,,,,,,,,,,,,,,,,,,,,,,,,,,,,,,,,,,,,,,,,,,,,,,,,,,,,,,,,,,,,,,,,,,,,,,,,,,,,,,,,,,,,,,,,,,,,,,,,,,,,,,,,,,,,,,,,,,,,,,,,,,,,,,,,,,,,,,,,,,,,,,,,,,,,,,,,,,,,,,,,,,,,,,,,,,,,,,,,,,,,,,,,,,,,,,,,,,,,,,,,,,,,,,,,,,,,,,,,,,,,,,,,,,,,,,,,,,,,,,,,,,,,,,,,,,,,,,,,,,,,,,,,,,,,,,,,,,,,,,,,,,,,,,,,,,,,,,,,,,,,,,,,,,,,,,,,,,,,,,,,,,,,,,,,,,,,,,,,,,,,,,,,,,,,,,,,,,,,,,,,,,,,,,,,,,,,,,,,,,,,,,,,,,,,,,,,,,,,,,,,,,,,,,,,,,,,,,,,,,,,,,,,,,,,,,,,,,,,,,,,,,,,,,,,,,,,,,,,,,,,,,,,,,,,,,,,,,,,,,,,,,,,,,,,,,,,,,,,,,,,,,,,,,,,,,,,,,,,,,,,,,,,,,,,,,,,,,,,,,,,,,,,,,,,,,,,,,,,,,,,,,,,,,,,,,,,,,,,,,,,,,,,,,,,,,,,,,,,,,,,,,,,,,,,,,,,,,,,,,,,,,,,,,,,,,,,,,,,,,,,,,,,,,,,,,,,,,,,,,,,,,,,,,,,,,,,,,,,,,,,,,,,,,,,,,,,,,,,,,,,,,,,,,,,,,,,,,,,,,,,,,,,,,,,,,,,,,,,,,,,,,,,,,,,,,,,,,,,,,,,,,,,,,,,,,,,,,,,,,,,,,,,,,,,,,,,,,,,,,,,,,,,,,,,,,,,,,,,,,,,,,,,,,,,,,,,,,,,,,,,,,,,,,,,,,,,,,,,,,,,,,,,,,,,,,,,,,,,,,,,,,,,,,,,,,,,,,,,,,,,,,,,,,,,,,,,,,,,,,,,,,,,,,,,,,,,,,,,,,,,,,,,,,,,,,,,,,,,,,,,,,,,,,,,,,,,,,,,,,,,,,,,,,,,,,,,,,,,,,,,,,,,,,,,,,,,,,,,,,,,,,,,,,,,,,,,,,,,,,,,,,,,,,,,,,,,,,,,,,,,,,,,,,,,,,,,,,,,,,,,,,,,,,,,,,,,,,,,,,,,,,,,,,,,,,,,,,,,,,,,,,,,,,,,,,,,,,,,,,,,,,,,,,,,,,,,,,,,,,,,,,,,,,,,,,,,,,,,,,,,,,,,,,,,,,,,,,,,,,,,,,,,,,,,,,,,,,,,,,,,,,,,,,,,,,,,,,,,,,,,,,,,,,,,,,,,,,,,,,,,,,,,,,,,,,,,,,,,,,,,,,,,,,,,,,,,,,,,,,,,,,,,,,,,,,,,,,,,,,,,,,,,,,,,,,,,,,,,,,,,,,,,,,,,,,,,,,,,,,,,,,,,,,,,,,,,,,,,,,,,,,,,,,,,,,,,,,,,,,,,,,,,,,,,,,,,,,,,,,,,,,,,,,,,,,,,,,,,,,,,,,,,,,,,,,,,,,,,,,,,,,,,,,,,,,,,,,,,,,,,,,,,,,,,,,,,,,,,,,,,,,,,,,,,,,,,,,,,,,,,,,,,,,,,,,,,,,,,,,,,,,,,,,,,,,,,,,,,,,,,,,,,,,,,,,,,,,,,,,,,,,,,,,,,,,,,,,,,,,,,,,,,,,,,,,,,,,,,,,,,,,,,,,,,,,,,,,,,,,,,,,,,,,,,,,,,,,,,,,,,,,,,,,,,,,,,,,,,,,,,,,,,,,,,,,,,,,,,,,,,,,,,,,,,,,,,,,,,,,,,,,,,,,,,,,,,,,,,,,,,,,,,,,,,,,,,,,,,,,,,,,,,,,,,,,,,,,,,,,,,,,,,,,,,,,,,,,,,,,,,,,,,,,,,,,,,,,,,,,,,,,,,,,,,,,,,,,,,,,,,,,,,,,,,,,,,,,,,,,,,,,,,,,,,,,,,,,,,,,,,,,,,,,,,,,,,,,,,,,,,,,,,,,,,,,,,,,,,,,,,,,,,,,,,,,,,,,,,,,,,,,,,,,,,,,,,,,,,,,,,,,,,,,,,,,,,,,,,,,,,,,,,,,,,,,,,,,,,,,,,,,,,,,,,,,,,,,,,,,,,,,,,,,,,,,,,,,,,,,,,,,,,,,,,,,,,,,,,,,,,,,,,,,,,,,,,,,,,,,,,,,,,,,,,,,,,,,,,,,,,,,,,,,,,,,,,,,,,,,,,,,,,,,,,,,,,,,,,,,,,,,,,,,,,,,,,,,,,,,,,,,,,,,,,,,,,,,,,,,,,,,,,,,,,,,,,,,,,,,,,,,,,,,,,,,,,,,,,,,,,,,,,,,,,,,,,,,,,,,,,,,,,,,,,,,,,,,,,,,,,,,,,,,,,,,,,,,,,,,,,,,,,,,,,,,,,,,,,,,,,,,,,,,,,,,,,,,,,,,,,,,,,,,,,,,,,,,,,,,,,,,,,,,,,,,,,,,,,,,,,,,,,,,,,,,,,,,,,,,,,,,,,,,,,,,,,,,,,,,,,,,,,,,,,,,,,,,,,,,,,,,,,,,,,,,,,,,,,,,,,,,,,,,,,,,,,,,,,,,,,,,,,,,,,,,,,,,,,,,,,,,,,,,,,,,,,,,,,,,,,,,,,,,,,,,,,,,,,,,,,,,,,,,,,,,,,,,,,,,,,,,,,,,,,,,,,,,,,,,,,,,,,,,,,,,,,,,,,,,,,,,,,,,,,,,,,,,,,,,,,,,,,,,,,,,,,,,,,,,,,,,,,,,,,,,,,,,,,,,,,,,,,,,,,,,,,,,,,,,,,,,,,,,,,,,,,,,,,,,,,,,,,,,,,,,,,,,,,,,,,,,,,,,,,,,,,,,,,,,,,,,,,,,,,,,,,,,,,,,,,,,,,,,,,,,,,,,,,,,,,,,,,,,,,,,,,,,,,,,,,,,,,,,,,,,,,,,,,,,,,,,,,,,,,,,,,,,,,,,,,,,,,,,,,,,,,,,,,,,,,,,,,,,,,,,,,,,,,,,,,,,,,,,,,,,,,,,,,,,,,,,,,,,,,,,,,,,,,,,,,,,,,,,,,,,,,,,,,,,,,,,,,,,,,,,,,,,,,,,,,,,,,,,,,,,,,,,,,,,,,,,,,,,,,,,,,,,,,,,,,,,,,,,,,,,,,,,,,,,,,,,,,,,,,,,,,,,,,,,,,,,,,,,,,,,,,,,,,,,,,,,,,,,,,,,,,,,,,,,,,,,,,,,,,,,,,,,,,,,,,,,,,,,,,,,,,,,,,,,,,,,,,,,,,,,,,,,,,,,,,,,,,,,,,,,,,,,,,,,,,,,,,,,,,,,,,,,,,,,,,,,,,,,,,,,,,,,,,,,,,,,,,,,,,,,,,,,,,,,,,,,,,,,,,,,,,,,,,,,,,,,,,,,,,,,,,,,,,,,,,,,,,,,,,,,,,,,,,,,,,,,,,,,,,,,,,,,,,,,,,,,,,,,,,,,,,,,,,,,,,,,,,,,,,,,,,,,,,,,,,,,,,,,,,,,,,,,,,,,,,,,,,,,,,,,,,,,,,,,,,,,,,,,,,,,,,,,,,,,,,,,,,,,,,,,,,,,,,,,,,,,,,,,,,,,,,,,,,,,,,,,,,,,,,,,,,,,,,,,,,,,,,,,,,,,,,,,,,,,,,,,,,,,,,,,,,,,,,,,,,,,,,,,,,,,,,,,,,,,,,,,,,,,,,,,,,,,,,,,,,,,,,,,,,,,,,,,,,,,,,,,,,,,,,,,,,,,,,,,,,,,,,,,,,,,,,,,,,,,,,,,,,,,,,,,,,,,,,,,,,,,,,,,,,,,,,,,,,,,,,,,,,,,,,,,,,,,,,,,,,,,,,,,,,,,,,,,,,,,,,,,,,,,,,,,,,,,,,,,,,,,,,,,,,,,,,,,,,,,,,,,,,,,,,,,,,,,,,,,,,,,,,,,,,,,,,,,,,,,,,,,,,,,,,,,,,,,,,,,,,,,,,,,,,,,,,,,,,,,,,,,,,,,,,,,,,,,,,,,,,,,,,,,,,,,,,,,,,,,,,,,,,,,,,,,,,,,,,,,,,,,,,,,,,,,,,,,,,,,,,,,,,,,,,,,,,,,,,,,,,,,,,,,,,,,,,,,,,,,,,,,,,,,,,,,,,,,,,,,,,,,,,,,,,,,,,,,,,,,,,,,,,,,,,,,,,,,,,,,,,,,,,,,,,,,,,,,,,,,,,,,,,,,,,,,,,,,,,,,,,,,,,,,,,,,,,,,,,,,,,,,,,,,,,,,,,,,,,,,,,,,,,,,,,,,,,,,,,,,,,,,,,,,,,,,,,,,,,,,,,,,,,,,,,,,,,,,,,,,,,,,,,,,,,,,,,,,,,,,,,,,,,,,,,,,,,,,,,,,,,,,,,,,,,,,,,,,,,,,,,,,,,,,,,,,,,,,,,,,,,,,,,,,,,,,,,,,,,,,,,,,,,,,,,,,,,,,,,,,,,,,,,,,,,,,,,,,,,,,,,,,,,,,,,,,,,,,,,,,,,,,,,,,,,,,,,,,,,,,,,,,,,,,,,,,,,,,,,,,,,,,,,,,,,,,,,,,,,,,,,,,,,,,,,,,,,,,,,,,,,,,,,,,,,,,,,,,,,,,,,,,,,,,,,,,,,,,,,,,,,,,,,,,,,,,,,,,,,,,,,,,,,,,,,,,,,,,,,,,,,,,,,,,,,,,,,,,,,,,,,,,,,,,,,,,,,,,,,,,,,,,,,,,,,,,,,,,,,,,,,,,,,,,,,,,,,,,,,,,,,,,,,,,,,,,,,,,,,,,,,,,,,,,,,,,,,,,,,,,,,,,,,,,,,,,,,,,,,,,,,,,,,,,,,,,,,,,,,,,,,,,,,,,,,,,,,,,,,,,,,,,,,,,,,,,,,,,,,,,,,,,,,,,,,,,,,,,,,,,,,,,,,,,,,,,,,,,,,,,,,,,,,,,,,,,,,,,,,,,,,,,,,,,,,,,,,,,,,,,,,,,,,,,,,,,,,,,,,,,,,,,,,,,,,,,,,,,,,,,,,,,,,,,,,,,,,,,,,,,,,,,,,,,,,,,,,,,,,,,,,,,,,,,,,,,,,,,,,,,,,,,,,,,,,,,,,,,,,,,,,,,,,,,,,,,,,,,,,,,,,,,,,,,,,,,,,,,,,,,,,,,,,,,,,,,,,,,,,,,,,,,,,,,,,,,,,,,,,,,,,,,,,,,,,,,,,,,,,,,,,,,,,,,,,,,,,,,,,,,,,,,,,,,,,,,,,,,,,,,,,,,,,,,,,,,,,,,,,,,,,,,,,,,,,,,,,,,,,,,,,,,,,,,,,,,,,,,,,,,,,,,,,,,,,,,,,,,,,,,,,,,,,,,,,,,,,,,,,,,,,,,,,,,,,,,,,,,,,,,,,,,,,,,,,,,,,,,,,,,,,,,,,,,,,,,,,,,,,,,,,,,,,,,,,,,,,,,,,,,,,,,,,,,,,,,,,,,,,,,,,,,,,,,,,,,,,,,,,,,,,,,,,,,,,,,,,,,,,,,,,,,,,,,,,,,,,,,,,,,,,,,,,,,,,,,,,,,,,,,,,,,,,,,,,,,,,,,,,,,,,,,,,,,,,,,,,,,,,,,,,,,,,,,,,,,,,,,,,,,,,,,,,,,,,,,,,,,,,,,,,,,,,,,,,,,,,,,,,,,,,,,,,,,,,,,,,,,,,,,,,,,,,,,,,,,,,,,,,,,,,,,,,,,,,,,,,,,,,,,,,,,,,,,,,,,,,,,,,,,,,,,,,,,,,,,,,,,,,,,,,,,,,,,,,,,,,,,,,,,,,,,,,,,,,,,,,,,,,,,,,,,,,,,,,,,,,,,,,,,,,,,,,,,,,,,,,,,,,,,,,,,,,,,,,,,,,,,,,,,,,,,,,,,,,,,,,,,,,,,,,,,,,,,,,,,,,,,,,,,,,,,,,,,,,,,,,,,,,,,,,,,,,,,,,,,,,,,,,,,,,,,,,,,,,,,,,,,,,,,,,,,,,,,,,,,,,,,,,,,,,,,,,,,,,,,,,,,,,,,,,,,,,,,,,,,,,,,,,,,,,,,,,,,,,,,,,,,,,,,,,,,,,,,,,,,,,,,,,,,,,,,,,,,,,,,,,,,,,,,,,,,,,,,,,,,,,,,,,,,,,,,,,,,,,,,,,,,,,,,,,,,,,,,,,,,,,,,,,,,,,,,,,,,,,,,,,,,,,,,,,,,,,,,,,,,,,,,,,,,,,,,,,,,,,,,,,,,,,,,,,,,,,,,,,,,,,,,,,,,,,,,,,,,,,,,,,,,,,,,,,,,,,,,,,,,,,,,,,,,,,,,,,,,,,,,,,,,,,,,,,,,,,,,,,,,,,,,,,,,,,,,,,,,,,,,,,,,,,,,,,,,,,,,,,,,,,,,,,,,,,,,,,,,,,,,,,,,,,,,,,,,,,,,,,,,,,,,,,,,,,,,,,,,,,,,,,,,,,,,,,,,,,,,,,,,,,,,,,,,,,,,,,,,,,,,,,,,,,,,,,,,,,,,,,,,,,,,,,,,,,,,,,,,,,,,,,,,,,,,,,,,,,,,,,,,,,,,,,,,,,,,,,,,,,,,,,,,,,,,,,,,,,,,,,,,,,,,,,,,,,,,,,,,,,,,,,,,,,,,,,,,,,,,,,,,,,,,,,,,,,,,,,,,,,,,,,,,,,,,,,,,,,,,,,,,,,,,,,,,,,,,,,,,,,,,,,,,,,,,,,,,,,,,,,,,,,,,,,,,,,,,,,,,,,,,,,,,,,,,,,,,,,,,,,,,,,,,,,,,,,,,,,,,,,,,,,,,,,,,,,,,,,,,,,,,,,,,,,,,,,,,,,,,,,,,,,,,,,,,,,,,,,,,,,,,,,,,,,,,,,,,,,,,,,,,,,,,,,,,,,,,,,,,,,,,,,,,,,,,,,,,,,,,,,,,,,,,,,,,,,,,,,,,,,,,,,,,,,,,,,,,,,,,,,,,,,,,,,,,,,,,,,,,,,,,,,,,,,,,,,,,,,,,,,,,,,,,,,,,,,,,,,,,,,,,,,,,,,,,,,,,,,,,,,,,,,,,,,,,,,,,,,,,,,,,,,,,,,,,,,,,,,,,,,,,,,,,,,,,,,,,,,,,,,,,,,,,,,,,,,,,,,,,,,,,,,,,,,,,,,,,,,,,,,,,,,,,,,,,,,,,,,,,,,,,,,,,,,,,,,,,,,,,,,,,,,,,,,,,,,,,,,,,,,,,,,,,,,,,,,,,,,,,,,,,,,,,,,,,,,,,,,,,,,,,,,,,,,,,,,,,,,,,,,,,,,,,,,,,,,,,,,,,,,,,,,,,,,,,,,,,,,,,,,,,,,,,,,,,,,,,,,,,,,,,,,,,,,,,,,,,,,,,,,,,,,,,,,,,,,,,,,,,,,,,,,,,,,,,,,,,,,,,,,,,,,,,,,,,,,,,,,,,,,,,,,,,,,,,,,,,,,,,,,,,,,,,,,,,,,,,,,,,,,,,,,,,,,,,,,,,,,,,,,,,,,,,,,,,,,,,,,,,,,,,,,,,,,,,,,,,,,,,,,,,,,,,,,,,,,,,,,,,,,,,,,,,,,,,,,,,,,,,,,,,,,,,,,,,,,,,,,,,,,,,,,,,,,,,,,,,,,,,,,,,,,,,,,,,,,,,,,,,,,,,,,,,,,,,,,,,,,,,,,,,,,,,,,,,,,,,,,,,,,,,,,,,,,,,,,,,,,,,,,,,,,,,,,,,,,,,,,,,,,,,,,,,,,,,,,,,,,,,,,,,,,,,,,,,,,,,,,,,,,,,,,,,,,,,,,,,,,,,,,,,,,,,,,,,,,,,,,,,,,,,,,,,,,,,,,,,,,,,,,,,,,,,,,,,,,,,,,,,,,,,,,,,,,,,,,,,,,,,,,,,,,,,,,,,,,,,,,,,,,,,,,,,,,,,,,,,,,,,,,,,,,,,,,,,,,,,,,,,,,,,,,,,,,,,,,,,,,,,,,,,,,,,,,,,,,,,,,,,,,,,,,,,,,,,,,,,,,,,,,,,,,,,,,,,,,,,,,,,,,,,,,,,,,,,,,,,,,,,,,,,,,,,,,,,,,,,,,,,,,,,,,,,,,,,,,,,,,,,,,,,,,,,,,,,,,,,,,,,,,,,,,,,,,,,,,,,,,,,,,,,,,,,,,,,,,,,,,,,,,,,,,,,,,,,,,,,,,,,,,,,,,,,,,,,,,,,,,,,,,,,,,,,,,,,,,,,,,,,,,,,,,,,,,,,,,,,,,,,,,,,,,,,,,,,,,,,,,,,,,,,,,,,,,,,,,,,,,,,,,,,,,,,,,,,,,,,,,,,,,,,,,,,,,,,,,,,,,,,,,,,,,,,,,,,,,,,,,,,,,,,,,,,,,,,,,,,,,,,,,,,,,,,,,,,,,,,,,,,,,,,,,,,,,,,,,,,,,,,,,,,,,,,,,,,,,,,,,,,,,,,,,,,,,,,,,,,,,,,,,,,,,,,,,,,,,,,,,,,,,,,,,,,,,,,,,,,,,,,,,,,,,,,,,,,,,,,,,,,,,,,,,,,,,,,,,,,,,,,,,,,,,,,,,,,,,,,,,,,,,,,,,,,,,,,,,,,,,,,,,,,,,,,,,,,,,,,,,,,,,,,,,,,,,,,,,,,,,,,,,,,,,,,,,,,,,,,,,,,,,,,,,,,,,,,,,,,,,,,,,,,,,,,,,,,,,,,,,,,,,,,,,,,,,,,,,,,,,,,,,,,,,,,,,,,,,,,,,,,,,,,,,,,,,,,,,,,,,,,,,,,,,,,,,,,,,,,,,,,,,,,,,,,,,,,,,,,,,,,,,,,,,,,,,,,,,,,,,,,,,,,,,,,,,,,,,,,,,,,,,,,,,,,,,,,,,,,,,,,,,,,,,,,,,,,,,,,,,,,,,,,,,,,,,,,,,,,,,,,,,,,,,,,,,,,,,,,,,,,,,,,,,,,,,,,,,,,,,,,,,,,,,,,,,,,,,,,,,,,,,,,,,,,,,,,,,,,,,,,,,,,,,,,,,,,,,,,,,,,,,,,,,,,,,,,,,,,,,,,,,,,,,,,,,,,,,,,,,,,,,,,,,,,,,,,,,,,,,,,,,,,,,,,,,,,,,,,,,,,,,,,,,,,,,,,,,,,,,,,,,,,,,,,,,,,,,,,,,,,,,,,,,,,,,,,,,,,,,,,,,,,,,,,,,,,,,,,,,,,,,,,,,,,,,,,,,,,,,,,,,,,,,,,,,,,,,,,,,,,,,,,,,,,,,,,,,,,,,,,,,,,,,,,,,,,,,,,,,,,,,,,,,,,,,,,,,,,,,,,,,,,,,,,,,,,,,,,,,,,,,,,,,,,,,,,,,,,,,,,,,,,,,,,,,,,,,,,,,,,,,,,,,,,,,,,,,,,,,,,,,,,,,,,,,,,,,,,,,,,,,,,,,,,,,,,,,,,,,,,,,,,,,,,,,,,,,,,,,,,,,,,,,,,,,,,,,,,,,,,,,,,,,,,,,,,,,,,,,,,,,,,,,,,,,,,,,,,,,,,,,,,,,,,,,,,,,,,,,,,,,,,,,,,,,,,,,,,,,,,,,,,,,,,,,,,,,,,,,,,,,,,,,,,,,,,,,,,,,,,,,,,,,,,,,,,,,,,,,,,,,,,,,,,,,,,,,,,,,,,,,,,,,,,,,,,,,,,,,,,,,,,,,,,,,,,,,,,,,,,,,,,,,,,,,,,,,,,,,,,,,,,,,,,,,,,,,,,,,,,,,,,,,,,,,,,,,,,,,,,,,,,,,,,,,,,,,,,,,,,,,,,,,,,,,,,,,,,,,,,,,,,,,,,,,,,,,,,,,,,,,,,,,,,,,,,,,,,,,,,,,,,,,,,,,,,,,,,,,,,,,,,,,,,,,,,,,,,,,,,,,,,,,,,,,,,,,,,,,,,,,,,,,,,,,,,,,,,,,,,,,,,,,,,,,,,,,,,,,,,,,,,,,,,,,,,,,,,,,,,,,,,,,,,,,,,,,,,,,,,,,,,,,,,,,,,,,,,,,,,,,,,,,,,,,,,,,,,,,,,,,,,,,,,,,,,,,,,,,,,,,,,,,,,,,,,,,,,,,,,,,,,,,,,,,,,,,,,,,,,,,,,,,,,,,,,,,,,,,,,,,,,,,,,,,,,,,,,,,,,,,,,,,,,,,,,,,,,,,,,,,,,,,,,,,,,,,,,,,,,,,,,,,,,,,,,,,,,,,,,,,,,,,,,,,,,,,,,,,,,,,,,,,,,,,,,,,,,,,,,,,,,,,,,,,,,,,,,,,,,,,,,,,,,,,,,,,,,,,,,,,,,,,,,,,,,,,,,,,,,,,,,,,,,,,,,,,,,,,,,,,,,,,,,,,,,,,,,,,,,,,,,,,,,,,,,,,,,,,,,,,,,,,,,,,,,,,,,,,,,,,,,,,,,,,,,,,,,,,,,,,,,,,,,,,,,,,,,,,,,,,,,,,,,,,,,,,,,,,,,,,,,,,,,,,,,,,,,,,,,,,,,,,,,,,,,,,,,,,,,,,,,,,,,,,,,,,,,,,,,,,,,,,,,,,,,,,,,,,,,,,,,,,,,,,,,,,,,,,,,,,,,,,,,,,,,,,,,,,,,,,,,,,,,,,,,,,,,,,,,,,,,,,,,,,,,,,,,,,,,,,,,,,,,,,,,,,,,,,,,,,,,,,,,,,,,,,,,,,,,,,,,,,,,,,,,,,,,,,,,,,,,,,,,,,,,,,,,,,,,,,,,,,,,,,,,,,,,,,,,,,,,,,,,,,,,,,,,,,,,,,,,,,,,,,,,,,,,,,,,,,,,,,,,,,,,,,,,,,,,,,,,,,,,,,,,,,,,,,,,,,,,,,,,,,,,,,,,,,,,,,,,,,,,,,,,,,,,,,,,,,,,,,,,,,,,,,,,,,,,,,,,,,,,,,,,,,,,,,,,,,,,,,,,,,,,,,,,,,,,,,,,,,,,,,,,,,,,,,,,,,,,,,,,,,,,,,,,,,,,,,,,,,,,,,,,,,,,,,,,,,,,,,,,,,,,,,,,,,,,,,,,,,,,,,,,,,,,,,,,,,,,,,,,,,,,,,,,,,,,,,,,,,,,,,,,,,,,,,,,,,,,,,,,,,,,,,,,,,,,,,,,,,,,,,,,,,,,,,,,,,,,,,,,,,,,,,,,,,,,,,,,,,,,,,,,,,,,,,,,,,,,,,,,,,,,,,,,,,,,,,,,,,,,,,,,,,,,,,,,,,,,,,,,,,,,,,,,,,,,,,,,,,,,,,,,,,,,,,,,,,,,,,,,,,,,,,,,,,,,,,,,,,,,,,,,,,,,,,,,,,,,,,,,,,,,,,,,,,,,,,,,,,,,,,,,,,,,,,,,,,,,,,,,,,,,,,,,,,,,,,,,,,,,,,,,,,,,,,,,,,,,,,,,,,,,,,,,,,,,,,,,,,,,,,,,,,,,,,,,,,,,,,,,,,,,,,,,,,,,,,,,,,,,,,,,,,,,,,,,,,,,,,,,,,,,,,,,,,,,,,,,,,,,,,,,,,,,,,,,,,,,,,,,,,,,,,,,,,,,,,,,,,,,,,,,,,,,,,,,,,,,,,,,,,,,,,,,,,,,,,,,,,,,,,,,,,,,,,,,,,,,,,,,,,,,,,,,,,,,,,,,,,,,,,,,,,,,,,,,,,,,,,,,,,,,,,,,,,,,,,,,,,,,,,,,,,,,,,,,,,,,,,,,,,,,,,,,,,,,,,,,,,,,,,,,,,,,,,,,,,,,,,,,,,,,,,,,,,,,,,,,,,,,,,,,,,,,,,,,,,,,,,,,,,,,,,,,,,,,,,,,,,,,,,,,,,,,,,,,,,,,,,,,,,,,,,,,,,,,,,,,,,,,,,,,,,,,,,,,,,,,,,,,,,,,,,,,,,,,,,,,,,,,,,,,,,,,,,,,,,,,,,,,,,,,,,,,,,,,,,,,,,,,,,,,,,,,,,,,,,,,,,,,,,,,,,,,,,,,,,,,,,,,,,,,,,,,,,,,,,,,,,,,,,,,,,,,,,,,,,,,,,,,,,,,,,,,,,,,,,,,,,,,,,,,,,,,,,,,,,,,,,,,,,,,,,,,,,,,,,,,,,,,,,,,,,,,,,,,,,,,,,,,,,,,,,,,,,,,,,,,,,,,,,,,,,,,,,,,,,,,,,,,,,,,,,,,,,,,,,,,,,,,,,,,,,,,,,,,,,,,,,,,,,,,,,,,,,,,,,,,,,,,,,,,,,,,,,,,,,,,,,,,,,,,,,,,,,,,,,,,,,,,,,,,,,,,,,,,,,,,,,,,,,,,,,,,,,,,,,,,,,,,,,,,,,,,,,,,,,,,,,,,,,,,,,,,,,,,,,,,,,,,,,,,,,,,,,,,,,,,,,,,,,,,,,,,,,,,,,,,,,,,,,,,,,,,,,,,,,,,,,,,,,,,,,,,,,,,,,,,,,,,,,,,,,,,,,,,,,,,,,,,,,,,,,,,,,,,,,,,,,,,,,,,,,,,,,,,,,,,,,,,,,,,,,,,,,,,,,,,,,,,,,,,,,,,,,,,,,,,,,,,,,,,,,,,,,,,,,,,,,,,,,,,,,,,,,,,,,,,,,,,,,,,,,,,,,,,,,,,,,,,,,,,,,,,,,,,,,,,,,,,,,,,,,,,,,,,,,,,,,,,,,,,,,,,,,,,,,,,,,,,,,,,,,,,,,,,,,,,,,,,,,,,,,,,,,,,,,,,,,,,,,,,,,,,,,,,,,,,,,,,,,,,,,,,,,,,,,,,,,,,,,,,,,,,,,,,,,,,,,,,,,,,,,,,,,,,,,,,,,,,,,,,,,,,,,,,,,,,,,,,,,,,,,,,,,,,,,,,,,,,,,,,,,,,,,,,,,,,,,,,,,,,,,,,,,,,,,,,,,,,,,,,,,,,,,,,,,,,,,,,,,,,,,,,,,,,,,,,,,,,,,,,,,,,,,,,,,,,,,,,,,,,,,,,,,,,,,,,,,,,,,,,,,,,,,,,,,,,,,,,,,,,,,,,,,,,,,,,,,,,,,,,,,,,,,,,,,,,,,,,,,,,,,,,,,,,,,,,,,,,,,,,,,,,,,,,,,,,,,,,,,,,,,,,,,,,,,,,,,,,,,,,,,,,,,,,,,,,,,,,,,,,,,,,,,,,,,,,,,,,,,,,,,,,,,,,,,,,,,,,,,,,,,,,,,,,,,,,,,,,,,,,,,,,,,,,,,,,,,,,,,,,,,,,,,,,,,,,,,,,,,,,,,,,,,,,,,,,,,,,,,,,,,,,,,,,,,,,,,,,,,,,,,,,,,,,,,,,,,,,,,,,,,,,,,,,,,,,,,,,,,,,,,,,,,,,,,,,,,,,,,,,,,,,,,,,,,,,,,,,,,,,,,,,,,,,,,,,,,,,,,,,,,,,,,,,,,,,,,,,,,,,,,,,,,,,,,,,,,,,,,,,,,,,,,,,,,,,,,,,,,,,,,,,,,,,,,,,,,,,,,,,,,,,,,,,,,,,,,,,,,,,,,,,,,,,,,,,,,,,,,,,,,,,,,,,,,,,,,,,,,,,,,,,,,,,,,,,,,,,,,,,,,,,,,,,,,,,,,,,,,,,,,,,,,,,,,,,,,,,,,,,,,,,,,,,,,,,,,,,,,,,,,,,,,,,,,,,,,,,,,,,,,,,,,,,,,,,,,,,,,,,,,,,,,,,,,,,,,,,,,,,,,,,,,,,,,,,,,,,,,,,,,,,,,,,,,,,,,,,,,,,,,,,,,,,,,,,,,,,,,,,,,,,,,,,,,,,,,,,,,,,,,,,,,,,,,,,,,,,,,,,,,,,,,,,,,,,,,,,,,,,,,,,,,,,,,,,,,,,,,,,,,,,,,,,,,,,,,,,,,,,,,,,,,,,,,,,,,,,,,,,,,,,,,,,,,,,,,,,,,,,,,,,,,,,,,,,,,,,,,,,,,,,,,,,,,,,,,,,,,,,,,,,,,,,,,,,,,,,,,,,,,,,,,,,,,,,,,,,,,,,,,,,,,,,,,,,,,,,,,,,,,,,,,,,,,,,,,,,,,,,,,,,,,,,,,,,,,,,,,,,,,,,,,,,,,,,,,,,,,,,,,,,,,,,,,,,,,,,,,,,,,,,,,,,,,,,,,,,,,,,,,,,,,,,,,,,,,,,,,,,,,,,,,,,,,,,,,,,,,,,,,,,,,,,,,,,,,,,,,,,,,,,,,,,,,,,,,,,,,,,,,,,,,,,,,,,,,,,,,,,,,,,,,,,,,,,,,,,,,,,,,,,,,,,,,,,,,,,,,,,,,,,,,,,,,,,,,,,,,,,,,,,,,,,,,,,,,,,,,,,,,,,,,,,,,,,,,,,,,,,,,,,,,,,,,,,,,,,,,,,,,,,,,,,,,,,,,,,,,,,,,,,,,,,,,,,,,,,,,,,,,,,,,,,,,,,,,,,,,,,,,,,,,,,,,,,,,,,,,,,,,,,,,,,,,,,,,,,,,,,,,,,,,,,,,,,,,,,,,,,,,,,,,,,,,,,,,,,,,,,,,,,,,,,,,,,,,,,,,,,,,,,,,,,,,,,,,,,,,,,,,,,,,,,,,,,,,,,,,,,,,,,,,,,,,,,,,,,,,,,,,,,,,,,,,,,,,,,,,,,,,,,,,,,,,,,,,,,,,,,,,,,,,,,,,,,,,,,,,,,,,,,,,,,,,,,,,,,,,,,,,,,,,,,,,,,,,,,,,,,,,,,,,,,,,,,,,,,,,,,,,,,,,,,,,,,,,,,,,,,,,,,,,,,,,,,,,,,,,,,,,,,,,,,,,,,,,,,,,,,,,,,,,,,,,,,,,,,,,,,,,,,,,,,,,,,,,,,,,,,,,,,,,,,,,,,,,,,,,,,,,,,,,,,,,,,,,,,,,,,,,,,,,,,,,,,,,,,,,,,,,,,,,,,,,,,,,,,,,,,,,,,,,,,,,,,,,,,,,,,,,,,,,,,,,,,,,,,,,,,,,,,,,,,,,,,,,,,,,,,,,,,,,,,,,,,,,,,,,,,,,,,,,,,,,,,,,,,,,,,,,,,,,,,,,,,,,,,,,,,,,,,,,,,,,,,,,,,,,,,,,,,,,,,,,,,,,,,,,,,,,,,,,,,,,,,,,,,,,,,,,,,,,,,,,,,,,,,,,,,,,,,,,,,,,,,,,,,,,,,,,,,,,,,,,,,,,,,,,,,,,,,,,,,,,,,,,,,,,,,,,,,,,,,,,,,,,,,,,,,,,,,,,,,,,,,,,,,,,,,,,,,,,,,,,,,,,,,,,,,,,,,,,,,,,,,,,,,,,,,,,,,,,,,,,,,,,,,,,,,,,,,,,,,,,,,,,,,,,,,,,,,,,,,,,,,,,,,,,,,,,,,,,,,,,,,,,,,,,,,,,,,,,,,,,,,,,,,,,,,,,,,,,,,,,,,,,,,,,,,,,,,,,,,,,,,,,,,,,,,,,,,,,,,,,,,,,,,,,,,,,,,,,,,,,,,,,,,,,,,,,,,,,,,,,,,,,,,,,,,,,,,,,,,,,,,,,,,,,,,,,,,,,,,,,,,,,,,,,,,,,,,,,,,,,,,,,,,,,,,,,,,,,,,,,,,,,,,,,,,,,,,,,,,,,,,,,,,,,,,,,,,,,,,,,,,,,,,,,,,,,,,,,,,,,,,,,,,,,,,,,,,,,,,,,,,,,,,,,,,,,,,,,,,,,,,,,,,,,,,,,,,,,,,,,,,,,,,,,,,,,,,,,,,,,,,,,,,,,,,,,,,,,,,,,,,,,,,,,,,,,,,,,,,,,,,,,,,,,,,,,,,,,,,,,,,,,,,,,,,,,,,,,,,,,,,,,,,,,,,,,,,,,,,,,,,,,,,,,,,,,,,,,,,,,,,,,,,,,,,,,,,,,,,,,,,,,,,,,,,,,,,,,,,,,,,,,,,,,,,,,,,,,,,,,,,,,,,,,,,,,,,,,,,,,,,,,,,,,,,,,,,,,,,,,,,,,,,,,,,,,,,,,,,,,,,,,,,,,,,,,,,,,,,,,,,,,,,,,,,,,,,,,,,,,,,,,,,,,,,,,,,,,,,,,,,,,,,,,,,,,,,,,,,,,,,,,,,,,,,,,,,,,,,,,,,,,,,,,,,,,,,,,,,,,,,,,,,,,,,,,,,,,,,,,,,,,,,,,,,,,,,,,,,,,,,,,,,,,,,,,,,,,,,,,,,,,,,,,,,,,,,,,,,,,,,,,,,,,,,,,,,,,,,,,,,,,,,,,,,,,,,,,,,,,,,,,,,,,,,,,,,,,,,,,,,,,,,,,,,,,,,,,,,,,,,,,,,,,,,,,,,,,,,,,,,,,,,,,,,,,,,,,,,,,,,,,,,,,,,,,,,,,,,,,,,,,,,,,,,,,,,,,,,,,,,,,,,,,,,,,,,,,,,,,,,,,,,,,,,,,,,,,,,,,,,,,,,,,,,,,,,,,,,,,,,,,,,,,,,,,,,,,,,,,,,,,,,,,,,,,,,,,,,,,,,,,,,,,,,,,,,,,,,,,,,,,,,,,,,,,,,,,,,,,,,,,,,,,,,,,,,,,,,,,,,,,,,,,,,,,,,,,,,,,,,,,,,,,,,,,,,,,,,,,,,,,,,,,,,,,,,,,,,,,,,,,,,,,,,,,,,,,,,,,,,,,,,,,,,,,,,,,,,,,,,,,,,,,,,,,,,,,,,,,,,,,,,,,,,,,,,,,,,,,,,,,,,,,,,,,,,,,,,,,,,,,,,,,,,,,,,,,,,,,,,,,,,,,,,,,,,,,,,,,,,,,,,,,,,,,,,,,,,,,,,,,,,,,,,,,,,,,,,,,,,,,,,,,,,,,,,,,,,,,,,,,,,,,,,,,,,,,,,,,,,,,,,,,,,,,,,,,,,,,,,,,,,,,,,,,,,,,,,,,,,,,,,,,,,,,,,,,,,,,,,,,,,,,,,,,,}",
                    "MostRecentExpectedUnitErrors": null,
                    "Units": {
                      "$id": "275",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DC per flight Opex real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76",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77",
                          "$type": "ModelMaker.DimensionedArrayValues, ModelMaker",
                          "Elements": {
                            "$type": "ModelMakerEngine.MMElements, ModelMakerEngine",
                            "$values": []
                          },
                          "Values": {
                            "$type": "System.Collections.Generic.List`1[[System.Object, mscorlib]], mscorlib",
                            "$values": [
                              null,
                              1.0754628173817016,
                              1.0554940117539247,
                              0.94560154935991214,
                              1.2256681743548556,
                              1.0637642943072985,
                              1.2635768104888616,
                              1.1623118455532673,
                              1.3305399673248,
                              1.2554704658020228,
                              1.2851214467957766,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b11037ac-d152-4c7c-b9e5-ff5a457be9a6",
                    "Dimensions": {
                      "$type": "ModelMakerEngine.MMDimensions, ModelMakerEngine",
                      "$values": []
                    },
                    "EquationOBXInternal": "{,1.0754628173817,1.05549401175392,0.945601549359912,1.22566817435486,1.0637642943073,1.26357681048886,1.16231184555327,1.3305399673248,1.25547046580202,1.28512144679578,,,,,,,,,,,,,,,,,,,,,,,,,,,,,,,,,,,,,,,,,,,,,,,,,,,,,,,,,,,,,,,,,,,,,,,,,,,,,,,,,,,,,,,,,,,,,,,,,,,,,,,,,,,,,,,,,,,,,,,,,,,,,,,,,,,,,,,,,,,,,,,,,,,,,,,,,,,,,,,,,,,,,,,,,,,,,,,,,,,,,,,,,,,,,,,,,,,,,,,,,,,,,,,,,,,,,,,,,,,,,,,,,,,,,,,,,,,,,,,,,,,,,,,,,,,,,,,,,,,,,,,,,,,,,,,,,,,,,,,,,,,,,,,,,,,,,,,,,,,,,,,,,,,,,,,,,,,,,,,,,,,,,,,,,,,,,,,,,,,,,,,,,,,,,,,,,,,,,,,,,,,,,,,,,,,,,,,,,,,,,,,,,,,,,,,,,,,,,,,,,,,,,,,,,,,,,,,,,,,,,,,,,,,,,,,,,,,,,,,,,,,,,,,,,,,,,,,,,,,,,,,,,,,,,,,,,,,,,,,,,,,,,,,,,,,,,,,,,,,,,,,,,,,,,,,,,,,,,,,,,,,,,,,,,,,,,,,,,,,,,,,,,,,,,,,,,,,,,,,,,,,,,,,,,,,,,,,,,,,,,,,,,,,,,,,,,,,,,,,,,,,,,,,,,,,,,,,,,,,,,,,,,,,,,,,,,,,,,,,,,,,,,,,,,,,,,,,,,,,,,,,,,,,,,,,,,,,,,,,,,,,,,,,,,,,,,,,,,,,,,,,,,,,,,,,,,,,,,,,,,,,,,,,,,,,,,,,,,,,,,,,,,,,,,,,,,,,,,,,,,,,,,,,,,,,,,,,,,,,,,,,,,,,,,,,,,,,,,,,,,,,,,,,,,,,,,,,,,,,,,,,,,,,,,,,,,,,,,,,,,,,,,,,,,,,,,,,,,,,,,,,,,,,,,,,,,,,,,,,,,,,,,,,,,,,,,,,,,,,,,,,,,,,,,,,,,,,,,,,,,,,,,,,,,,,,,,,,,,,,,,,,,,,,,,,,,,,,,,,,,,,,,,,,,,,,,,,,,,,,,,,,,,,,,,,,,,,,,,,,,,,,,,,,,,,,,,,,,,,,,,,,,,,,,,,,,,,,,,,,,,,,,,,,,,,,,,,,,,,,,,,,,,,,,,,,,,,,,,,,,,,,,,,,,,,,,,,,,,,,,,,,,,,,,,,,,,,,,,,,,,,,,,,,,,,,,,,,,,,,,,,,,,,,,,,,,,,,,,,,,,,,,,,,,,,,,,,,,,,,,,,,,,,,,,,,,,,,,,,,,,,,,,,,,,,,,,,,,,,,,,,,,,,,,,,,,,,,,,,,,,,,,,,,,,,,,,,,,,,,,,,,,,,,,,,,,,,,,,,,,,,,,,,,,,,,,,,,,,,,,,,,,,,,,,,,,,,,,,,,,,,,,,,,,,,,,,,,,,,,,,,,,,,,,,,,,,,,,,,,,,,,,,,,,,,,,,,,,,,,,,,,,,,,,,,,,,,,,,,,,,,,,,,,,,,,,,,,,,,,,,,,,,,,,,,,,,,,,,,,,,,,,,,,,,,,,,,,,,,,,,,,,,,,,,,,,,,,,,,,,,,,,,,,,,,,,,,,,,,,,,,,,,,,,,,,,,,,,,,,,,,,,,,,,,,,,,,,,,,,,,,,,,,,,,,,,,,,,,,,,,,,,,,,,,,,,,,,,,,,,,,,,,,,,,,,,,,,,,,,,,,,,,,,,,,,,,,,,,,,,,,,,,,,,,,,,,,,,,,,,,,,,,,,,,,,,,,,,,,,,,,,,,,,,,,,,,,,,,,,,,,,,,,,,,,,,,,,,,,,,,,,,,,,,,,,,,,,,,,,,,,,,,,,,,,,,,,,,,,,,,,,,,,,,,,,,,,,,,,,,,,,,,,,,,,,,,,,,,,,,,,,,,,,,,,,,,,,,,,,,,,,,,,,,,,,,,,,,,,,,,,,,,,,,,,,,,,,,,,,,,,,,,,,,,,,,,,,,,,,,,,,,,,,,,,,,,,,,,,,,,,,,,,,,,,,,,,,,,,,,,,,,,,,,,,,,,,,,,,,,,,,,,,,,,,,,,,,,,,,,,,,,,,,,,,,,,,,,,,,,,,,,,,,,,,,,,,,,,,,,,,,,,,,,,,,,,,,,,,,,,,,,,,,,,,,,,,,,,,,,,,,,,,,,,,,,,,,,,,,,,,,,,,,,,,,,,,,,,,,,,,,,,,,,,,,,,,,,,,,,,,,,,,,,,,,,,,,,,,,,,,,,,,,,,,,,,,,,,,,,,,,,,,,,,,,,,,,,,,,,,,,,,,,,,,,,,,,,,,,,,,,,,,,,,,,,,,,,,,,,,,,,,,,,,,,,,,,,,,,,,,,,,,,,,,,,,,,,,,,,,,,,,,,,,,,,,,,,,,,,,,,,,,,,,,,,,,,,,,,,,,,,,,,,,,,,,,,,,,,,,,,,,,,,,,,,,,,,,,,,,,,,,,,,,,,,,,,,,,,,,,,,,,,,,,,,,,,,,,,,,,,,,,,,,,,,,,,,,,,,,,,,,,,,,,,,,,,,,,,,,,,,,,,,,,,,,,,,,,,,,,,,,,,,,,,,,,,,,,,,,,,,,,,,,,,,,,,,,,,,,,,,,,,,,,,,,,,,,,,,,,,,,,,,,,,,,,,,,,,,,,,,,,,,,,,,,,,,,,,,,,,,,,,,,,,,,,,,,,,,,,,,,,,,,,,,,,,,,,,,,,,,,,,,,,,,,,,,,,,,,,,,,,,,,,,,,,,,,,,,,,,,,,,,,,,,,,,,,,,,,,,,,,,,,,,,,,,,,,,,,,,,,,,,,,,,,,,,,,,,,,,,,,,,,,,,,,,,,,,,,,,,,,,,,,,,,,,,,,,,,,,,,,,,,,,,,,,,,,,,,,,,,,,,,,,,,,,,,,,,,,,,,,,,,,,,,,,,,,,,,,,,,,,,,,,,,,,,,,,,,,,,,,,,,,,,,,,,,,,,,,,,,,,,,,,,,,,,,,,,,,,,,,,,,,,,,,,,,,,,,,,,,,,,,,,,,,,,,,,,,,,,,,,,,,,,,,,,,,,,,,,,,,,,,,,,,,,,,,,,,,,,,,,,,,,,,,,,,,,,,,,,,,,,,,,,,,,,,,,,,,,,,,,,,,,,,,,,,,,,,,,,,,,,,,,,,,,,,,,,,,,,,,,,,,,,,,,,,,,,,,,,,,,,,,,,,,,,,,,,,,,,,,,,,,,,,,,,,,,,,,,,,,,,,,,,,,,,,,,,,,,,,,,,,,,,,,,,,,,,,,,,,,,,,,,,,,,,,,,,,,,,,,,,,,,,,,,,,,,,,,,,,,,,,,,,,,,,,,,,,,,,,,,,,,,,,,,,,,,,,,,,,,,,,,,,,,,,,,,,,,,,,,,,,,,,,,,,,,,,,,,,,,,,,,,,,,,,,,,,,,,,,,,,,,,,,,,,,,,,,,,,,,,,,,,,,,,,,,,,,,,,,,,,,,,,,,,,,,,,,,,,,,,,,,,,,,,,,,,,,,,,,,,,,,,,,,,,,,,,,,,,,,,,,,,,,,,,,,,,,,,,,,,,,,,,,,,,,,,,,,,,,,,,,,,,,,,,,,,,,,,,,,,,,,,,,,,,,,,,,,,,,,,,,,,,,,,,,,,,,,,,,,,,,,,,,,,,,,,,,,,,,,,,,,,,,,,,,,,,,,,,,,,,,,,,,,,,,,,,,,,,,,,,,,,,,,,,,,,,,,,,,,,,,,,,,,,,,,,,,,,,,,,,,,,,,,,,,,,,,,,,,,,,,,,,,,,,,,,,,,,,,,,,,,,,,,,,,,,,,,,,,,,,,,,,,,,,,,,,,,,,,,,,,,,,,,,,,,,,,,,,,,,,,,,,,,,,,,,,,,,,,,,,,,,,,,,,,,,,,,,,,,,,,,,,,,,,,,,,,,,,,,,,,,,,,,,,,,,,,,,,,,,,,,,,,,,,,,,,,,,,,,,,,,,,,,,,,,,,,,,,,,,,,,,,,,,,,,,,,,,,,,,,,,,,,,,,,,,,,,,,,,,,,,,,,,,,,,,,,,,,,,,,,,,,,,,,,,,,,,,,,,,,,,,,,,,,,,,,,,,,,,,,,,,,,,,,,,,,,,,,,,,,,,,,,,,,,,,,,,,,,,,,,,,,,,,,,,,,,,,,,,,,,,,,,,,,,,,,,,,,,,,,,,,,,,,,,,,,,,,,,,,,,,,,,,,,,,,,,,,,,,,,,,,,,,,,,,,,,,,,,,,,,,,,,,,,,,,,,,,,,,,,,,,,,,,,,,,,,,,,,,,,,,,,,,,,,,,,,,,,,,,,,,,,,,,,,,,,,,,,,,,,,,,,,,,,,,,,,,,,,,,,,,,,,,,,,,,,,,,,,,,,,,,,,,,,,,,,,,,,,,,,,,,,,,,,,,,,,,,,,,,,,,,,,,,,,,,,,,,,,,,,,,,,,,,,,,,,,,,,,,,,,,,,,,,,,,,,,,,,,,,,,,,,,,,,,,,,,,,,,,,,,,,,,,,,,,,,,,,,,,,,,,,,,,,,,,,,,,,,,,,,,,,,,,,,,,,,,,,,,,,,,,,,,,,,,,,,,,,,,,,,,,,,,,,,,,,,,,,,,,,,,,,,,,,,,,,,,,,,,,,,,,,,,,,,,,,,,,,,,,,,,,,,,,,,,,,,,,,,,,,,,,,,,,,,,,,,,,,,,,,,,,,,,,,,,,,,,,,,,,,,,,,,,,,,,,,,,,,,,,,,,,,,,,,,,,,,,,,,,,,,,,,,,,,,,,,,,,,,,,,,,,,,,,,,,,,,,,,,,,,,,,,,,,,,,,,,,,,,,,,,,,,,,,,,,,,,,,,,,,,,,,,,,,,,,,,,,,,,,,,,,,,,,,,,,,,,,,,,,,,,,,,,,,,,,,,,,,,,,,,,,,,,,,,,,,,,,,,,,,,,,,,,,,,,,,,,,,,,,,,,,,,,,,,,,,,,,,,,,,,,,,,,,,,,,,,,,,,,,,,,,,,,,,,,,,,,,,,,,,,,,,,,,,,,,,,,,,,,,,,,,,,,,,,,,,,,,,,,,,,,,,,,,,,,,,,,,,,,,,,,,,,,,,,,,,,,,,,,,,,,,,,,,,,,,,,,,,,,,,,,,,,,,,,,,,,,,,,,,,,,,,,,,,,,,,,,,,,,,,,,,,,,,,,,,,,,,,,,,,,,,,,,,,,,,,,,,,,,,,,,,,,,,,,,,,,,,,,,,,,,,,,,,,,,,,,,,,,,,,,,,,,,,,,,,,,,,,,,,,,,,,,,,,,,,,,,,,,,,,,,,,,,,,,,,,,,,,,,,,,,,,,,,,,,,,,,,,,,,,,,,,,,,,,,,,,,,,,,,,,,,,,,,,,,,,,,,,,,,,,,,,,,,,,,,,,,,,,,,,,,,,,,,,,,,,,,,,,,,,,,,,,,,,,,,,,,,,,,,,,,,,,,,,,,,,,,,,,,,,,,,,,,,,,,,,,,,,,,,,,,,,,,,,,,,,,,,,,,,,,,,,,,,,,,,,,,,,,,,,,,,,,,,,,,,,,,,,,,,,,,,,,,,,,,,,,,,,,,,,,,,,,,,,,,,,,,,,,,,,,,,,,,,,,,,,,,,,,,,,,,,,,,,,,,,,,,,,,,,,,,,,,,,,,,,,,,,,,,,,,,,,,,,,,,,,,,,,,,,,,,,,,,,,,,,,,,,,,,,,,,,,,,,,,,,,,,,,,,,,,,,,,,,,,,,,,,,,,,,,,,,,,,,,,,,,,,,,,,,,,,,,,,,,,,,,,,,,,,,,,,,,,,,,,,,,,,,,,,,,,,,,,,,,,,,,,,,,,,,,,,,,,,,,,,,,,,,,,,,,,,,,,,,,,,,,,,,,,,,,,,,,,,,,,,,,,,,,,,,,,,,,,,,,,,,,,,,,,,,,,,,,,,,,,,,,,,,,,,,,,,,,,,,,,,,,,,,,,,,,,,,,,,,,,,,,,,,,,,,,,,,,,,,,,,,,,,,,,,,,,,,,,,,,,,,,,,,,,,,,,,,,,,,,,,,,,,,,,,,,,,,,,,,,,,,,,,,,,,,,,,,,,,,,,,,,,,,,,,,,,,,,,,,,,,,,,,,,,,,,,,,,,,,,,,,,,,,,,,,,,,,,,,,,,,,,,,,,,,,,,,,,,,,,,,,,,,,,,,,,,,,,,,,,,,,,,,,,,,,,,,,,,,,,,,,,,,,,,,,,,,,,,,,,,,,,,,,,,,,,,,,,,,,,,,,,,,,,,,,,,,,,,,,,,,,,,,,,,,,,,,,,,,,,,,,,,,,,,,,,,,,,,,,,,,,,,,,,,,,,,,,,,,,,,,,,,,,,,,,,,,,,,,,,,,,,,,,,,,,,,,,,,,,,,,,,,,,,,,,,,,,,,,,,,,,,,,,,,,,,,,,,,,,,,,,,,,,,,,,,,,,,,,,,,,,,,,,,,,,,,,,,,,,,,,,,,,,,,,,,,,,,,,,,,,,,,,,,,,,,,,,,,,,,,,,,,,,,,,,,,,,,,,,,,,,,,,,,,,,,,,,,,,,,,,,,,,,,,,,,,,,,,,,,,,,,,,,,,,,,,,,,,,,,,,,,,,,,,,,,,,,,,,,,,,,,,,,,,,,,,,,,,,,,,,,,,,,,,,,,,,,,,,,,,,,,,,,,,,,,,,,,,,,,,,,,,,,,,,,,,,,,,,,,,,,,,,,,,,,,,,,,,,,,,,,,,,,,,,,,,,,,,,,,,,,,,,,,,,,,,,,,,,,,,,,,,,,,,,,,,,,,,,,,,,,,,,,,,,,,,,,,,,,,,,,,,,,,,,,,,,,,,,,,,,,,,,,,,,,,,,,,,,,,,,,,,,,,,,,,,,,,,,,,,,,,,,,,,,,,,,,,,,,,,,,,,,,,,,,,,,,,,,,,,,,,,,,,,,,,,,,,,,,,,,,,,,,,,,,,,,,,,,,,,,,,,,,,,,,,,,,,,,,,,,,,,,,,,,,,,,,,,,,,,,,,,,,,,,,,,,,,,,,,,,,,,,,,,,,,,,,,,,,,,,,,,,,,,,,,,,,,,,,,,,,,,,,,,,,,,,,,,,,,,,,,,,,,,,,,,,,,,,,,,,,,,,,,,,,,,,,,,,,,,,,,,,,,,,,,,,,,,,,,,,,,,,,,,,,,,,,,,,,,,,,,,,,,,,,,,,,,,,,,,,,,,,,,,,,,,,,,,,,,,,,,,,,,,,,,,,,,,,,,,,,,,,,,,,,,,,,,,,,,,,,,,,,,,,,,,,,,,,,,,,,,,,,,,,,,,,,,,,,,,,,,,,,,,,,,,,,,,,,,,,,,,,,,,,,,,,,,,,,,,,,,,,,,,,,,,,,,,,,,,,,,,,,,,,,,,,,,,,,,,,,,,,,,,,,,,,,,,,,,,,,,,,,,,,,,,,,,,,,,,,,,,,,,,,,,,,,,,,,,,,,,,,,,,,,,,,,,,,,,,,,,,,,,,,,,,,,,,,,,,,,,,,,,,,,,,,,,,,,,,,,,,,,,,,,,,,,,,,,,,,,,,,,,,,,,,,,,,,,,,,,,,,,,,,,,,,,,,,,,,,,,,,,,,,,,,,,,,,,,,,,,,,,,,,,,,,,,,,,,,,,,,,,,,,,,,,,,,,,,,,,,,,,,,,,,,,,,,,,,,,,,,,,,,,,,,,,,,,,,,,,,,,,,,,,,,,,,,,,,,,,,,,,,,,,,,,,,,,,,,,,,,,,,,,,,,,,,,,,,,,,,,,,,,,,,,,,,,,,,,,,,,,,,,,,,,,,,,,,,,,,,,,,,,,,,,,,,,,,,,,,,,,,,,,,,,,,,,,,,,,,,,,,,,,,,,,,,,,,,,,,,,,,,,,,,,,,,,,,,,,,,,,,,,,,,,,,,,,,,,,,,,,,,,,,,,,,,,,,,,,,,,,,,,,,,,,,,,,,,,,,,,,,,,,,,,,,,,,,,,,,,,,,,,,,,,,,,,,,,,,,,,,,,,,,,,,,,,,,,,,,,,,,,,,,,,,,,,,,,,,,,,,,,,,,,,,,,,,,,,,,,,,,,,,,,,,,,,,,,,,,,,,,,,,,,,,,,,,,,,,,,,,,,,,,,,,,,,,,,,,,,,,,,,,,,,,,,,,,,,,,,,,,,,,,,,,,,,,,,,,,,,,,,,,,,,,,,,,,,,,,,,,,,,,,,,,,,,,,,,,,,,,,,,,,,,,,,,,,,,,,,,,,,,,,,,,,,,,,,,,,,,,,,,,,,,,,,,,,,,,,,,,,,,,,,,,,,,,,,,,,,,,,,,,,,,,,,,,,,,,,,,,,,,,,,,,,,,,,,,,,,,,,,,,,,,,,,,,,,,,,,,,,,,,,,,,,,,,,,,,,,,,,,,,,,,,,,,,,,,,,,,,,,,,,,,,,,,,,,,,,,,,,,,,,,,,,,,,,,,,,,,,,,,,,,,,,,,,,,,,,,,,,,,,,,,,,,,,,,,,,,,,,,,,,,,,,,,,,,,,,,,,,,,,,,,,,,,,,,,,,,,,,,,,,,,,,,,,,,,,,,,,,,,,,,,,,,,,,,,,,,,,,,,,,,,,,,,,,,,,,,,,,,,,,,,,,,,,,,,,,,,,,,,,,,,,,,,,,,,,,,,,,,,,,,,,,,,,,,,,,,,,,,,,,,,,,,,,,,,,,,,,,,,,,,,,,,,,,,,,,,,,,,,,,,,,,,,,,,,,,,,,,,,,,,,,,,,,,,,,,,,,,,,,,,,,,,,,,,,,,,,,,,,,,,,,,,,,,,,,,,,,,,,,,,,,,,,,,,,,,,,,,,,,,,,,,,,,,,,,,,,,,,,,,,,,,,,,,,,,,,,,,,,,,,,,,,,,,,,,,,,,,,,,,,,,,,,,,,,,,,,,,,,,,,,,,,,,,,,,,,,,,,,,,,,,,,,,,,,,,,,,,,,,,,,,,,,,,,,,,,,,,,,,,,,,,,,,,,,,,,,,,,,,,,,,,,,,,,,,,,,,,,,,,,,,,,,,,,,,,,,,,,,,,,,,,,,,,,,,,,,,,,,,,,,,,,,,,,,,,,,,,,,,,,,,,,,,,,,,,,,,,,,,,,,,,,,,,,,,,,,,,,,,,,,,,,,,,,,,,,,,,,,,,,,,,,,,,,,,,,,,,,,,,,,,,,,,,,,,,,,,,,,,,,,,,,,,,,,,,,,,,,,,,,,,,,,,,,,,,,,,,,,,,,,,,,,,,,,,,,,,,,,,,,,,,,,,,,,,,,,,,,,,,,,,,,,,,,,,,,,,,,,,,,,,,,,,,,,,,,,,,,,,,,,,,,,,,,,,,,,,,,,,,,,,,,,,,,,,,,,,,,,,,,,,,,,,,,,,,,,,,,,,,,,,,,,,,,,,,,,,,,,,,,,,,,,,,,,,,,,,,,,,,,,,,,,,,,,,,,,,,,,,,,,,,,,,,,,,,,,,,,,,,,,,,,,,,,,,,,,,,,,,,,,,,,,,,,,,,,,,,,,,,,,,,,,,,,,,,,,,,,,,,,,,,,,,,,,,,,,,,,,,,,,,,,,,,,,,,,,,,,,,,,,,,,,,,,,,,,,,,,,,,,,,,,,,,,,,,,,,,,,,,,,,,,,,,,,,,,,,,,,,,,,,,,,,,,,,,,,,,,,,,,,,,,,,,,,,,,,,,,,,,,,,,,,,,,,,,,,,,,,,,,,,,,,,,,,,,,,,,,,,,,,,,,,,,,,,,,,,,,,,,,,,,,,,,,,,,,,,,,,,,,,,,,,,,,,,,,,,,,,,,,,,,,,,,,,,,,,,,,,,,,,,,,,,,,,,,,,,,,,,,,,,,,,,,,,,,,,,,,,,,,,,,,,,,,,,,,,,,,,,,,,,,,,,,,,,,,,,,,,,,,,,,,,,,,,,,,,,,,,,,,,,,,,,,,,,,,,,,,,,,,,,,,,,,,,,,,,,,,,,,,,,,,,,,,,,,,,,,,,,,,,,,,,,,,,,,,,,,,,,,,,,,,,,,,,,,,,,,,,,,,,,,,,,,,,,,,,,,,,,,,,,,,,,,,,,,,,,,,,,,,,,,,,,,,,,,,,,,,,,,,,,,,,,,,,,,,,,,,,,,,,,,,,,,,,,,,,,,,,,,,,,,,,,,,,,,,,,,,,,,,,,,,,,,,,,,,,,,,,,,,,,,,,,,,,,,,,,,,,,,,,,,,,,,,,,,,,,,,,,,,,,,,,,,,,,,,,,,,,,,,,,,,,,,,,,,,,,,,,,,,,,,,,,,,,,,,,,,,,,,,,,,,,,,,,,,,,,,,,,,,,,,,,,,,,,,,,,,,,,,,,,,,,,,,,,,,,,,,,,,,,,,,,,,,,,,,,,,,,,,,,,,,,,,,,,,,,,,,,,,,,,,,,,,,,,,,,,,,,,,,,,,,,,,,,,,,,,,,,,,,,,,,,,,,,,,,,,,,,,,,,,,,,,,,,,,,,,,,,,,,,,,,,,,,,,,,,,,,,,,,,,,,,,,,,,,,,,,,,,,,,,,,,,,,,,,,,,,,,,,,,,,,,,,,,,,,,,,,,,,,,,,,,,,,,,,,,,,,,,,,,,,,,,,,,,,,,,,,,,,,,,,,,,,,,,,,,,,,,,,,,,,,,,,,,,,,,,,,,,,,,,,,,,,,,,,,,,,,,,,,,,,,,,,,,,,,,,,,,,,,,,,,,,,,,,,,,,,,,,,,,,,,,,,,,,,,,,,,,,,,,,,,,,,,,,,,,,,,,,,,,,,,,,,,,,,,,,,,,,,,,,,,,,,,,,,,,,,,,,,,,,,,,,,,,,,,,,,,,,,,,,,,,,,,,,,,,,,,,,,,,,,,,,,,,,,,,,,,,,,,,,,,,,,,,,,,,,,,,,,,,,,,,,,,,,,,,,,,,,,,,,,,,,,,,,,,,,,,,,,,,,,,,,,,,,,,,,,,,,,,,,,,,,,,,,,,,,,,,,,,,,,,,,,,,,,,,,,,,,,,,,,,,,,,,,,,,,,,,,,,,,,,,,,,,,,,,,,,,,,,,,,,,,,,,,,,,,,,,,,,,,,,,,,,,,,,,,,,,,,,,,,,,,,,,,,,,,,,,,,,,,,,,,,,,,,,,,,,,,,,,,,,,,,,,,,,,,,,,,,,,,,,,,,,,,,,,,,,,,,,,,,,,,,,,,,,,,,,,,,,,,,,,,,,,,,,,,,,,,,,,,,,,,,,,,,,,,,,,,,,,,,,,,,,,,,,,,,,,,,,,,,,,,,,,,,,,,,,,,,,,,,,,,,,,,,,,,,,,,,,,,,,,,,,,,,,,,,,,,,,,,,,,,,,,,,,,,,,,,,,,,,,,,,,,,,,,,,,,,,,,,,,,,,,,,,,,,,,,,,,,,,,,,,,,,,,,,,,,,,,,,,,,,,,,,,,,,,,,,,,,,,,,,,,,,,,,,,,,,,,,,,,,,,,,,,,,,,,,,,,,,,,,,,,,,,,,,,,,,,,,,,,,,,,,,,,,,,,,,,,,,,,,,,,,,,,,,,,,,,,,,,,,,,,,,,,,,,,,,,,,,,,,,,,,,,,,,,,,,,,,,,,,,,,,,,,,,,,,,,,,,,,,,,,,,,,,,,,,,,,,,,,,,,,,,,,,,,,,,,,,,,,,,,,,,,,,,,,,,,,,,,,,,,,,,,,,,,,,,,,,,,,,,,,,,,,,,,,,,,,,,,,,,,,,,,,,,,,,,,,,,,,,,,,,,,,,,,,,,,,,,,,,,,,,,,,,,,,,,,,,,,,,,,,,,,,,,,,,,,,,,,,,,,,,,,,,,,,,,,,,,,,,,,,,,,,,,,,,,,,,,,,,,,,,,,,,,,,,,,,,,,,,,,,,,,,,,,,,,,,,,,,,,,,,,,,,,,,,,,,,,,,,,,,,,,,,,,,,,,,,,,,,,,,,,,,,,,,,,,,,,,,,,,,,,,,,,,,,,,,,,,,,,,,,,,,,,,,,,,,,,,,,,,,,,,,,,,,,,,,,,,,,,,,,,,,,,,,,,,,,,,,,,,,,,,,,,,,,,,,,,,,,,,,,,,,,,,,,,,,,,,,,,,,,,,,,,,,,,,,,,,,,,,,,,,,,,,,,,,,,,,,,,,,,,,,,,,,,,,,,,,,,,,,,,,,,,,,,,,,,,,,,,,,,,,,,,,,,,,,,,,,,,,,,,,,,,,,,,,,,,,,,,,,,,,,,,,,,,,,,,,,,,,,,,,,,,,,,,,,,,,,,,,,,,,,,,,,,,,,,,,,,,,,,,,,,,,,,,,,,,,,,,,,,,,,,,,,,,,,,,,,,,,,,,,,,,,,,,,,,,,,,,,,,,,,,,,,,,,,,,,,,,,,,,,,,,,,,,,,,,,,,,,,,,,,,,,,,,,,,,,,,,,,,,,,,,,,,,,,,,,,,,,,,,,,,,,,,,,,,,,,,,,,,,,,,,,,,,,,,,,,,,,,,,,,,,,,,,,,,,,,,,,,,,,,,,,,,,,,,,,,,,,,,,,,,,,,,,,,,,,,,,,,,,,,,,,,,,,,,,,,,,,,,,,,,,,,,,,,,,,,,,,,,,,,,,,,,,,,,,,,,,,,,,,,,,,,,,,,,,,,,,,,,,,,,,,,,,,,,,,,,,,,,,,,,,,,,,,,,,,,,,,,,,,,,,,,,,,,,,,,,,,,,,,,,,,,,,,,,,,,,,,,,,,,,,,,,,,,,,,,,,,,,,,,,,,,,,,,,,,,,,,,,,,,,,,,,,,,,,,,,,,,,,,,,,,,,,,,,,,,,,,,,,,,,,,,,,,,,,,,,,,,,,,,,,,,,,,,,,,,,,,,,,,,,,,,,,,,,,,,,,,,,,,,,,,,,,,,,,,,,,,,,,,,,,,,,,,,,,,,,,,,,,,,,,,,,,,,,,,,,,,,,,,,,,,,,,,,,,,,,,,,,,,,,,,,,,,,,,,,,,,,,,,,,,,,,,,,,,,,,,,,,,,,,,,,,,,,,,,,,,,,,,,,,,,,,,,,,,,,,,,,,,,,,,,,,,,,,,,,,,,,,,,,,,,,,,,,,,,,,,,,,,,,,,,,,,,,,,,,,,,,,,,,,,,,,,,,,,,,,,,,,,,,,,,,,,,,,,,,,,,,,,,,,,,,,,,,,,,,,,,,,,,,,,,,,,,,,,,,,,,,,,,,,,,,,,,,,,,,,,,,,,,,,,,,,,,,,,,,,,,,,,,,,,,,,,,,,,,,,,,,,,,,,,,,,,,,,,,,,,,,,,,,,,,,,,,,,,,,,,,,,,,,,,,,,,,,,,,,,,,,,,,,,,,,,,,,,,,,,,,,,,,,,,,,,,,,,,,,,,,,,,,,,,,,,,,,,,,,,,,,,,,,,,,,,,,,,,,,,,,,,,,,,,,,,,,,,,,,,,,,,,,,,,,,,,,,,,,,,,,,,,,,,,,,,,,,,,,,,,,,,,,,,,,,,,,,,,,,,,,,,,,,,,,,,,,,,,,,,,,,,,,,,,,,,,,,,,,,,,,,,,,,,,,,,,,,,,,,,,,,,,,,,,,,,,,,,,,,,,,,,,,,,,,,,,,,,,,,,,,,,,,,,,,,,,,,,,,,,,,,,,,,,,,,,,,,,,,,,,,,,,,,,,,,,,,,,,,,,,,,,,,,,,,,,,,,,,,,,,,,,,,,,,,,,,,,,,,,,,,,,,,,,,,,,,,,,,,,,,,,,,,,,,,,,,,,,,,,,,,,,,,,,,,,,,,,,,,,,,,,,,,,,,,,,,,,,,,,,,,,,,,,,,,,,,,,,,,,,,,,,,,,,,,,,,,,,,,,,,,,,,,,,,,,,,,,,,,,,,,,,,,,,,,,,,,,,,,,,,,,,,,,,,,,,,,,,,,,,,,,,,,,,,,,,,,,,,,,,,,,,,,,,,,,,,,,,,,,,,,,,,,,,,,,,,,,,,,,,,,,,,,,,,,,,,,,,,,,,,,,,,,,,,,,,,,,,,,,,,,,,,,,,,,,,,,,,,,,,,,,,,,,,,,,,,,,,,,,,,,,,,,,,,,,,,,,,,,,,,,,,,,,,,,,,,,,,,,,,,,,,,,,,,,,,,,,,,,,,,,,,,,,,,,,,,,,,,,,,,,,,,,,,,,,,,,,,,,,,,,,,,,,,,,,,,,,,,,,,,,,,,,,,,,,,,,,,,,,,,,,,,,,,,,,,,,,,,,,,,,,,,,,,,,,,,,,,,,,,,,,,,,,,,,,,,,,,,,,,,,,,,,,,,,,,,,,,,,,,,,,,,,,,,,,,,,,,,,,,,,,,,,,,,,,,,,,,,,,,,,,,,,,,,,,,,,,,,,,,,,,,,,,,,,,,,,,,,,,,,,,,,,,,,,,,,,,,,,,,,,,,,,,,,,,,,,,,,,,,,,,,,,,,,,,,,,,,,,,,,,,,,,,,,,,,,,,,,,,,,,,,,,,,,,,,,,,,,,,,,,,,,,,,,,,,,,,,,,,,,,,,,,,,,,,,,,,,,,,,,,,,,,,,,,,,,,,,,,,,,,,,,,,,,,,,,,,,,,,,,,,,,,,,,,,,,,,,,,,,,,,,,,,,,,,,,,,,,,,,,,,,,,,,,,,,,,,,,,,,,,,,,,,,,,,,,,,,,,,,,,,,,,,,,,,,,,,,,,,,,,,,,,,,,,,,,,,,,,,,,,,,,,,,,,,,,,,,,,,,,,,,,,,,,,,,,,,,,,,,,,,,,,,,,,,,,,,,,,,,,,,,,,,,,,,,,,,,,,,,,,,,,,,,,,,,,,,,,,,,,,,,,,,,,,,,,,,,,,,,,,,,,,,,,,,,,,,,,,,,,,,,,,,,,,,,,,,,,,,,,,,,,,,,,,,,,,,,,,,,,,,,,,,,,,,,,,,,,,,,,,,,,,,,,,,,,,,,,,,,,,,,,,,,,,,,,,,,,,,,,,,,,,,,,,,,,,,,,,,,,,,,,,,,,,,,,,,,,,,,,,,,,,,,,,,,,,,,,,,,,,,,,,,,,,,,,,,,,,,,,,,,,,,,,,,,,,,,,,,,,,,,,,,,,,,,,,,,,,,,,,,,,,,,,,,,,,,,,,,,,,,,,,,,,,,,,,,,,,,,,,,,,,,,,,,,,,,,,,,,,,,,,,,,,,,,,,,,,,,,,,,,,,,,,,,,,,,,,,,,,,,,,,,,,,,,,,,,,,,,,,,,,,,,,,,,,,,,,,,,,,,,,,,,,,,,,,,,,,,,,,,,,,,,,,,,,,,,,,,,,,,,,,,,,,,,,,,,,,,,,,,,,,,,,,,,,,,,,,,,,,,,,,,,,,,,,,,,,,,,,,,,,,,,,,,,,,,,,,,,,,,,,,,,,,,,,,,,,,,,,,,,,,,,,,,,,,,,,,,,,,,,,,,,,,,,,,,,,,,,,,,,,,,,,,,,,,,,,,,,,,,,,,,,,,,,,,,,,,,,,,,,,,,,,,,,,,,,,,,,,,,,,,,,,,,,,,,,,,,,,,,,,,,,,,,,,,,,,,,,,,,,,,,,,,,,,,,,,,,,,,,,,,,,,,,,,,,,,,,,,,,,,,,,,,,,,,,,,,,,,,,,,,,,,,,,,,,,,,,,,,,,,,,,,,,,,,,,,,,,,,,,,,,,,,,,,,,,,,,,,,,,,,,,,,,,,,,,,,,,,,,,,,,,,,,,,,,,,,,,,,,,,,,,,,,,,,,,,,,,,,,,,,,,,,,,,,,,,,,,,,,,,,,,,,,,,,,,,,,,,,,,,,,,,,,,,,,,,,,,,,,,,,,,,,,,,,,,,,,,,,,,,,,,,,,,,,,,,,,,,,,,,,,,,,,,,,,,,,,,,,,,,,,,,,,,,,,,,,,,,,,,,,,,,,,,,,,,,,,,,,,,,,,,,,,,,,,,,,,,,,,,,,,,,,,,,,,,,,,,,,,,,,,,,,,,,,,,,,,,,,,,,,,,,,,,,,,,,,,,,,,,,,,,,,,,,,,,,,,,,,,,,,,,,,,,,,,,,,,,,,,,,,,,,,,,,,,,,,,,,,,,,,,,,,,,,,,,,,,,,,,,,,,,,,,,,,,,,,,,,,,,,,,,,,,,,,,,,,,,,,,,,,,,,,,,,,,,,,,,,,,,,,,,,,,,,,,,,,,,,,,,,,,,,,,,,,,,,,,,,,,,,,,,,,,,,,,,,,,,,,,,,,,,,,,,,,,,,,,,,,,,,,,,,,,,,,,,,,,,,,,,,,,,,,,,,,,,,,,,,,,,,,,,,,,,,,,,,,,,,,,,,,,,,,,,,,,,,,,,,,,,,,,,,,,,,,,,,,,,,,,,,,,,,,,,,,,,,,,,,,,,,,,,,,,,,,,,,,,,,,,,,,,,,,,,,,,,,,,,,,,,,,,,,,,,,,,,,,,,,,,,,,,,,,,,,,,,,,,,,,,,,,,,,,,,,,,,,,,,,,,,,,,,,,,,,,,,,,,,,,,,,,,,,,,,,,,,,,,,,,,,,,,,,,,,,,,,,,,,,,,,,,,,,,,,,,,,,,,,,,,,,,,,,,,,,,,,,,,,,,,,,,,,,,,,,,,,,,,,,,,,,,,,,,,,,,,,,,,,,,,,,,,,,,,,,,,,,,,,,,,,,,,,,,,,,,,,,,,,,,,,,,,,,,,,,,,,,,,,,,,,,,,,,,,,,,,,,,,,,,,,,,,,,,,,,,,,,,,,,,,,,,,,,,,,,,,,,,,,,,,,,,,,,,,,,,,,,,,,,,,,,,,,,,,,,,,,,,,,,,,,,,,,,,,,,,,,,,,,,,,,,,,,,,,,,,,,,,,,,,,,,,,,,,,,,,,,,,,,,,,,,,,,,,,,,,,,,,,,,,,,,,,,,,,,,,,,,,,,,,,,,,,,,,,,,,,,,,,,,,,,,,,,,,,,,,,,,,,,,,,,,,,,,,,,,,,,,,,,,,,,,,,,,,,,,,,,,,,,,,,,,,,,,,,,,,,,,,,,,,,,,,,,,,,,,,,,,,,,,,,,,,,,,,,,,,,,,,,,,,,,,,,,,,,,,,,,,,,,,,,,,,,,,,,,,,,,,,,,,,,,,,,,,,,,,,,,,,,,,,,,,,,,,,,,,,,,,,,,,,,,,,,,,,,,,,,,,,,,,,,,,,,,,,,,,,,,,,,,,,,,,,,,,,,,,,,,,,,,,,,,,,,,,,,,,,,,,,,,,,,,,,,,,,,,,,,,,,,,,,,,,,,,,,,,,,,,,,,,,,,,,,,,,,,,,,,,,,,,,,,,,,,,,,,,,,,,,,,,,,,,,,,,,,,,,,,,,,,,,,,,,,,,,,,,,,,,,,,,,,,,,,,,,,,,,,,,,,,,,,,,,,,,,,,,,,,,,,,,,,,,,,,,,,,,,,,,,,,,,,,,,,,,,,,,,,,,,,,,,,,,,,,,,,,,,,,,,,,,,,,,,,,,,,,,,,,,,,,,,,,,,,,,,,,,,,,,,,,,,,,,,,,,,,,,,,,,,,,,,,,,,,,,,,,,,,,,,,,,,,,,,,,,,,,,,,,,,,}",
                    "NameOfGroup": "Unallocated",
                    "EquationToParse": "{,1.0754628173817,1.05549401175392,0.945601549359912,1.22566817435486,1.0637642943073,1.26357681048886,1.16231184555327,1.3305399673248,1.25547046580202,1.28512144679578,,,,,,,,,,,,,,,,,,,,,,,,,,,,,,,,,,,,,,,,,,,,,,,,,,,,,,,,,,,,,,,,,,,,,,,,,,,,,,,,,,,,,,,,,,,,,,,,,,,,,,,,,,,,,,,,,,,,,,,,,,,,,,,,,,,,,,,,,,,,,,,,,,,,,,,,,,,,,,,,,,,,,,,,,,,,,,,,,,,,,,,,,,,,,,,,,,,,,,,,,,,,,,,,,,,,,,,,,,,,,,,,,,,,,,,,,,,,,,,,,,,,,,,,,,,,,,,,,,,,,,,,,,,,,,,,,,,,,,,,,,,,,,,,,,,,,,,,,,,,,,,,,,,,,,,,,,,,,,,,,,,,,,,,,,,,,,,,,,,,,,,,,,,,,,,,,,,,,,,,,,,,,,,,,,,,,,,,,,,,,,,,,,,,,,,,,,,,,,,,,,,,,,,,,,,,,,,,,,,,,,,,,,,,,,,,,,,,,,,,,,,,,,,,,,,,,,,,,,,,,,,,,,,,,,,,,,,,,,,,,,,,,,,,,,,,,,,,,,,,,,,,,,,,,,,,,,,,,,,,,,,,,,,,,,,,,,,,,,,,,,,,,,,,,,,,,,,,,,,,,,,,,,,,,,,,,,,,,,,,,,,,,,,,,,,,,,,,,,,,,,,,,,,,,,,,,,,,,,,,,,,,,,,,,,,,,,,,,,,,,,,,,,,,,,,,,,,,,,,,,,,,,,,,,,,,,,,,,,,,,,,,,,,,,,,,,,,,,,,,,,,,,,,,,,,,,,,,,,,,,,,,,,,,,,,,,,,,,,,,,,,,,,,,,,,,,,,,,,,,,,,,,,,,,,,,,,,,,,,,,,,,,,,,,,,,,,,,,,,,,,,,,,,,,,,,,,,,,,,,,,,,,,,,,,,,,,,,,,,,,,,,,,,,,,,,,,,,,,,,,,,,,,,,,,,,,,,,,,,,,,,,,,,,,,,,,,,,,,,,,,,,,,,,,,,,,,,,,,,,,,,,,,,,,,,,,,,,,,,,,,,,,,,,,,,,,,,,,,,,,,,,,,,,,,,,,,,,,,,,,,,,,,,,,,,,,,,,,,,,,,,,,,,,,,,,,,,,,,,,,,,,,,,,,,,,,,,,,,,,,,,,,,,,,,,,,,,,,,,,,,,,,,,,,,,,,,,,,,,,,,,,,,,,,,,,,,,,,,,,,,,,,,,,,,,,,,,,,,,,,,,,,,,,,,,,,,,,,,,,,,,,,,,,,,,,,,,,,,,,,,,,,,,,,,,,,,,,,,,,,,,,,,,,,,,,,,,,,,,,,,,,,,,,,,,,,,,,,,,,,,,,,,,,,,,,,,,,,,,,,,,,,,,,,,,,,,,,,,,,,,,,,,,,,,,,,,,,,,,,,,,,,,,,,,,,,,,,,,,,,,,,,,,,,,,,,,,,,,,,,,,,,,,,,,,,,,,,,,,,,,,,,,,,,,,,,,,,,,,,,,,,,,,,,,,,,,,,,,,,,,,,,,,,,,,,,,,,,,,,,,,,,,,,,,,,,,,,,,,,,,,,,,,,,,,,,,,,,,,,,,,,,,,,,,,,,,,,,,,,,,,,,,,,,,,,,,,,,,,,,,,,,,,,,,,,,,,,,,,,,,,,,,,,,,,,,,,,,,,,,,,,,,,,,,,,,,,,,,,,,,,,,,,,,,,,,,,,,,,,,,,,,,,,,,,,,,,,,,,,,,,,,,,,,,,,,,,,,,,,,,,,,,,,,,,,,,,,,,,,,,,,,,,,,,,,,,,,,,,,,,,,,,,,,,,,,,,,,,,,,,,,,,,,,,,,,,,,,,,,,,,,,,,,,,,,,,,,,,,,,,,,,,,,,,,,,,,,,,,,,,,,,,,,,,,,,,,,,,,,,,,,,,,,,,,,,,,,,,,,,,,,,,,,,,,,,,,,,,,,,,,,,,,,,,,,,,,,,,,,,,,,,,,,,,,,,,,,,,,,,,,,,,,,,,,,,,,,,,,,,,,,,,,,,,,,,,,,,,,,,,,,,,,,,,,,,,,,,,,,,,,,,,,,,,,,,,,,,,,,,,,,,,,,,,,,,,,,,,,,,,,,,,,,,,,,,,,,,,,,,,,,,,,,,,,,,,,,,,,,,,,,,,,,,,,,,,,,,,,,,,,,,,,,,,,,,,,,,,,,,,,,,,,,,,,,,,,,,,,,,,,,,,,,,,,,,,,,,,,,,,,,,,,,,,,,,,,,,,,,,,,,,,,,,,,,,,,,,,,,,,,,,,,,,,,,,,,,,,,,,,,,,,,,,,,,,,,,,,,,,,,,,,,,,,,,,,,,,,,,,,,,,,,,,,,,,,,,,,,,,,,,,,,,,,,,,,,,,,,,,,,,,,,,,,,,,,,,,,,,,,,,,,,,,,,,,,,,,,,,,,,,,,,,,,,,,,,,,,,,,,,,,,,,,,,,,,,,,,,,,,,,,,,,,,,,,,,,,,,,,,,,,,,,,,,,,,,,,,,,,,,,,,,,,,,,,,,,,,,,,,,,,,,,,,,,,,,,,,,,,,,,,,,,,,,,,,,,,,,,,,,,,,,,,,,,,,,,,,,,,,,,,,,,,,,,,,,,,,,,,,,,,,,,,,,,,,,,,,,,,,,,,,,,,,,,,,,,,,,,,,,,,,,,,,,,,,,,,,,,,,,,,,,,,,,,,,,,,,,,,,,,,,,,,,,,,,,,,,,,,,,,,,,,,,,,,,,,,,,,,,,,,,,,,,,,,,,,,,,,,,,,,,,,,,,,,,,,,,,,,,,,,,,,,,,,,,,,,,,,,,,,,,,,,,,,,,,,,,,,,,,,,,,,,,,,,,,,,,,,,,,,,,,,,,,,,,,,,,,,,,,,,,,,,,,,,,,,,,,,,,,,,,,,,,,,,,,,,,,,,,,,,,,,,,,,,,,,,,,,,,,,,,,,,,,,,,,,,,,,,,,,,,,,,,,,,,,,,,,,,,,,,,,,,,,,,,,,,,,,,,,,,,,,,,,,,,,,,,,,,,,,,,,,,,,,,,,,,,,,,,,,,,,,,,,,,,,,,,,,,,,,,,,,,,,,,,,,,,,,,,,,,,,,,,,,,,,,,,,,,,,,,,,,,,,,,,,,,,,,,,,,,,,,,,,,,,,,,,,,,,,,,,,,,,,,,,,,,,,,,,,,,,,,,,,,,,,,,,,,,,,,,,,,,,,,,,,,,,,,,,,,,,,,,,,,,,,,,,,,,,,,,,,,,,,,,,,,,,,,,,,,,,,,,,,,,,,,,,,,,,,,,,,,,,,,,,,,,,,,,,,,,,,,,,,,,,,,,,,,,,,,,,,,,,,,,,,,,,,,,,,,,,,,,,,,,,,,,,,,,,,,,,,,,,,,,,,,,,,,,,,,,,,,,,,,,,,,,,,,,,,,,,,,,,,,,,,,,,,,,,,,,,,,,,,,,,,,,,,,,,,,,,,,,,,,,,,,,,,,,,,,,,,,,,,,,,,,,,,,,,,,,,,,,,,,,,,,,,,,,,,,,,,,,,,,,,,,,,,,,,,,,,,,,,,,,,,,,,,,,,,,,,,,,,,,,,,,,,,,,,,,,,,,,,,,,,,,,,,,,,,,,,,,,,,,,,,,,,,,,,,,,,,,,,,,,,,,,,,,,,,,,,,,,,,,,,,,,,,,,,,,,,,,,,,,,,,,,,,,,,,,,,,,,,,,,,,,,,,,,,,,,,,,,,,,,,,,,,,,,,,,,,,,,,,,,,,,,,,,,,,,,,,,,,,,,,,,,,,,,,,,,,,,,,,,,,,,,,,,,,,,,,,,,,,,,,,,,,,,,,,,,,,,,,,,,,,,,,,,,,,,,,,,,,,,,,,,,,,,,,,,,,,,,,,,,,,,,,,,,,,,,,,,,,,,,,,,,,,,,,,,,,,,,,,,,,,,,,,,,,,,,,,,,,,,,,,,,,,,,,,,,,,,,,,,,,,,,,,,,,,,,,,,,,,,,,,,,,,,,,,,,,,,,,,,,,,,,,,,,,,,,,,,,,,,,,,,,,,,,,,,,,,,,,,,,,,,,,,,,,,,,,,,,,,,,,,,,,,,,,,,,,,,,,,,,,,,,,,,,,,,,,,,,,,,,,,,,,,,,,,,,,,,,,,,,,,,,,,,,,,,,,,,,,,,,,,,,,,,,,,,,,,,,,,,,,,,,,,,,,,,,,,,,,,,,,,,,,,,,,,,,,,,,,,,,,,,,,,,,,,,,,,,,,,,,,,,,,,,,,,,,,,,,,,,,,,,,,,,,,,,,,,,,,,,,,,,,,,,,,,,,,,,,,,,,,,,,,,,,,,,,,,,,,,,,,,,,,,,,,,,,,,,,,,,,,,,,,,,,,,,,,,,,,,,,,,,,,,,,,,,,,,,,,,,,,,,,,,,,,,,,,,,,,,,,,,,,,,,,,,,,,,,,,,,,,,,,,,,,,,,,,,,,,,,,,,,,,,,,,,,,,,,,,,,,,,,,,,,,,,,,,,,,,,,,,,,,,,,,,,,,,,,,,,,,,,,,,,,,,,,,,,,,,,,,,,,,,,,,,,,,,,,,,,,,,,,,,,,,,,,,,,,,,,,,,,,,,,,,,,,,,,,,,,,,,,,,,,,,,,,,,,,,,,,,,,,,,,,,,,,,,,,,,,,,,,,,,,,,,,,,,,,,,,,,,,,,,,,,,,,,,,,,,,,,,,,,,,,,,,,,,,,,,,,,,,,,,,,,,,,,,,,,,,,,,,,,,,,,,,,,,,,,,,,,,,,,,,,,,,,,,,,,,,,,,,,,,,,,,,,,,,,,,,,,,,,,,,,,,,,,,,,,,,,,,,,,,,,,,,,,,,,,,,,,,,,,,,,,,,,,,,,,,,,,,,,,,,,,,,,,,,,,,,,,,,,,,,,,,,,,,,,,,,,,,,,,,,,,,,,,,,,,,,,,,,,,,,,,,,,,,,,,,,,,,,,,,,,,,,,,,,,,,,,,,,,,,,,,,,,,,,,,,,,,,,,,,,,,,,,,,,,,,,,,,,,,,,,,,,,,,,,,,,,,,,,,,,,,,,,,,,,,,,,,,,,,,,,,,,,,,,,,,,,,,,,,,,,,,,,,,,,,,,,,,,,,,,,,,,,,,,,,,,,,,,,,,,,,,,,,,,,,,,,,,,,,,,,,,,,,,,,,,,,,,,,,,,,,,,,,,,,,,,,,,,,,,,,,,,,,,,,,,,,,,,,,,,,,,,,,,,,,,,,,,,,,,,,,,,,,,,,,,,,,,,,,,,,,,,,,,,,,,,,,,,,,,,,,,,,,,,,,,,,,,,,,,,,,,,,,,,,,,,,,,,,,,,,,,,,,,,,,,,,,,,,,,,,,,,,,,,,,,,,,,,,,,,,,,,,,,,,,,,,,,,,,,,,,,,,,,,,,,,,,,,,,,,,,,,,,,,,,,,,,,,,,,,,,,,,,,,,,,,,,,,,,,,,,,,,,,,,,,,,,,,,,,,,,,,,,,,,,,,,,,,,,,,,,,,,,,,,,,,,,,,,,,,,,,,,,,,,,,,,,,,,,,,,,,,,,,,,,,,,,,,,,,,,,,,,,,,,,,,,,,,,,,,,,,,,,,,,,,,,,,,,,,,,,,,,,,,,,,,,,,,,,,,,,,,,,,,,,,,,,,,,,,,,,,,,,,,,,,,,,,,,,,,,,,,,,,,,,,,,,,,,,,,,,,,,,,,,,,,,,,,,,,,,,,,,,,,,,,,,,,,,,,,,,,,,,,,,,,,,,,,,,,,,,,,,,,,,,,,,,,,,,,,,,,,,,,,,,,,,,,,,,,,,,,,,,,,,,,,,,,,,,,,,,,,,,,,,,,,,,,,,,,,,,,,,,,,,,,,,,,,,,,,,,,,,,,,,,,,,,,,,,,,,,,,,,,,,,,,,,,,,,,,,,,,,,,,,,,,,,,,,,,,,,,,,,,,,,,,,,,,,,,,,,,,,,,,,,,,,,,,,,,,,,,,,,,,,,,,,,,,,,,,,,,,,,,,,,,,,,,,,,,,,,,,,,,,,,,,,,,,,,,,,,,,,,,,,,,,,,,,,,,,,,,,,,,,,,,,,,,,,,,,,,,,,,,,,,,,,,,,,,,,,,,,,,,,,,,,,,,,,,,,,,,,,,,,,,,,,,,,,,,,,,,,,,,,,,,,,,,,,,,,,,,,,,,,,,,,,,,,,,,,,,,,,,,,,,,,,,,,,,,,,,,,,,,,,,,,,,,,,,,,,,,,,,,,,,,,,,,,,,,,,,,,,,,,,,,,,,,,,,,,,,,,,,,,,,,,,,,,,,,,,,,,,,,,,,,,,,,,,,,,,,,,,,,,,,,,,,,,,,,,,,,,,,,,,,,,,,,,,,,,,,,,,,,,,,,,,,,,,,,,,,,,,,,,,,,,,,,,,,,,,,,,,,,,,,,,,,,,,,,,,,,,,,,,,,,,,,,,,,,,,,,,,,,,,,,,,,,,,,,,,,,,,,,,,,,,,,,,,,,,,,,,,,,,,,,,,,,,,,,,,,,,,,,,,,,,,,,,,,,,,,,,,,,,,,,,,,,,,,,,,,,,,,,,,,,,,,,,,,,,,,,,,,,,,,,,,,,,,,,,,,,,,,,,,,,,,,,,,,,,,,,,,,,,,,,,,,,,,,,,,,,,,,,,,,,,,,,,,,,,,,,,,,,,,,,,,,,,,,,,,,,,,,,,,,,,,,,,,,,,,,,,,,,,,,,,,,,,,,,,,,,,,,,,,,,,,,,,,,,,,,,,,,,,,,,,,,,,,,,,,,,,,,,,,,,,,,,,,,,,,,,,,,,,,,,,,,,,,,,,,,,,,,,,,,,,,,,,,,,,,,,,,,,,,,,,,,,,,,,,,,,,,,,,,,,,,,,,,,,,,,,,,,,,,,,,,,,,,,,,,,,,,,,,,,,,,,,,,,,,,,,,,,,,,,,,,,,,,,,,,,,,,,,,,,,,,,,,,,,,,,,,,,,,,,,,,,,,,,,,,,,,,,,,,,,,,,,,,,,,,,,,,,,,,,,,,,,,,,,,,,,,,,,,,,,,,,,,,,,,,,,,,,,,,,,,,,,,,,,,,,,,,,,,,,,,,,,,,,,,,,,,,,,,,,,,,,,,,,,,,,,,,,,,,,,,,,,,,,,,,,,,,,,,,,,,,,,,,,,,,,,,,,,,,,,,,,,,,,,,,,,,,,,,,,,,,,,,,,,,,,,,,,,,,,,,,,,,,,,,,,,,,,,,,,,,,,,,,,,,,,,,,,,,,,,,,,,,,,,,,,,,,,,,,,,,,,,,,,,,,,,,,,,,,,,,,,,,,,,,,,,,,,,,,,,,,,,,,,,,,,,,,,,,,,,,,,,,,,,,,,,,,,,,,,,,,,,,,,,,,,,,,,,,,,,,,,,,,,,,,,,,,,,,,,,,,,,,,,,,,,,,,,,,,,,,,,,,,,,,,,,,,,,,,,,,,,,,,,,,,,,,,,,,,,,,,,,,,,,,,,,,,,,,,,,,,,,,,,,,,,,,,,,,,,,,,,,,,,,,,,,,,,,,,,,,,,,,,,,,,,,,,,,,,,,,,,,,,,,,,,,,,,,,,,,,,,,,,,,,,,,,,,,,,,,,,,,,,,,,,,,,,,,,,,,,,,,,,,,,,,,,,,,,,,,,,,,,,,,,,,,,,,,,,,,,,,,,,,,,,,,,,,,,,,,,,,,,,,,,,,,,,,,,,,,,,,,,,,,,,,,,,,,,,,,,,,,,,,,,,,,,,,,,,,,,,,,,,,,,,,,,,,,,,,,,,,,,,,,,,,,,,,,,,,,,,,,,,,,,,,,,,,,,,,,,,,,,,,,,,,,,,,,,,,,,,,,,,,,,,,,,,,,,,,,,,,,,,,,,,,,,,,,,,,,,,,,,,,,,,,,,,,,,,,,,,,,,,,,,,,,,,,,,,,,,,,,,,,,,,,,,,,,,,,,,,,,,,,,,,,,,,,,,,,,,,,,,,,,,,,,,,,,,,,,,,,,,,,,,,,,,,,,,,,,,,,,,,,,,,,,,,,,,,,,,,,,,,,,,,,,,,,,,,,,,,,,,,,,,,,,,,,,,,,,,,,,,,,,,,,,,,,,,,,,,,,,,,,,,,,,,,,,,,,,,,,,,,,,,,,,,,,,,,,,,,,,,,,,,,,,,,,,,,,,,,,,,,,,,,,,,,,,,,,,,,,,,,,,,,,,,,,,,,,,,,,,,,,,,,,,,,,,,,,,,,,,,,,,,,,,,,,,,,,,,,,,,,,,,,,,,,,,,,,,,,,,,,,,,,,,,,,,,,,,,,,,,,,,,,,,,,,,,,,,,,,,,,,,,,,,,,,,,,,,,,,,,,,,,,,,,,,,,,,,,,,,,,,,,,,,,,,,,,,,,,,,,,,,,,,,,,,,,,,,,,,,,,,,,,,,,,,,,,,,,,,,,,,,,,,,,,,,,,,,,,,,,,,,,,,,,,,,,,,,,,,,,,,,,,,,,,,,,,,,,,,,,,,,,,,,,,,,,,,,,,,,,,,,,,,,,,,,,,,,,,,,,,,,,,,,,,,,,,,,,,,,,,,,,,,,,,,,,,,,,,,,,,,,,,,,,,,,,,,,,,,,,,,,,,,,,,,,,,,,,,,,,,,,,,,,,,,,,,,,,,,,,,,,,,,,,,,,,,,,,,,,,,,,,,,,,,,,,,,,,,,,,,,,,,,,,,,,,,,,,,,,,,,,,,,,,,,,,,,,,,,,,,,,,,,,,,,,,,,,,,,,,,,,,,,,,,,,,,,,,,,,,,,,,,,,,,,,,,,,,,,,,,,,,,,,,,,,,,,,,,,,,,,,,,,,,,,,,,,,,,,,,,,,,,,,,,,,,,,,,,,,,,,,,,,,,,,,,,,,,,,,,,,,,,,,,,,,,,,,,,,,,,,,,,,,,,,,,,,,,,,,,,,,,,,,,,,,,,,,,,,,,,,,,,,,,,,,,,,,,,,,,,,,,,,,,,,,,,,,,,,,,,,,,,,,,,,,,,,,,,,,,,,,,,,,,,,,,,,,,,,,,,,,,,,,,,,,,,,,,,,,,,,,,,,,,,,,,,,,,,,,,,,,,,,,,,,,,,,,,,,,,,,,,,,,,,,,,,,,,,,,,,,,,,,,,,,,,,,,,,,,,,,,,,,,,,,,,,,,,,,,,,,,,,,,,,,,,,,,,,,,,,,,,,,,,,,,,,,,,,,,,,,,,,,,,,,,,,,,,,,,,,,,,,,,,,,,,,,,,,,,,,,,,,,,,,,,,,,,,,,,,,,,,,,,,,,,,,,,,,,,,,,,,,,,,,,,,,,,,,,,,,,,,,,,,,,,,,,,,,,,,,,,,,,,,,,,,,,,,,,,,,,,,,,,,,,,,,,,,,,,,,,,,,,,,,,,,,,,,,,,,,,,,,,,,,,,,,,,,,,,,,,,,,,,,,,,,,,,,,,,,,,,,,,,,,,,,,,,,,,,,,,,,,,,,,,,,,,,,,,,,,,,,,,,,,,,,,,,,,,,,,,,,,,,,,,,,,,,,,,,,,,,,,,,,,,,,,,,,,,,,,,,,,,,,,,,,,,,,,,,,,,,,,,,,,,,,,,,,,,,,,,,,,,,,,,,,,,,,,,,,,,,,,,,,,,,,,,,,,,,,,,,,,,,,,,,,,,,,,,,,,,,,,,,,,,,,,,,,,,,,,,,,,,,,,,,,,,,,,,,,,,,,,,,,,,,,,,,,,,,,,,,,,,,,,,,,,,,,,,,,,,,,,,,,,,,,,,,,,,,,,,,,,,,,,,,,,,,,,,,,,,,,,,,,,,,,,,,,,,,,,,,,,,,,,,,,,,,,,,,,,,,,,,,,,,,,,,,,,,,,,,,,,,,,,,,,,,,,,,,,,,,,,,,,,,,,,,,,,,,,,,,,,,,,,,,,,,,,,,,,,,,,,,,,,,,,,,,,,,,,,,,,,,,,,,,,,,,,,,,,,,,,,,,,,,,,,,,,,,,,,,,,,,,,,,,,,,,,,,,,,,,,,,,,,,,,,,,,,,,,,,,,,,,,,,,,,,,,,,,,,,,,,,,,,,,,,,,,,,,,,,,,,,,,,,,,,,,,,,,,,,,,,,,,,,,,,,,,,,,,,,,,,,,,,,,,,,,,,,,,,,,,,,,,,,,,,,,,,,,,,,,,,,,,,,,,,,,,,,,,,,,,,,,,,,,,,,,,,,,,,,,,,,,,,,,,,,,,,,,,,,,,,,,,,,,,,,,,,,,,,,,,,,,,,,,,,,,,,,,,,,,,,,,,,,,,,,,,,,,,,,,,,,,,,,,,,,,,,,,,,,,,,,,,,,,,,,,,,,,,,,,,,,,,,,,,,,,,,,,,,,,,,,,,,,,,,,,,,,,,,,,,,,,,,,,,,,,,,,,,,,,,,,,,,,,,,,,,,,,,,,,,,,,,,,,,,,,,,,,,,,,,,,,,,,,,,,,,,,,,,,,,,,,,,,,,,,,,,,,,,,,,,,,,,,,,,,,,,,,,,,,,,,,,,,,,,,,,,,,,,,,,,,,,,,,,,,,,,,,,,,,,,,,,,,,,,,,,,,,,,,,,,,,,,,,,,,,,,,,,,,,,,,,,,,,,,,,,,,,,,,,,,,,,,,,,,,,,,,,,,,,,,,,,,,,,,,,,,,,,,,,,,,,,,,,,,,,,,,,,,,,,,,,,,,,,,,,,,,,,,,,,,,,,,,,,,,,,,,,,,,,,,,,,,,,,,,,,,,,,,,,,,,,,,,,,,,,,,,,,,,,,,,,,,,,,,,,,,,,,,,,,,,,,,,,,,,,,,,,,,,,,,,,,,,,,,,,,,,,,,,,,,,,,,,,,,,,,,,,,,,,,,,,,,,,,,,,,,,,,,,,,,,,,,,,,,,,,,,,,,,,,,,,,,,,,,,,,,,,,,,,,,,,,,,,,,,,,,,,,,,,,,,,,,,,,,,,,,,,,,,,,,,,,,,,,,,,,,,,,,,,,,,,,,,,,,,,,,,,,,,,,,,,,,,,,,,,,,,,,,,,,,,,,,,,,,,,,,,,,,,,,,,,,,,,,,,,,,,,,,,,,,,,,,,,,,,,,,,,,,,,,,,,,,,,,,,,,,,,,,,,,,,,,,,,,,,,,,,,,,,,,,,,,,,,,,,,,,,,,,,,,,,,,,,,,,,,,,,,,,,,,,,,,,,,,,,,,,,,,,,,,,,,,,,,,,,,,,,,,,,,,,,,,,,,,,,,,,,,,,,,,,,,,,,,,,,,,,,,,,,,,,,,,,,,,,,,,,,,,,,,,,,,,,,,,,,,,,,,,,,,,,,,,,,,,,,,,,,,,,,,,,,,,,,,,,,,,,,,,,,,,,,,,,,,,,,,,,,,,,,,,,,,,,,,,,,,,,,,,,,,,,,,,,,,,,,,,,,,,,,,,,,,,,,,,,,,,,,,,,,,,,,,,,,,,,,,,,,,,,,,,,,,,,,,,,,,,,,,,,,,,,,,,,,,,,,,,,,,,,,,,,,,,,,,,,,,,,,,,,,,,,,,,,,,,,,,,,,,,,,,,,,,,,,,,,,,,,,,,,,,,,,,,,,,,,,,,,,,,,,,,,,,,,,,,,,,,,,,,,,,,,,,,,,,,,,,,,,,,,,,,,,,,,,,,,,,,,,,,,,,,,,,,,,,,,,,,,,,,,,,,,,,,,,,,,,,,,,,,,,,,,,,,,,,,,,,,,,,,,,,,,,,,,,,,,,,,,,,,,,,,,,,,,,,,,,,,,,,,,,,,,,,,,,,,,,,,,,,,,,,,,,,,,,,,,,,,,,,,,,,,,,,,,,,,,,,,,,,,,,,,,,,,,,,,,,,,,,,,,,,,,,,,,,,,,,,,,,,,,,,,,,,,,,,,,,,,,,,,,,,,,,,,,,,,,,,,,,,,,,,,,,,,,,,,,,,,,,,,,,,,,,,,,,,,,,,,,,,,,,,,,,,,,,,,,,,,,,,,,,,,,,,,,,,,,,,,,,,,,,,,,,,,,,,,,,,,,,,,,,,,,,,,,,,,,,,,,,,,,,,,,,,,,,,,,,,,,,,,,,,,,,,,,,,,,,,,,,,,,,,,,,,,,,,,,,,,,,,,,,,,,,,,,,,,,,,,,,,,,,,,,,,,,,,,,,,,,,,,,,,,,,,,,,,,,,,,,,,,,,,,,,,,,,,,,,,,,,,,,,,,,,,,,,,,,,,,,,,,,,,,,,,,,,,,,,,,,,,,,,,,,,,,,,,,,,,,,,,,,,,,,,,,,,,,,,,,,,,,,,,,,,,,,,,,,,,,,,,,,,,,,,,,,,,,,,,,,,,,,,,,,,,,,,,,,,,,,,,,,,,,,,,,,,,,,,,,,,,,,,,,,,,,,,,,,,,,,,,,,,,,,,,,,,,,,,,,,,,,,,,,,,,,,,,,,,,,,,,,,,,,,,,,,,,,,,,,,,,,,,,,,,,,,,,,,,,,,,,,,,,,,,,,,,,,,,,,,,,,,,,,,,,,,,,,,,,,,,,,,,,,,,,,,,,,,,,,,,,,,,,,,,,,,,,,,,,,,,,,,,,,,,,,,,,,,,,,,,,,,,,,,,,,,,,,,,,,,,,,,,,,,,,,,,,,,,,,,,,,,,,,,,,,,,,,,,,,,,,,,,,,,,,,,,,,,,,,,,,,,,,,,,,,,,,,,,,,,,,,,,,,,,,,,,,,,,,,,,,,,,,,,,,,,,,,,,,,,,,,,,,,,,,,,,,,,,,,,,,,,,,,,,,,,,,,,,,,,,,,,,,,,,,,,,,,,,,,,,,,,,,,,,,,,,,,,,,,,,,,,,,,,,,,,,,,,,,,,,,,,,,,,,,,,,,,,,,,,,,,,,,,,,,,,,,,,,,,,,,,,,,,,,,,,,,,,,,,,,,,,,,,,,,,,,,,,,,,,,,,,,,,,,,,,,,,,,,,,,,,,,,,,,,,,,,,,,,,,,,,,,,,,,,,,,,,,,,,,,,,,,,,,,,,,,,,,,,,,,,,,,,,,,,,,,,,,,,,,,,,,,,,,,,,,,,,,,,,,,,,,,,,,,,,,,,,,,,,,,,,,,,,,,,,,,,,,,,,,,,,,,,,,,,,,,,,,,,,,,,,,,,,,,,,,,,,,,,,,,,,,,,,,,,,,,,,,,,,,,,,,,,,,,,,,,,,,,,,,,,,,,,,,,,,,,,,,,,,,,,,,,,,,,,,,,,,,,,,,,,,,,,,,,,,,,,,,,,,,,,,,,,,,,,,,,,,,,,,,,,,,,,,,,,,,,,,,,,,,,,,,,,,,,,,,,,,,,,,,,,,,,,,,,,,,,,,,,,,,,,,,,,,,,,,,,,,,,,,,,,,,,,,,,,,,,,,,,,,,,,,,,,,,,,,,,,,,,,,,,,,,,,,,,,,,,,,,,,,,,,,,,,,,,,,,,,,,,,,,,,,,,,,,,,,,,,,,,,,,,,,,,,,,,,,,,,,,,,,,,,,,,,,,,,,,,,,,,,,,,,,,,,,,,,,,,,,,,,,,,,,,,,,,,,,,,,,,,,,,,,,,,,,,,,,,,,,,,,,,,,,,,,,,,,,,,,,,,,,,,,,,,,,,,,,,,,,,,,,,,,,,,,,,,,,,,,,,,,,,,,,,,,,,,,,,,,,,,,,,,,,,,,,,,,,,,,,,,,,,,,,,,,,,,,,,,,,,,,,,,,,,,,,,,,,,,,,,,,,,,,,,,,,,,,,,,,,,,,,,,,,,,,,,,,,,,,,,,,,,,,,,,,,,,,,,,,,,,,,,,,,,,,,,,,,,,,,,,,,,,,,,,,,,,,,,,,,,,,,,,,,,,,,,,,,,,,,,,,,,,,,,,,,,,,,,,,,,,,,,,,,,,,,,,,,,,,,,,,,,,,,,,,,,,,,,,,,,,,,,,,,,,,,,,,,,,,,,,,,,,,,,,,,,,,,,,,,,,,,,,,,,,,,,,,,,,,,,,,,,,,,,,,,,,,,,,,,,,,,,,,,,,,,,,,,,,,,,,,,,,,,,,,,,,,,,,,,,,,,,,,,,,,,,,,,,,,,,,,,,,,,,,,,,,,,,,,,,,,,,,,,,,,,,,,,,,,,,,,,,,,,,,,,,,,,,,,,,,,,,,,,,,,,,,,,,,,,,,,,,,,,,,,,,,,,,,,,,,,,,,,,,,,,,,,,,,,,,,,,,,,,,,,,,,,,,,,,,,,,,,,,,,,,,,,,,,,,,,,,,,,,,,,,,,,,,,,,,,,,,,,,,,,,,,,,,,,,,,,,,,,,,,,,,,,,,,,,,,,,,,,,,,,,,,,,,,,,,,,,,,,,,,,,,,,,,,,,,,,,,,,,,,,,,,,,,,,,,,,,,,,,,,,,,,,,,,,,,,,,,,,,,,,,,,,,,,,,,,,,,,,,,,,,,,,,,,,,,,,,,,,,,,,,,,,,,,,,,,,,,,,,,,,,,,,,,,,,,,,,,,,,,,,,,,,,,,,,,,,,,,,,,,,,,,,,,,,,,,,,,,,,,,,,,,,,,,,,,,,,,,,,,,,,,,,,,,,,,,,,,,,,,,,,,,,,,,,,,,,,,,,,,,,,,,,,,,,,,,,,,,,,,,,,,,,,,,,,,,,,,,,,,,,,,,,,,,,,,,,,,,,,,,,,,,,,,,,,,,,,,,,,,,,,,,,,,,,,,,,,,,,,,,,,,,,,,,,,,,,,,,,,,,,,,,,,,,,,,,,,,,,,,,,,,,,,,,,,,,,,,,,,,,,,,,,,,,,,,,,,,,,,,,,,,,,,,,,,,,,,,,,,,,,,,,,,,,,,,,,,,,,,,,,,,,,,,,,,,,,,,,,,,,,,,,,,,,,,,,,,,,,,,,,,,,,,,,,,,,,,,,,,,,,,,,,,,,,,,,,,,,,,,,,,,,,,,,,,,,,,,,,,,,,,,,,,,,,,,,,,,,,,,,,,,,,,,,,,,,,,,,,,,,,,,,,,,,,,,,,,,,,,,,,,,,,,,,,,,,,,,,,,,,,,,,,,,,,,,,,,,,,,,,,,,,,,,,,,,,,,,,,,,,,,,,,,,,,,,,,,,,,,,,,,,,,,,,,,,,,,,,,,,,,,,,,,,,,,,,,,,,,,,,,,,,,,,,,,,,,,,,,,,,,,,,,,,,,,,,,,,,,,,,,,,,,,,,,,,,,,,,,,,,,,,,,,,,,,,,,,,,,,,,,,,,,,,,,,,,,,,,,,,,,,,,,,,,,,,,,,,,,,,,,,,,,,,,,,,,,,,,,,,,,,,,,,,,,,,,,,,,,,,,,,,,,,,,,,,,,,,,,,,,,,,,,,,,,,,,,,,,,,,,,,,,,,,,,,,,,,,,,,,,,,,,,,,,,,,,,,,,,,,,,,,,,,,,,,,,,,,,,,,,,,,,,,,,,,,,,,,,,,,,,,,,,,,,,,,,,,,,,,,,,,,,,,,,,,,,,,,,,,,,,,,,,,,,,,,,,,,,,,,,,,,,,,,,,,,,,,,,,,,,,,,,,,,,,,,,,,,,,,,,,,,,,,,,,,,,,,,,,,,,,,,,,,,,,,,,,,,,,,,,,,,,,,,,,,,,,,,,,,,,,,,,,,,,,,,,,,,,,,,,,,,,,,,,,,,,,,,,,,,,,,,,,,,,,,,,,,,,,,,,,,,,,,,,,,,,,,,,,,,,,,,,,,,,,,,,,,,,,,,,,,,,,,,,,,,,,,,,,,,,,,,,,,,,,,,,,,,,,,,,,,,,,,,,,,,,,,,,,,,,,,,,,,,,,,,,,,,,,,,,,,,,,,,,,,,,,,,,,,,,,,,,,,,,,,,,,,,,,,,,,,,,,,,,,,,,,,,,,,,,,,,,,,,,,,,,,,,,,,,,,,,,,,,,,,,,,,,,,,,,,,,,,,,,,,,,,,,,,,,,,,,,,,,,,,,,,,,,,,,,,,,,,,,,,,,,,,,,,,,,,,,,,,,,,,,,,,,,,,,,,,,,,,,,,,,,,,,,,,,,,,,,,,,,,,,,,,,,,,,,,,,,,,,,,,,,,,,,,,,,,,,,,,,,,,,,,,,,,,,,,,,,,,,,,,,,,,,,,,,,,,,,,,,,,,,,,,,,,,,,,,,,,,,,,,,,,,,,,,,,,,,,,,,,,,,,,,,,,,,,,,,,,,,,,,,,,,,,,,,,,,,,,,,,,,,,,,,,,,,,,,,,,,,,,,,,,,,,,,,,,,,,,,,,,,,,,,,,,,,,,,,,,,,,,,,,,,,,,,,,,,,,,,,,,,,,,,,,,,,,,,,,,,,,,,,,,,,,,,,,,,,,,,,,,,,,,,,,,,,,,,,,,,,,,,,,,,,,,,,,,,,,,,,,,,,,,,,,,,,,,,,,,,,,,,,,,,,,,,,,,,,,,,,,,,,,,,,,,,,,,,,,,,,,,,,,,,,,,,,,,,,,,,,,,,,,,,,,,,,,,,,,,,,,,,,,,,,,,,,,,,,,,,,,,,,,,,,,,,,,,,,,,,,,,,,,,,,,,,,,,,,,,,,,,,,,,,,,,,,,,,,,,,,,,,,,,,,,,,,,,,,,,,,,,,,,,,,,,,,,,,,,,,,,,,,,,,,,,,,,,,,,,,,,,,,,,,,,,,,,,,,,,,,,,,,,,,,,,,,,,,,,,,,,,,,,,,,,,,,,,,,,,,,,,,,,,,,,,,,,,,,,,,,,,,,,,,,,,,,,,,,,,,,,,,,,,,,,,,,,,,,,,,,,,,,,,,,,,,,,,,,,,,,,,,,,,,,,,,,,,,,,,,,,,,,,,,,,,,,,,,,,,,,,,,,,,,,,,,,,,,,,,,,,,,,,,,,,,,,,,,,,,,,,,,,,,,,,,,,,,,,,,,,,,,,,,,,,,,,,,,,,,,,,,,,,,,,,,,,,,,,,,,,,,,,,,,,,,,,,,,,,,,,,,,,,,,,,,,,,,,,,,,,,,,,,,,,,,,,,,,,,,,,,,,,,,,,,,,,,,,,,,,,,,,,,,,,,,,,,,,,,,,,,,,,,,,,,,,,,,,,,,,,,,,,,,,,,,,,,,,,,,,,,,,,,,,,,,,,,,,,,,,,,,,,,,,,,,,,,,,,,,,,,,,,,,,,,,,,,,,,,,,,,,,,,,,,,,,,,,,,,,,,,,,,,,,,,,,,,,,,,,,,,,,,,,,,,,,,,,,,,,,,,,,,,,,,,,,,,,,,,,,,,,,,,,,,,,,,,,,,,,,,,,,,,,,,,,,,,,,,,,,,,,,,,,,,,,,,,,,,,,,,,,,,,,,,,,,,,,,,,,,,,,,,,,,,,,,,,,,,,,,,,,,,,,,,,,,,,,,,,,,,,,,,,,,,,,,,,,,,,,,,,,,,,,,,,,,,,,,,,,,,,,,,,,,,,,,,,,,,,,,,,,,,,,,,,,,,,,,,,,,,,,,,,,,,,,,,,,,,,,,,,,,,,,,,,,,,,,,,,,,,,,,,,,,,,,,,,,,,,,,,,,,,,,,,,,,,,,,,,,,,,,,,,,,,,,,,,,,,,,,,,,,,,,,,,,,,,,,,,,,,,,,,,,,,,,,,,,,,,,,,,,,,,,,,,,,,,,,,,,,,,,,,,,,,,,,,,,,,,,,,,,,,,,}",
                    "MostRecentExpectedUnitErrors": null,
                    "Units": {
                      "$id": "278",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DC per SU RAB real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7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80",
                          "$type": "ModelMaker.DimensionedArrayValues, ModelMaker",
                          "Elements": {
                            "$type": "ModelMakerEngine.MMElements, ModelMakerEngine",
                            "$values": []
                          },
                          "Values": {
                            "$type": "System.Collections.Generic.List`1[[System.Object, mscorlib]], mscorlib",
                            "$values": [
                              null,
                              1.1331579296241838,
                              1.1342388575056452,
                              1.0364751535384569,
                              1.3703246086602827,
                              1.2130986748449457,
                              1.4697806927937331,
                              1.37903004022168,
                              1.6101975416577909,
                              1.5497366613927441,
                              1.6180642015761044,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08cd90f6-f5f2-4ad9-88f9-ba44d48261ef",
                    "Dimensions": {
                      "$type": "ModelMakerEngine.MMDimensions, ModelMakerEngine",
                      "$values": []
                    },
                    "EquationOBXInternal": "{,1.13315792962418,1.13423885750565,1.03647515353846,1.37032460866028,1.21309867484495,1.46978069279373,1.37903004022168,1.61019754165779,1.54973666139274,1.6180642015761,,,,,,,,,,,,,,,,,,,,,,,,,,,,,,,,,,,,,,,,,,,,,,,,,,,,,,,,,,,,,,,,,,,,,,,,,,,,,,,,,,,,,,,,,,,,,,,,,,,,,,,,,,,,,,,,,,,,,,,,,,,,,,,,,,,,,,,,,,,,,,,,,,,,,,,,,,,,,,,,,,,,,,,,,,,,,,,,,,,,,,,,,,,,,,,,,,,,,,,,,,,,,,,,,,,,,,,,,,,,,,,,,,,,,,,,,,,,,,,,,,,,,,,,,,,,,,,,,,,,,,,,,,,,,,,,,,,,,,,,,,,,,,,,,,,,,,,,,,,,,,,,,,,,,,,,,,,,,,,,,,,,,,,,,,,,,,,,,,,,,,,,,,,,,,,,,,,,,,,,,,,,,,,,,,,,,,,,,,,,,,,,,,,,,,,,,,,,,,,,,,,,,,,,,,,,,,,,,,,,,,,,,,,,,,,,,,,,,,,,,,,,,,,,,,,,,,,,,,,,,,,,,,,,,,,,,,,,,,,,,,,,,,,,,,,,,,,,,,,,,,,,,,,,,,,,,,,,,,,,,,,,,,,,,,,,,,,,,,,,,,,,,,,,,,,,,,,,,,,,,,,,,,,,,,,,,,,,,,,,,,,,,,,,,,,,,,,,,,,,,,,,,,,,,,,,,,,,,,,,,,,,,,,,,,,,,,,,,,,,,,,,,,,,,,,,,,,,,,,,,,,,,,,,,,,,,,,,,,,,,,,,,,,,,,,,,,,,,,,,,,,,,,,,,,,,,,,,,,,,,,,,,,,,,,,,,,,,,,,,,,,,,,,,,,,,,,,,,,,,,,,,,,,,,,,,,,,,,,,,,,,,,,,,,,,,,,,,,,,,,,,,,,,,,,,,,,,,,,,,,,,,,,,,,,,,,,,,,,,,,,,,,,,,,,,,,,,,,,,,,,,,,,,,,,,,,,,,,,,,,,,,,,,,,,,,,,,,,,,,,,,,,,,,,,,,,,,,,,,,,,,,,,,,,,,,,,,,,,,,,,,,,,,,,,,,,,,,,,,,,,,,,,,,,,,,,,,,,,,,,,,,,,,,,,,,,,,,,,,,,,,,,,,,,,,,,,,,,,,,,,,,,,,,,,,,,,,,,,,,,,,,,,,,,,,,,,,,,,,,,,,,,,,,,,,,,,,,,,,,,,,,,,,,,,,,,,,,,,,,,,,,,,,,,,,,,,,,,,,,,,,,,,,,,,,,,,,,,,,,,,,,,,,,,,,,,,,,,,,,,,,,,,,,,,,,,,,,,,,,,,,,,,,,,,,,,,,,,,,,,,,,,,,,,,,,,,,,,,,,,,,,,,,,,,,,,,,,,,,,,,,,,,,,,,,,,,,,,,,,,,,,,,,,,,,,,,,,,,,,,,,,,,,,,,,,,,,,,,,,,,,,,,,,,,,,,,,,,,,,,,,,,,,,,,,,,,,,,,,,,,,,,,,,,,,,,,,,,,,,,,,,,,,,,,,,,,,,,,,,,,,,,,,,,,,,,,,,,,,,,,,,,,,,,,,,,,,,,,,,,,,,,,,,,,,,,,,,,,,,,,,,,,,,,,,,,,,,,,,,,,,,,,,,,,,,,,,,,,,,,,,,,,,,,,,,,,,,,,,,,,,,,,,,,,,,,,,,,,,,,,,,,,,,,,,,,,,,,,,,,,,,,,,,,,,,,,,,,,,,,,,,,,,,,,,,,,,,,,,,,,,,,,,,,,,,,,,,,,,,,,,,,,,,,,,,,,,,,,,,,,,,,,,,,,,,,,,,,,,,,,,,,,,,,,,,,,,,,,,,,,,,,,,,,,,,,,,,,,,,,,,,,,,,,,,,,,,,,,,,,,,,,,,,,,,,,,,,,,,,,,,,,,,,,,,,,,,,,,,,,,,,,,,,,,,,,,,,,,,,,,,,,,,,,,,,,,,,,,,,,,,,,,,,,,,,,,,,,,,,,,,,,,,,,,,,,,,,,,,,,,,,,,,,,,,,,,,,,,,,,,,,,,,,,,,,,,,,,,,,,,,,,,,,,,,,,,,,,,,,,,,,,,,,,,,,,,,,,,,,,,,,,,,,,,,,,,,,,,,,,,,,,,,,,,,,,,,,,,,,,,,,,,,,,,,,,,,,,,,,,,,,,,,,,,,,,,,,,,,,,,,,,,,,,,,,,,,,,,,,,,,,,,,,,,,,,,,,,,,,,,,,,,,,,,,,,,,,,,,,,,,,,,,,,,,,,,,,,,,,,,,,,,,,,,,,,,,,,,,,,,,,,,,,,,,,,,,,,,,,,,,,,,,,,,,,,,,,,,,,,,,,,,,,,,,,,,,,,,,,,,,,,,,,,,,,,,,,,,,,,,,,,,,,,,,,,,,,,,,,,,,,,,,,,,,,,,,,,,,,,,,,,,,,,,,,,,,,,,,,,,,,,,,,,,,,,,,,,,,,,,,,,,,,,,,,,,,,,,,,,,,,,,,,,,,,,,,,,,,,,,,,,,,,,,,,,,,,,,,,,,,,,,,,,,,,,,,,,,,,,,,,,,,,,,,,,,,,,,,,,,,,,,,,,,,,,,,,,,,,,,,,,,,,,,,,,,,,,,,,,,,,,,,,,,,,,,,,,,,,,,,,,,,,,,,,,,,,,,,,,,,,,,,,,,,,,,,,,,,,,,,,,,,,,,,,,,,,,,,,,,,,,,,,,,,,,,,,,,,,,,,,,,,,,,,,,,,,,,,,,,,,,,,,,,,,,,,,,,,,,,,,,,,,,,,,,,,,,,,,,,,,,,,,,,,,,,,,,,,,,,,,,,,,,,,,,,,,,,,,,,,,,,,,,,,,,,,,,,,,,,,,,,,,,,,,,,,,,,,,,,,,,,,,,,,,,,,,,,,,,,,,,,,,,,,,,,,,,,,,,,,,,,,,,,,,,,,,,,,,,,,,,,,,,,,,,,,,,,,,,,,,,,,,,,,,,,,,,,,,,,,,,,,,,,,,,,,,,,,,,,,,,,,,,,,,,,,,,,,,,,,,,,,,,,,,,,,,,,,,,,,,,,,,,,,,,,,,,,,,,,,,,,,,,,,,,,,,,,,,,,,,,,,,,,,,,,,,,,,,,,,,,,,,,,,,,,,,,,,,,,,,,,,,,,,,,,,,,,,,,,,,,,,,,,,,,,,,,,,,,,,,,,,,,,,,,,,,,,,,,,,,,,,,,,,,,,,,,,,,,,,,,,,,,,,,,,,,,,,,,,,,,,,,,,,,,,,,,,,,,,,,,,,,,,,,,,,,,,,,,,,,,,,,,,,,,,,,,,,,,,,,,,,,,,,,,,,,,,,,,,,,,,,,,,,,,,,,,,,,,,,,,,,,,,,,,,,,,,,,,,,,,,,,,,,,,,,,,,,,,,,,,,,,,,,,,,,,,,,,,,,,,,,,,,,,,,,,,,,,,,,,,,,,,,,,,,,,,,,,,,,,,,,,,,,,,,,,,,,,,,,,,,,,,,,,,,,,,,,,,,,,,,,,,,,,,,,,,,,,,,,,,,,,,,,,,,,,,,,,,,,,,,,,,,,,,,,,,,,,,,,,,,,,,,,,,,,,,,,,,,,,,,,,,,,,,,,,,,,,,,,,,,,,,,,,,,,,,,,,,,,,,,,,,,,,,,,,,,,,,,,,,,,,,,,,,,,,,,,,,,,,,,,,,,,,,,,,,,,,,,,,,,,,,,,,,,,,,,,,,,,,,,,,,,,,,,,,,,,,,,,,,,,,,,,,,,,,,,,,,,,,,,,,,,,,,,,,,,,,,,,,,,,,,,,,,,,,,,,,,,,,,,,,,,,,,,,,,,,,,,,,,,,,,,,,,,,,,,,,,,,,,,,,,,,,,,,,,,,,,,,,,,,,,,,,,,,,,,,,,,,,,,,,,,,,,,,,,,,,,,,,,,,,,,,,,,,,,,,,,,,,,,,,,,,,,,,,,,,,,,,,,,,,,,,,,,,,,,,,,,,,,,,,,,,,,,,,,,,,,,,,,,,,,,,,,,,,,,,,,,,,,,,,,,,,,,,,,,,,,,,,,,,,,,,,,,,,,,,,,,,,,,,,,,,,,,,,,,,,,,,,,,,,,,,,,,,,,,,,,,,,,,,,,,,,,,,,,,,,,,,,,,,,,,,,,,,,,,,,,,,,,,,,,,,,,,,,,,,,,,,,,,,,,,,,,,,,,,,,,,,,,,,,,,,,,,,,,,,,,,,,,,,,,,,,,,,,,,,,,,,,,,,,,,,,,,,,,,,,,,,,,,,,,,,,,,,,,,,,,,,,,,,,,,,,,,,,,,,,,,,,,,,,,,,,,,,,,,,,,,,,,,,,,,,,,,,,,,,,,,,,,,,,,,,,,,,,,,,,,,,,,,,,,,,,,,,,,,,,,,,,,,,,,,,,,,,,,,,,,,,,,,,,,,,,,,,,,,,,,,,,,,,,,,,,,,,,,,,,,,,,,,,,,,,,,,,,,,,,,,,,,,,,,,,,,,,,,,,,,,,,,,,,,,,,,,,,,,,,,,,,,,,,,,,,,,,,,,,,,,,,,,,,,,,,,,,,,,,,,,,,,,,,,,,,,,,,,,,,,,,,,,,,,,,,,,,,,,,,,,,,,,,,,,,,,,,,,,,,,,,,,,,,,,,,,,,,,,,,,,,,,,,,,,,,,,,,,,,,,,,,,,,,,,,,,,,,,,,,,,,,,,,,,,,,,,,,,,,,,,,,,,,,,,,,,,,,,,,,,,,,,,,,,,,,,,,,,,,,,,,,,,,,,,,,,,,,,,,,,,,,,,,,,,,,,,,,,,,,,,,,,,,,,,,,,,,,,,,,,,,,,,,,,,,,,,,,,,,,,,,,,,,,,,,,,,,,,,,,,,,,,,,,,,,,,,,,,,,,,,,,,,,,,,,,,,,,,,,,,,,,,,,,,,,,,,,,,,,,,,,,,,,,,,,,,,,,,,,,,,,,,,,,,,,,,,,,,,,,,,,,,,,,,,,,,,,,,,,,,,,,,,,,,,,,,,,,,,,,,,,,,,,,,,,,,,,,,,,,,,,,,,,,,,,,,,,,,,,,,,,,,,,,,,,,,,,,,,,,,,,,,,,,,,,,,,,,,,,,,,,,,,,,,,,,,,,,,,,,,,,,,,,,,,,,,,,,,,,,,,,,,,,,,,,,,,,,,,,,,,,,,,,,,,,,,,,,,,,,,,,,,,,,,,,,,,,,,,,,,,,,,,,,,,,,,,,,,,,,,,,,,,,,,,,,,,,,,,,,,,,,,,,,,,,,,,,,,,,,,,,,,,,,,,,,,,,,,,,,,,,,,,,,,,,,,,,,,,,,,,,,,,,,,,,,,,,,,,,,,,,,,,,,,,,,,,,,,,,,,,,,,,,,,,,,,,,,,,,,,,,,,,,,,,,,,,,,,,,,,,,,,,,,,,,,,,,,,,,,,,,,,,,,,,,,,,,,,,,,,,,,,,,,,,,,,,,,,,,,,,,,,,,,,,,,,,,,,,,,,,,,,,,,,,,,,,,,,,,,,,,,,,,,,,,,,,,,,,,,,,,,,,,,,,,,,,,,,,,,,,,,,,,,,,,,,,,,,,,,,,,,,,,,,,,,,,,,,,,,,,,,,,,,,,,,,,,,,,,,,,,,,,,,,,,,,,,,,,,,,,,,,,,,,,,,,,,,,,,,,,,,,,,,,,,,,,,,,,,,,,,,,,,,,,,,,,,,,,,,,,,,,,,,,,,,,,,,,,,,,,,,,,,,,,,,,,,,,,,,,,,,,,,,,,,,,,,,,,,,,,,,,,,,,,,,,,,,,,,,,,,,,,,,,,,,,,,,,,,,,,,,,,,,,,,,,,,,,,,,,,,,,,,,,,,,,,,,,,,,,,,,,,,,,,,,,,,,,,,,,,,,,,,,,,,,,,,,,,,,,,,,,,,,,,,,,,,,,,,,,,,,,,,,,,,,,,,,,,,,,,,,,,,,,,,,,,,,,,,,,,,,,,,,,,,,,,,,,,,,,,,,,,,,,,,,,,,,,,,,,,,,,,,,,,,,,,,,,,,,,,,,,,,,,,,,,,,,,,,,,,,,,,,,,,,,,,,,,,,,,,,,,,,,,,,,,,,,,,,,,,,,,,,,,,,,,,,,,,,,,,,,,,,,,,,,,,,,,,,,,,,,,,,,,,,,,,,,,,,,,,,,,,,,,,,,,,,,,,,,,,,,,,,,,,,,,,,,,,,,,,,,,,,,,,,,,,,,,,,,,,,,,,,,,,,,,,,,,,,,,,,,,,,,,,,,,,,,,,,,,,,,,,,,,,,,,,,,,,,,,,,,,,,,,,,,,,,,,,,,,,,,,,,,,,,,,,,,,,,,,,,,,,,,,,,,,,,,,,,,,,,,,,,,,,,,,,,,,,,,,,,,,,,,,,,,,,,,,,,,,,,,,,,,,,,,,,,,,,,,,,,,,,,,,,,,,,,,,,,,,,,,,,,,,,,,,,,,,,,,,,,,,,,,,,,,,,,,,,,,,,,,,,,,,,,,,,,,,,,,,,,,,,,,,,,,,,,,,,,,,,,,,,,,,,,,,,,,,,,,,,,,,,,,,,,,,,,,,,,,,,,,,,,,,,,,,,,,,,,,,,,,,,,,,,,,,,,,,,,,,,,,,,,,,,,,,,,,,,,,,,,,,,,,,,,,,,,,,,,,,,,,,,,,,,,,,,,,,,,,,,,,,,,,,,,,,,,,,,,,,,,,,,,,,,,,,,,,,,,,,,,,,,,,,,,,,,,,,,,,,,,,,,,,,,,,,,,,,,,,,,,,,,,,,,,,,,,,,,,,,,,,,,,,,,,,,,,,,,,,,,,,,,,,,,,,,,,,,,,,,,,,,,,,,,,,,,,,,,,,,,,,,,,,,,,,,,,,,,,,,,,,,,,,,,,,,,,,,,,,,,,,,,,,,,,,,,,,,,,,,,,,,,,,,,,,,,,,,,,,,,,,,,,,,,,,,,,,,,,,,,,,,,,,,,,,,,,,,,,,,,,,,,,,,,,,,,,,,,,,,,,,,,,,,,,,,,,,,,,,,,,,,,,,,,,,,,,,,,,,,,,,,,,,,,,,,,,,,,,,,,,,,,,,,,,,,,,,,,,,,,,,,,,,,,,,,,,,,,,,,,,,,,,,,,,,,,,,,,,,,,,,,,,,,,,,,,,,,,,,,,,,,,,,,,,,,,,,,,,,,,,,,,,,,,,,,,,,,,,,,,,,,,,,,,,,,,,,,,,,,,,,,,,,,,,,,,,,,,,,,,,,,,,,,,,,,,,,,,,,,,,,,,,,,,,,,,,,,,,,,,,,,,,,,,,,,,,,,,,,,,,,,,,,,,,,,,,,,,,,,,,,,,,,,,,,,,,,,,,,,,,,,,,,,,,,,,,,,,,,,,,,,,,,,,,,,,,,,,,,,,,,,,,,,,,,,,,,,,,,,,,,,,,,,,,,,,,,,,,,,,,,,,,,,,,,,,,,,,,,,,,,,,,,,,,,,,,,,,,,,,,,,,,,,,,,,,,,,,,,,,,,,,,,,,,,,,,,,,,,,,,,,,,,,,,,,,,,,,,,,,,,,,,,,,,,,,,,,,,,,,,,,,,,,,,,,,,,,,,,,,,,,,,,,,,,,,,,,,,,,,,,,,,,,,,,,,,,,,,,,,,,,,,,,,,,,,,,,,,,,,,,,,,,,,,,,,,,,,,,,,,,,,,,,,,,,,,,,,,,,,,,,,,,,,,,,,,,,,,,,,,,,,,,,,,,,,,,,,,,,,,,,,,,,,,,,,,,,,,,,,,,,,,,,,,,,,,,,,,,,,,,,,,,,,,,,,,,,,,,,,,,,,,,,,,,,,,,,,,,,,,,,,,,,,,,,,,,,,,,,,,,,,,,,,,,,,,,,,,,,,,,,,,,,,,,,,,,,,,,,,,,,,,,,,,,,,,,,,,,,,,,,,,,,,,,,,,,,,,,,,,,,,,,,,,,,,,,,,,,,,,,,,,,,,,,,,,,,,,,,,,,,,,,,,,,,,,,,,,,,,,,,,,,,,,,,,,,,,,,,,,,,,,,,,,,,,,,,,,,,,,,,,,,,,,,,,,,,,,,,,,,,,,,,,,,,,,,,,,,,,,,,,,,,,,,,,,,,,,,,,,,,,,,,,,,,,,,,,,,,,,,,,,,,,,,,,,,,,,,,,,,,,,,,,,,,,,,,,,,,,,,,,,,,,,,,,,,,,,,,,,,,,,,,,,,,,,,,,,,,,,,,,,,,,,,,,,,,,,,,,,,,,,,,,,,,,,,,,,,,,,,,,,,,,,,,,,,,,,,,,,,,,,,,,,,,,,,,,,,,,,,,,,,,,,,,,,,,,,,,,,,,,,,,,,,,,,,,,,,,,,,,,,,,,,,,,,,,,,,,,,,,,,,,,,,,,,,,,,,,,,,,,,,,,,,,,,,,,,,,,,,,,,,,,,,,,,,,,,,,,,,,,,,,,,,,,,,,,,,,,,,,,,,,,,,,,,,,,,,,,,,,,,,,,,,,,,,,,,,,,,,,,,,,,,,,,,,,,,,,,,,,,,,,,,,,,,,,,,,,,,,,,,,,,,,,,,,,,,,,,,,,,,,,,,,,,,,,,,,,,,,,,,,,,,,,,,,,,,,,,,,,,,,,,,,,,,,,,,,,,,,,,,,,,,,,,,,,,,,,,,,,,,,,,,,,,,,,,,,,,,,,,,,,,,,,,,,,,,,,,,,,,,,,,,,,,,,,,,,,,,,,,,,,,,,,,,,,,,,,,,,,,,,,,,,,,,,,,,,,,,,,,,,,,,,,,,,,,,,,,,,,,,,,,,,,,,,,,,,,,,,,,,,,,,,,,,,,,,,,,,,,,,,,,,,,,,,,,,,,,,,,,,,,,,,,,,,,,,,,,,,,,,,,,,,,,,,,,,,,,,,,,,,,,,,,,,,,,,,,,,,,,,,,,,,,,,,,,,,,,,,,,,,,,,,,,,,,,,,,,,,,,,,,,,,,,,,,,,,,,,,,,,,,,,,,,,,,,,,,,,,,,,,,,,,,,,,,,,,,,,,,,,,,,,,,,,,,,,,,,,,,,,,,,,,,,,,,,,,,,,,,,,,,,,,,,,,,,,,,,,,,,,,,,,,,,,,,,,,,,,,,,,,,,,,,,,,,,,,,,,,,,,,,,,,,,,,,,,,,,,,,,,,,,,,,,,,,,,,,,,,,,,,,,,,,,,,,,,,,,,,,,,,,,,,,,,,,,,,,,,,,,,,,,,,,,,,,,,,,,,,,,,,,,,,,,,,,,,,,,,,,,,,,,,,,,,,,,,,,,,,,,,,,,,,,,,,,,,,,,,,,,,,,,,,,,,,,,,,,,,,,,,,,,,,,,,,,,,,,,,,,,,,,,,,,,,,,,,,,,,,,,,,,,,,,,,,,,,,,,,,,,,,,,,,,,,,,,,,,,,,,,,,,,,,,,,,,,,,,,,,,,,,,,,,,,,,,,,,,,,,,,,,,,,,,,,,,,,,,,,,,,,,,,,,,,,,,,,,,,,,,,,,,,,,,,,,,,,,,,,,,,,,,,,,,,,,,,,,,,,,,,,,,,,,,,,,,,,,,,,,,,,,,,,,,,,,,,,,,,,,,,,,,,,,,,,,,,,,,,,,,,,,,,,,,,,,,,,,,,,,,,,,,,,,,,,,,,,,,,,,,,,,,,,,,,,,,,,,,,,,,,,,,,,,,,,,,,,,,,,,,,,,,,,,,,,,,,,,,,,,,,,,,,,,,,,,,,,,,,,,,,,,,,,,,,,,,,,,,,,,,,,,,,,,,,,,,,,,,,,,,,,,,,,,,,,,,,,,,,,,,,,,,,,,,,,,,,,,,,,,,,,,,,,,,,,,,,,,,,,,,,,,,,,,,,,,,,,,,,,,,,,,,,,,,,,,,,,,,,,,,,,,,,,,,,,,,,,,,,,,,,,,,,,,,,,,,,,,,,,,,,,,,,,,,,,,,,,,,,,,,,,,,,,,,,,,,,,,,,,,,,,,,,,,,,,,,,,,,,,,,,,,,,,,,,,,,,,,,,,,,,,,,,,,,,,,,,,,,,,,,,,,,,,,,,,,,,,,,,,,,,,,,,,,,,,,,,,,,,,,,,,,,,,,,,,,,,,,,,,,,,,,,,,,,,,,,,,,,,,,,,,,,,,,,,,,,,,,,,,,,,,,,,,,,,,,,,,,,,,,,,,,,,,,,,,,,,,,,,,,,,,,,,,,,,,,,,,,,,,,,,,,,,,,,,,,,,,,,,,,,,,,,,,,,,,,,,,,,,,,,,,,,,,,,,,,,,,,,,,,,,,,,,,,,,,,,,,,,,,,,,,,,,,,,,,,,,,,,,,,,,,,,,,,,,,,,,,,,,,,,,,,,,,,,,,,,,,,,,,,,,,,,,,,,,,,,,,,,,,,,,,,,,,,,,,,,,,,,,,,,,,,,,,,,,,,,,,,,,,,,,,,,,,,,,,,,,,,,,,,,,,,,,,,,,,,,,,,,,,,,,,,,,,,,,,,,,,,,,,,,,,,,,,,,,,,,,,,,,,,,,,,,,,,,,,,,,,,,,,,,,,,,,,,,,,,,,,,,,,,,,,,,,,,,,,,,,,,,,,,,,,,,,,,,,,,,,,,,,,,,,,,,,,,,,,,,,,,,,,,,,,,,,,,,,,,,,,,,,,,,,,,,,,,,,,,,,,,,,,,,,,,,,,,,,,,,,,,,,,,,,,,,,,,,,,,,,,,,,,,,,,,,,,,,,,,,,,,,,,,,,,,,,,,,,,,,,,,,,,,,,,,,,,,,,,,,,,,,,,,,,,,,,,,,,,,,,,,,,,,,,,,,,,,,,,,,,,,,,,,,,,,,,,,,,,,,,,,,,,,,,,,,,,,,,,,,,,,,,,,,,,,,,,,,,,,,,,,,,,,,,,,,,,,,,,,,,,,,,,,,,,,,,,,,,,,,,,,,,,,,,,,,,,,,,,,,,,,,,,,,,,,,,,,,,,,,,,,,,,,,,,,,,,,,,,,,,,,,,,,,,,,,,,,,,,,,,,,,,,,,,,,,,,,,,,,,,,,,,,,,,,,,,,,,,,,,,,,,,,,,,,,,,,,,,,,,,,,,,,,,,,,,,,,,,,,,,,,,,,,,,,,,,,,,,,,,,,,,,,,,,,,,,,,,,,,,,,,,,,,,,,,,,,,,,,,,,,,,,,,,,,,,,,,,,,,,,,,,,,,,,,,,,,,,,,,,,,,,,,,,,,,,,,,,,,,,,,,,,,,,,,,,,,,,,,,,,,,,,,,,,,,,,,,,,,,,,,,,,,,,,,,,,,,,,,,,,,,,,,,,,,,,,,,,,,,,,,,,,,,,,,,,,,,,,,,,,,,,,,,,,,,,,,,,,,,,,,,,,,,,,,,,,,,,,,,,,,,,,,,,,,,,,,,,,,,,,,,,,,,,,,,,,,,,,,,,,,,,,,,,,,,,,,,,,,,,,,,,,,,,,,,,,,,,,,,,,,,,,,,,,,,,,,,,,,,,,,,,,,,,,,,,,,,,,,,,,,,,,,,,,,,,,,,,,,,,,,,,,,,,,,,,,,,,,,,,,,,,,,,,,,,,,,,,,,,,,,,,,,,,,,,,,,,,,,,,,,,,,,,,,,,,,,,,,,,,,,,,,,,,,,,,,,,,,,,,,,,,,,,,,,,,,,,,,,,,,,,,,,,,,,,,,,,,,,,,,,,,,,,,,,,,,,,,,,,,,,,,,,,,,,,,,,,,,,,,,,,,,,,,,,,,,,,,,,,,,,,,,,,,,,,,,,,,,,,,,,,,,,,,,,,,,,,,,,,,,,,,,,,,,,,,,,,,,,,,,,,,,,,,,,,,,,,,,,,,,,,,,,,,,,,,,,,,,,,,,,,,,,,,,,,,,,,,,,,,,,,,,,,,,,,,,,,,,,,,,,,,,,,,,,,,,,,,,,,,,,,,,,,,,,,,,,,,,,,,,,,,,,,,,,,,,,,,,,,,,,,,,,,,,,,,,,,,,,,,,,,,,,,,,,,,,,,,,,,,,,,,,,,,,,,,,,,,,,,,,,,,,,,,,,,,,,,,,,,,,,,,,,,,,,,,,,,,,,,,,,,,,,,,,,,,,,,,,,,,,,,,,,,,,,,,,,,,,,,,,,,,,,,,,,,,,,,,,,,,,,,,,,,,,,,,,,,,,,,,,,,,,,,,,,,,,,,,,,,,,,,,,,,,,,,,,,,,,,,,,,,,,,,,,,,,,,,,,,,,,,,,,,,,,,,,,,,,,,,,,,,,,,,,,,,,,,,,,,,,,,,,,,,,,,,,,,,,,,,,,,,,,,,,,,,,,,,,,,,,,,,,,,,,,,,,,,,,,,,,,,,,,,,,,,,,,,,,,,,,,,,,,,,,,,,,,,,,,,,,,,,,,,,,,,,,,,,,,,,,,,,,,,,,,,,,,,,,,,,,,,,,,,,,,,,,,,,,,,,,,,,,,,,,,,,,,,,,,,,,,,,,,,,,,,,,,,,,,,,,,,,,,,,,,,,,,,,,,,,,,,,,,,,,,,,,,,,,,,,,,,,,,,,,,,,,,,,,,,,,,,,,,,,,,,,,,,,,,,,,,,,,,,,,,,,,,,,,,,,,,,,,,,,,,,,,,,,,,,,,,,,,,,,,,,,,,,,,,,,,,,,,,,,,,,,,,,,,,,,,,,,,,,,,,,,,,,,,,,,,,,,,,,,,,,,,,,,,,,,,,,,,,,,,,,,,,,,,,,,,,,,,,,,,,,,,,,,,,,,,,,,,,,,,,,,,,,,,,,,,,,,,,,,,,,,,,,,,,,,,,,,,,,,,,,,,,,,,,,,,,,,,,,,,,,,,,,,,,,,,,,,,,,,,,,,,,,,,,,,,,,,,,,,,,,,,,,,,,,,,,,,,,,,,,,,,,,,,,,,,,,,,,,,,,,,,,,,,,,,,,,,,,,,,,,,,,,,,,,,,,,,,,,,,,,,,,,,,,,,,,,,,,,,,,,,,,,,,,,,,,,,,,,,,,,,,,,,,,,,,,,,,,,,,,,,,,,,,,,,,,,,,,,,,,,,,,,,,,,,,,,,,,,,,,,,,,,,,,,,,,,,,,,,,,,,,,,,,,,,,,,,,,,,,,,,,,,,,,,,,,,,,,,,,,,,,,,,,,,,,,,,,,,,,,,,,,,,,,,,,,,,,,,,,,,,,,,,,,,,,,,,,,,,,,,,,,,,,,,,,,,,,,,,,,,,,,,,,,,,,,,,,,,,,,,,,,,,,,,,,,,,,,,,,,,,,,,,,,,,,,,,,,,,,,,,,,,,,,,,,,,,,,,,,,,,,,,,,,,,,,,,,,,,,,,,,,,,,,,,,,,,,,,,,,,,,,,,,,,,,,,,,,,,,,,,,,,,,,,,,,,,,,,,,,,,,,,,,,,,,,,,,,,,,,,,,,,,,,,,,,,,,,,,,,,,,,,,,,,,,,,,,,,,,,,,,,,,,,,,,,,,,,,,,,,,,,,,,,,,,,,,,,,,,,,,,,,,,,,,,,,,,,,,,,,,,,,,,,,,,,,,,,,,,,,,,,,,,,,,,,,,,,,,,,,,,,,,,,,,,,,,,,,,,,,,,,,,,,,,,,,,,,,,,,,,,,,,,,,,,,,,,,,,,,,,,,,,,,,,,,,,,,,,,,,,,,,,,,,,,,,,,,,,,,,,,,,,,,,,,,,,,,,,,,,,,,,,,,,,,,,,,,,,,,,,,,,,,,,,,,,,,,,,,,,,,,,,,,,,,,,,,,,,,,,,,,,,,,,,,,,,,,,,,,,,,,,,,,,,,,,,,,,,,,,,,,,,,,,,,,,,,,,,,,,,,,,,,,,,,,,,,,,,,,,,,,,,,,,,,,,,,,,,,,,,,,,,,,,,,,,,,,,,,,,,,,,,,,,,,,,,,,,,,,,,,,,,,,,,,,,,,,,,,,,,,,,,,,,,,,,,,,,,,,,,,,,,,,,,,,,,,,,,,,,,,,,,,,,,,,,,,,,,,,,,,,,,,,,,,,,,,,,,,,,,,,,,,,,,,,,,,,,,,,,,,,,,,,,,,,,,,,,,,,,,,,,,,,,,,,,,,,,,,,,,,,,,,,,,,,,,,,,,,,,,,,,,,,,,,,,,,,,,,,,,,,,,,,,,,,,,,,,,,,,,,,,,,,,,,,,,,,,,,,,,,,,,,,,,,,,,,,,,,,,,,,,,,,,,,,,,,,,,,,,,,,,,,,,,,,,,,,,,,,,,,,,,,,,,,,,,,,,,,,,,,,,,,,,,,,,,,,,,,,,,,,,,,,,,,,,,,,,,,,,,,,,,,,,,,,,,,,,,,,,,,,,,,,,,,,,,,,,,,,,,,,,,,,,,,,,,,,,,,,,,,,,,,,,,,,,,,,,,,,,,,,,,,,,,,,,,,,,,,,,,,,,,,,,,,,,,,,,,,,,,,,,,,,,,,,,,,,,,,,,,,,,,,,,,,,,,,,,,,,,,,,,,,,,,,,,,,,,,,,,,,,,,,,,,,,,,,,,,,,,,,,,,,,,,,,,,,,,,,,,,,,,,,,,,,,,,,,,,,,,,,,,,,,,,,,,,,,,,,,,,,,,,,,,,,,,,,,,,,,,,,,,,,,,,,,,,,,,,,,,,,,,,,,,,,,,,,,,,,,,,,,,,,,,,,,,,,,,,,,,,,,,,,,,,,,,,,,,,,,,,,,,,,,,,,,,,,,,,,,,,,,,,,,,,,,,,,,,,,,,,,,,,,,,,,,,,,,,,,,,,,,,,,,,,,,,,,,,,,,,,,,,,,,,,,,,,,,,,,,,,,,,,,,,,,,,,,,,,,,,,,,,,,,,,,,,,,,,,,,,,,,,,,,,,,,,,,,,,,,,,,,,,,,,,,,,,,,,,,,,,,,,,,,,,,,,,,,,,,,,,,,,,,,,,,,,,,,,,,,,,,,,,,,,,,,,,,,,,,,,,,,,,,,,,,,,,,,,,,,,,,,,,,,,,,,,,,,,,,,,,,,,,,,,,,,,,,,,,,,,,,,,,,,,,,,,,,,,,,,,,,,,,,,,,,,,,,,,,,,,,,,,,,,,,,,,,,,,,,,,,,,,,,,,,,,,,,,,,,,,,,,,,,,,,,,,,,,,,,,,,,,,,,,,,,,,,,,,,,,,,,,,,,,,,,,,,,,,,,,,,,,,,,,,,,,,,,,,,,,,,,,,,,,,,,,,,,,,,,,,,,,,,,,,,,,,,,,,,,,,,,,,,,,,,,,,,,,,,,,,,,,,,,,,,,,,,,,,,,,,,,,,,,,,,,,,,,,,,,,,,,,,,,,,,,,,,,,,,,,,,,,,,,,,,,,,,,,,,,,,,,,,,,,,,,,,,,,,,,,,,,,,,,,,,,,,,,,,,,,,,,,,,,,,,,,,,,,,,,,,,,,,,,,,,,,,,,,,,,,,,,,,,,,,,,,,,,,,,,,,,,,,,,,,,,,,,,,,,,,,,,,,,,,,,,,,,,,,,,,,,,,,,,,,,,,,,,,,,,,,,,,,,,,,,,,,,,,,,,,,,,,,,,,,,,,,,,,,,,,,,,,,,,,,,,,,,,,,,,,,,,,,,,,,,,,,,,,,,,,,,,,,,,,,,,,,,,,,,,,,,,,,,,,,,,,,,,,,,,,,,,,,,,,,,,,,,,,,,,,,,,,,,,,,,,,,,,,,,,,,,,,,,,,,,,,,,,,,,,,,,,,,,,,,,,,,,,,,,,,,,,,,,,,,,,,,,,,,,,,,,,,,,,,,,,,,,,,,,,,,,,,,,,,,,,,,,,,,,,,,,,,,,,,,,,,,,,,,,,,,,,,,,,,,,,,,,,,,,,,,,,,,,,,,,,,,,,,,,,,,,,,,,,,,,,,,,,,,,,,,,,,,,,,,,,,,,,,,,,,,,,,,,,,,,,,,,,,,,,,,,,,,,,,,,,,,,,,,,,,,,,,,,,,,,,,,,,,,,,,,,,,,,,,,,,,,,,,,,,,,,,,,,,,,,,,,,,,,,,,,,,,,,,,,,,,,,,,,,,,,,,,,,,,,,,,,,,,,,,,,,,,,,,,,,,,,,,,,,,,,,,,,,,,,,,,,,,,,,,,,,,,,,,,,,,,,,,,,,,,,,,,,,,,,,,,,,,,,,,,,,,,,,,,,,,,,,,,,,,,,,,,,,,,,,,,,,,,,,,,,,,,,,,,,,,,,,,,,,,,,,,,,,,,,,,,,,,,,,,,,,,,,,,,,,,,,,,,,,,,,,,,,,,,,,,,,,,,,,,,,,,,,,,,,,,,,,,,,,,,,,,,,,,,,,,,,,,,,,,,,,,,,,,,,,,,,,,,,,,,,,,,,,,,,,,,,,,,,,,,,,,,,,,,,,,,,,,,,,,,,,,,,,,,,,,,,,,,,,,,,,,,,,,,,,,,,,,,,,,,,,,,,,,,,,,,,,,,,,,,,,,,,,,,,,,,,,,,,,,,,,,,,,,,,,,,,,,,,,,,,,,,,,,,,,,,,,,,,,,,,,,,,,,,,,,,,,,,,,,,,,,,,,,,,,,,,,,,,,,,,,,,,,,,,,,,,,,,,,,,,,,,,,,,,,,,,,,,,,,,,,,,,,,,,,,,,,,,,,,,,,,,,,,,,,,,,,,,,,,,,,,,,,,,,,,,,,,,,,,,,,,,,,,,,,,,,,,,,,,,,,,,,,,,,,,,,,,,,,,,,,,,,,,,,,,,,,,,,,,,,,,,,,,,,,,,,,,,,,,,,,,,,,,,,,,,,,,,,,,,,,,,,,,,,,,,,,,,,,,,,,,,,,,,,,,,,,,,,,,,,,,,,,,,,,,,,,,,,,,,,,,,,,,,,,,,,,,,,,,,,,,,,,,,,,,,,,,,,,,,,,,,,,,,,,,,,,,,,,,,,,,,,,,,,,,,,,,,,,,,,,,,,,,,,,,,,,,,,,,,,,,,,,,,,,,,,,,,,,,,,,,,,,,,,,,,,,,,,,,,,,,,,,,,,,,,,,,,,,,,,,,,,,,,,,,,,,,,,,,,,,,,,,,,,,,,,,,,,,,,,,,,,,,,,,,,,,,,,,,,,,,,,,,,,,,,,,,,,,,,,,,,,,,,,,,,,,,,,,,,,,,,,,,,,,,,,,,,,,,,,,,,,,,,,,,,,,,,,,,,,,,,,,,,,,,,,,,,,,,,,,,,,,,,,,,,,,,,,,,,,,,,,,,,,,,,,,,,,,,,,,,,,,,,,,,,,,,,,,,,,,,,,,,,,,,,,,,,,,,,,,,,,,,,,,,,,,,,,,,,,,,,,,,,,,,,,,,,,,,,,,,,,,,,,,,,,,,,,,,,,,,,,,,,,,,,,,,,,,,,,,,,,,,,,,,,,,,,,,,,,,,,,,,,,,,,,,,,,,,,,,,,,,,,,,,,,,,,,,,,,,,,,,,,,,,,,,,,,,,,,,,,,,,,,,,,,,,,,,,,,,,,,,,,,,,,,,,,,,,,,,,,,,,,,,,,,,,,,,,,,,,,,,,,,,,,,,,,,,,,,,,,,,,,,,,,,,,,,,,,,,,,,,,,,,,,,,,,,,,,,,,,,,,,,,,,,,,,,,,,,,,,,,,,,,,,,,,,,,,,,,,,,,,,,,,,,,,,,,,,,,,,,,,,,,,,,,,,,,,,,,,,,,,,,,,,,,,,,,,,,,,,,,,,,,,,,,,,,,,,,,,,,,,,,,,,,,,,,,,,,,,,}",
                    "NameOfGroup": "Unallocated",
                    "EquationToParse": "{,1.13315792962418,1.13423885750565,1.03647515353846,1.37032460866028,1.21309867484495,1.46978069279373,1.37903004022168,1.61019754165779,1.54973666139274,1.6180642015761,,,,,,,,,,,,,,,,,,,,,,,,,,,,,,,,,,,,,,,,,,,,,,,,,,,,,,,,,,,,,,,,,,,,,,,,,,,,,,,,,,,,,,,,,,,,,,,,,,,,,,,,,,,,,,,,,,,,,,,,,,,,,,,,,,,,,,,,,,,,,,,,,,,,,,,,,,,,,,,,,,,,,,,,,,,,,,,,,,,,,,,,,,,,,,,,,,,,,,,,,,,,,,,,,,,,,,,,,,,,,,,,,,,,,,,,,,,,,,,,,,,,,,,,,,,,,,,,,,,,,,,,,,,,,,,,,,,,,,,,,,,,,,,,,,,,,,,,,,,,,,,,,,,,,,,,,,,,,,,,,,,,,,,,,,,,,,,,,,,,,,,,,,,,,,,,,,,,,,,,,,,,,,,,,,,,,,,,,,,,,,,,,,,,,,,,,,,,,,,,,,,,,,,,,,,,,,,,,,,,,,,,,,,,,,,,,,,,,,,,,,,,,,,,,,,,,,,,,,,,,,,,,,,,,,,,,,,,,,,,,,,,,,,,,,,,,,,,,,,,,,,,,,,,,,,,,,,,,,,,,,,,,,,,,,,,,,,,,,,,,,,,,,,,,,,,,,,,,,,,,,,,,,,,,,,,,,,,,,,,,,,,,,,,,,,,,,,,,,,,,,,,,,,,,,,,,,,,,,,,,,,,,,,,,,,,,,,,,,,,,,,,,,,,,,,,,,,,,,,,,,,,,,,,,,,,,,,,,,,,,,,,,,,,,,,,,,,,,,,,,,,,,,,,,,,,,,,,,,,,,,,,,,,,,,,,,,,,,,,,,,,,,,,,,,,,,,,,,,,,,,,,,,,,,,,,,,,,,,,,,,,,,,,,,,,,,,,,,,,,,,,,,,,,,,,,,,,,,,,,,,,,,,,,,,,,,,,,,,,,,,,,,,,,,,,,,,,,,,,,,,,,,,,,,,,,,,,,,,,,,,,,,,,,,,,,,,,,,,,,,,,,,,,,,,,,,,,,,,,,,,,,,,,,,,,,,,,,,,,,,,,,,,,,,,,,,,,,,,,,,,,,,,,,,,,,,,,,,,,,,,,,,,,,,,,,,,,,,,,,,,,,,,,,,,,,,,,,,,,,,,,,,,,,,,,,,,,,,,,,,,,,,,,,,,,,,,,,,,,,,,,,,,,,,,,,,,,,,,,,,,,,,,,,,,,,,,,,,,,,,,,,,,,,,,,,,,,,,,,,,,,,,,,,,,,,,,,,,,,,,,,,,,,,,,,,,,,,,,,,,,,,,,,,,,,,,,,,,,,,,,,,,,,,,,,,,,,,,,,,,,,,,,,,,,,,,,,,,,,,,,,,,,,,,,,,,,,,,,,,,,,,,,,,,,,,,,,,,,,,,,,,,,,,,,,,,,,,,,,,,,,,,,,,,,,,,,,,,,,,,,,,,,,,,,,,,,,,,,,,,,,,,,,,,,,,,,,,,,,,,,,,,,,,,,,,,,,,,,,,,,,,,,,,,,,,,,,,,,,,,,,,,,,,,,,,,,,,,,,,,,,,,,,,,,,,,,,,,,,,,,,,,,,,,,,,,,,,,,,,,,,,,,,,,,,,,,,,,,,,,,,,,,,,,,,,,,,,,,,,,,,,,,,,,,,,,,,,,,,,,,,,,,,,,,,,,,,,,,,,,,,,,,,,,,,,,,,,,,,,,,,,,,,,,,,,,,,,,,,,,,,,,,,,,,,,,,,,,,,,,,,,,,,,,,,,,,,,,,,,,,,,,,,,,,,,,,,,,,,,,,,,,,,,,,,,,,,,,,,,,,,,,,,,,,,,,,,,,,,,,,,,,,,,,,,,,,,,,,,,,,,,,,,,,,,,,,,,,,,,,,,,,,,,,,,,,,,,,,,,,,,,,,,,,,,,,,,,,,,,,,,,,,,,,,,,,,,,,,,,,,,,,,,,,,,,,,,,,,,,,,,,,,,,,,,,,,,,,,,,,,,,,,,,,,,,,,,,,,,,,,,,,,,,,,,,,,,,,,,,,,,,,,,,,,,,,,,,,,,,,,,,,,,,,,,,,,,,,,,,,,,,,,,,,,,,,,,,,,,,,,,,,,,,,,,,,,,,,,,,,,,,,,,,,,,,,,,,,,,,,,,,,,,,,,,,,,,,,,,,,,,,,,,,,,,,,,,,,,,,,,,,,,,,,,,,,,,,,,,,,,,,,,,,,,,,,,,,,,,,,,,,,,,,,,,,,,,,,,,,,,,,,,,,,,,,,,,,,,,,,,,,,,,,,,,,,,,,,,,,,,,,,,,,,,,,,,,,,,,,,,,,,,,,,,,,,,,,,,,,,,,,,,,,,,,,,,,,,,,,,,,,,,,,,,,,,,,,,,,,,,,,,,,,,,,,,,,,,,,,,,,,,,,,,,,,,,,,,,,,,,,,,,,,,,,,,,,,,,,,,,,,,,,,,,,,,,,,,,,,,,,,,,,,,,,,,,,,,,,,,,,,,,,,,,,,,,,,,,,,,,,,,,,,,,,,,,,,,,,,,,,,,,,,,,,,,,,,,,,,,,,,,,,,,,,,,,,,,,,,,,,,,,,,,,,,,,,,,,,,,,,,,,,,,,,,,,,,,,,,,,,,,,,,,,,,,,,,,,,,,,,,,,,,,,,,,,,,,,,,,,,,,,,,,,,,,,,,,,,,,,,,,,,,,,,,,,,,,,,,,,,,,,,,,,,,,,,,,,,,,,,,,,,,,,,,,,,,,,,,,,,,,,,,,,,,,,,,,,,,,,,,,,,,,,,,,,,,,,,,,,,,,,,,,,,,,,,,,,,,,,,,,,,,,,,,,,,,,,,,,,,,,,,,,,,,,,,,,,,,,,,,,,,,,,,,,,,,,,,,,,,,,,,,,,,,,,,,,,,,,,,,,,,,,,,,,,,,,,,,,,,,,,,,,,,,,,,,,,,,,,,,,,,,,,,,,,,,,,,,,,,,,,,,,,,,,,,,,,,,,,,,,,,,,,,,,,,,,,,,,,,,,,,,,,,,,,,,,,,,,,,,,,,,,,,,,,,,,,,,,,,,,,,,,,,,,,,,,,,,,,,,,,,,,,,,,,,,,,,,,,,,,,,,,,,,,,,,,,,,,,,,,,,,,,,,,,,,,,,,,,,,,,,,,,,,,,,,,,,,,,,,,,,,,,,,,,,,,,,,,,,,,,,,,,,,,,,,,,,,,,,,,,,,,,,,,,,,,,,,,,,,,,,,,,,,,,,,,,,,,,,,,,,,,,,,,,,,,,,,,,,,,,,,,,,,,,,,,,,,,,,,,,,,,,,,,,,,,,,,,,,,,,,,,,,,,,,,,,,,,,,,,,,,,,,,,,,,,,,,,,,,,,,,,,,,,,,,,,,,,,,,,,,,,,,,,,,,,,,,,,,,,,,,,,,,,,,,,,,,,,,,,,,,,,,,,,,,,,,,,,,,,,,,,,,,,,,,,,,,,,,,,,,,,,,,,,,,,,,,,,,,,,,,,,,,,,,,,,,,,,,,,,,,,,,,,,,,,,,,,,,,,,,,,,,,,,,,,,,,,,,,,,,,,,,,,,,,,,,,,,,,,,,,,,,,,,,,,,,,,,,,,,,,,,,,,,,,,,,,,,,,,,,,,,,,,,,,,,,,,,,,,,,,,,,,,,,,,,,,,,,,,,,,,,,,,,,,,,,,,,,,,,,,,,,,,,,,,,,,,,,,,,,,,,,,,,,,,,,,,,,,,,,,,,,,,,,,,,,,,,,,,,,,,,,,,,,,,,,,,,,,,,,,,,,,,,,,,,,,,,,,,,,,,,,,,,,,,,,,,,,,,,,,,,,,,,,,,,,,,,,,,,,,,,,,,,,,,,,,,,,,,,,,,,,,,,,,,,,,,,,,,,,,,,,,,,,,,,,,,,,,,,,,,,,,,,,,,,,,,,,,,,,,,,,,,,,,,,,,,,,,,,,,,,,,,,,,,,,,,,,,,,,,,,,,,,,,,,,,,,,,,,,,,,,,,,,,,,,,,,,,,,,,,,,,,,,,,,,,,,,,,,,,,,,,,,,,,,,,,,,,,,,,,,,,,,,,,,,,,,,,,,,,,,,,,,,,,,,,,,,,,,,,,,,,,,,,,,,,,,,,,,,,,,,,,,,,,,,,,,,,,,,,,,,,,,,,,,,,,,,,,,,,,,,,,,,,,,,,,,,,,,,,,,,,,,,,,,,,,,,,,,,,,,,,,,,,,,,,,,,,,,,,,,,,,,,,,,,,,,,,,,,,,,,,,,,,,,,,,,,,,,,,,,,,,,,,,,,,,,,,,,,,,,,,,,,,,,,,,,,,,,,,,,,,,,,,,,,,,,,,,,,,,,,,,,,,,,,,,,,,,,,,,,,,,,,,,,,,,,,,,,,,,,,,,,,,,,,,,,,,,,,,,,,,,,,,,,,,,,,,,,,,,,,,,,,,,,,,,,,,,,,,,,,,,,,,,,,,,,,,,,,,,,,,,,,,,,,,,,,,,,,,,,,,,,,,,,,,,,,,,,,,,,,,,,,,,,,,,,,,,,,,,,,,,,,,,,,,,,,,,,,,,,,,,,,,,,,,,,,,,,,,,,,,,,,,,,,,,,,,,,,,,,,,,,,,,,,,,,,,,,,,,,,,,,,,,,,,,,,,,,,,,,,,,,,,,,,,,,,,,,,,,,,,,,,,,,,,,,,,,,,,,,,,,,,,,,,,,,,,,,,,,,,,,,,,,,,,,,,,,,,,,,,,,,,,,,,,,,,,,,,,,,,,,,,,,,,,,,,,,,,,,,,,,,,,,,,,,,,,,,,,,,,,,,,,,,,,,,,,,,,,,,,,,,,,,,,,,,,,,,,,,,,,,,,,,,,,,,,,,,,,,,,,,,,,,,,,,,,,,,,,,,,,,,,,,,,,,,,,,,,,,,,,,,,,,,,,,,,,,,,,,,,,,,,,,,,,,,,,,,,,,,,,,,,,,,,,,,,,,,,,,,,,,,,,,,,,,,,,,,,,,,,,,,,,,,,,,,,,,,,,,,,,,,,,,,,,,,,,,,,,,,,,,,,,,,,,,,,,,,,,,,,,,,,,,,,,,,,,,,,,,,,,,,,,,,,,,,,,,,,,,,,,,,,,,,,,,,,,,,,,,,,,,,,,,,,,,,,,,,,,,,,,,,,,,,,,,,,,,,,,,,,,,,,,,,,,,,,,,,,,,,,,,,,,,,,,,,,,,,,,,,,,,,,,,,,,,,,,,,,,,,,,,,,,,,,,,,,,,,,,,,,,,,,,,,,,,,,,,,,,,,,,,,,,,,,,,,,,,,,,,,,,,,,,,,,,,,,,,,,,,,,,,,,,,,,,,,,,,,,,,,,,,,,,,,,,,,,,,,,,,,,,,,,,,,,,,,,,,,,,,,,,,,,,,,,,,,,,,,,,,,,,,,,,,,,,,,,,,,,,,,,,,,,,,,,,,,,,,,,,,,,,,,,,,,,,,,,,,,,,,,,,,,,,,,,,,,,,,,,,,,,,,,,,,,,,,,,,,,,,,,,,,,,,,,,,,,,,,,,,,,,,,,,,,,,,,,,,,,,,,,,,,,,,,,,,,,,,,,,,,,,,,,,,,,,,,,,,,,,,,,,,,,,,,,,,,,,,,,,,,,,,,,,,,,,,,,,,,,,,,,,,,,,,,,,,,,,,,,,,,,,,,,,,,,,,,,,,,,,,,,,,,,,,,,,,,,,,,,,,,,,,,,,,,,,,,,,,,,,,,,,,,,,,,,,,,,,,,,,,,,,,,,,,,,,,,,,,,,,,,,,,,,,,,,,,,,,,,,,,,,,,,,,,,,,,,,,,,,,,,,,,,,,,,,,,,,,,,,,,,,,,,,,,,,,,,,,,,,,,,,,,,,,,,,,,,,,,,,,,,,,,,,,,,,,,,,,,,,,,,,,,,,,,,,,,,,,,,,,,,,,,,,,,,,,,,,,,,,,,,,,,,,,,,,,,,,,,,,,,,,,,,,,,,,,,,,,,,,,,,,,,,,,,,,,,,,,,,,,,,,,,,,,,,,,,,,,,,,,,,,,,,,,,,,,,,,,,,,,,,,,,,,,,,,,,,,,,,,,,,,,,,,,,,,,,,,,,,,,,,,,,,,,,,,,,,,,,,,,,,,,,,,,,,,,,,,,,,,,,,,,,,,,,,,,,,,,,,,,,,,,,,,,,,,,,,,,,,,,,,,,,,,,,,,,,,,,,,,,,,,,,,,,,,,,,,,,,,,,,,,,,,,,,,,,,,,,,,,,,,,,,,,,,,,,,,,,,,,,,,,,,,,,,,,,,,,,,,,,,,,,,,,,,,,,,,,,,,,,,,,,,,,,,,,,,,,,,,,,,,,,,,,,,,,,,,,,,,,,,,,,,,,,,,,,,,,,,,,,,,,,,,,,,,,,,,,,,,,,,,,,,,,,,,,,,,,,,,,,,,,,,,,,,,,,,,,,,,,,,,,,,,,,,,,,,,,,,,,,,,,,,,,,,,,,,,,,,,,,,,,,,,,,,,,,,,,,,,,,,,,,,,,,,,,,,,,,,,,,,,,,,,,,,,,,,,,,,,,,,,,,,,,,,,,,,,,,,,,,,,,,,,,,,,,,,,,,,,,,,,,,,,,,,,,,,,,,,,,,,,,,,,,,,,,,,,,,,,,,,,,,,,,,,,,,,,,,,,,,,,,,,,,,,,,,,,,,,,,,,,,,,,,,,,,,,,,,,,,,,,,,,,,,,,,,,,,,,,,,,,,,,,,,,,,,,,,,,,,,,,,,,,,,,,,,,,,,,,,,,,,,,,,,,,,,,,,,,,,,,,,,,,,,,,,,,,,,,,,,,,,,,,,,,,,,,,,,,,,,,,,,,,,,,,,,,,,,,,,,,,,,,,,,,,,,,,,,,,,,,,,,,,,,,,,,,,,,,,,,,,,,,,,,,,,,,,,,,,,,,,,,,,,,,,,,,,,,,,,,,,,,,,,,,,,,,,,,,,,,,,,,,,,,,,,,,,,,,,,,,,,,,,,,,,,,,,,,,,,,,,,,,,,,,,,,,,,,,,,,,,,,,,,,,,,,,,,,,,,,,,,,,,,,,,,,,,,,,,,,,,,,,,,,,,,,,,,,,,,,,,,,,,,,,,,,,,,,,,,,,,,,,,,,,,,,,,,,,,,,,,,,,,,,,,,,,,,,,,,,,,,,,,,,,,,,,,,,,,,,,,,,,,,,,,,,,,,,,,,,,,,,,,,,,,,,,,,,,,,,,,,,,,,,,,,,,,,,,,,,,,,,,,,,,,,,,,,,,,,,,,,,,,,,,,,,,,,,,,,,,,,,,,,,,,,,,,,,,,,,,,,,,,,,,,,,,,,,,,,,,,,,,,,,,,,,,,,,,,,,,,,,,,,,,,,,,,,,,,,,,,,,,,,,,,,,,,,,,,,,,,,,,,,,,,,,,,,,,,,,,,,,,,,,,,,,,,,,,,,,,,,,,,,,,,,,,,,,,,,,,,,,,,,,,,,,,,,,,,,,,,,,,,,,,,,,,,,,,,,,,,,,,,,,,,,,,,,,,,,,,,,,,,,,,,,,,,,,,,,,,,,,,,,,,,,,,,,,,,,,,,,,,,,,,,,,,,,,,,,,,,,,,,,,,,,,,,,,,,,,,,,,,,,,,,,,,,,,,,,,,,,,,,,,,,,,,,,,,,,,,,,,,,,,,,,,,,,,,,,,,,,,,,,,,,,,,,,,,,,,,,,,,,,,,,,,,,,,,,,,,,,,,,,,,,,,,,,,,,,,,,,,,,,,,,,,,,,,,,,,,,,,,,,,,,,,,,,,,,,,,,,,,,,,,,,,,,,,,,,,,,,,,,,,,,,,,,,,,,,,,,,,,,,,,,,,,,,,,,,,,,,,,,,,,,,,,,,,,,,,,,,,,,,,,,,,,,,,,,,,,,,,,,,,,,,,,,,,,,,,,,,,,,,,,,,,,,,,,,,,,,,,,,,,,,,,,,,,,,,,,,,,,,,,,,,,,,,,,,,,,,,,,,,,,,,,,,,,,,,,,,,,,,,,,,,,,,,,,,,,,,,,,,,,,,,,,,,,,,,,,,,,,,,,,,,,,,,,,,,,,,,,,,,,,,,,,,,,,,,,,,,,,,,,,,,,,,,,,,,,,,,,,,,,,,,,,,,,,,,,,,,,,,,,,,,,,,,,,,,,,,,,,,,,,,,,,,,,,,,,,,,,,,,,,,,,,,,,,,,,,,,,,,,,,,,,,,,,,,,,,,,,,,,,,,,,,,,,,,,,,,,,,,,,,,,,,,,,,,,,,,,,,,,,,,,,,,,,,,,,,,,,,,,,,,,,,,,,,,,,,,,,,,,,,,,,,,,,,,,,,,,,,,,,,,,,,,,,,,,,,,,,,,,,,,,,,,,,,,,,,,,,,,,,,,,,,,,,,,,,,,,,,,,,,,,,,,,,,,,,,,,,,,,,,,,,,,,,,,,,,,,,,,,,,,,,,,,,,,,,,,,,,,,,,,,,,,,,,,,,,,,,,,,,,,,,,,,,,,,,,,,,,,,,,,,,,,,,,,,,,,,,,,,,,,,,,,,,,,,,,,,,,,,,,,,,,,,,,,,,,,,,,,,,,,,,,,,,,,,,,,,,,,,,,,,,,,,,,,,,,,,,,,,,,,,,,,,,,,,,,,,,,,,,,,,,,,,,,,,,,,,,,,,,,,,,,,,,,,,,,,,,,,,,,,,,,,,,,,,,,,,,,,,,,,,,,,,,,,,,,,,,,,,,,,,,,,,,,,,,,,,,,,,,,,,,,,,,,,,,,,,,,,,,,,,,,,,,,,,,,,,,,,,,,,,,,,,,,,,,,,,,,,,,,,,,,,,,,,,,,,,,,,,,,,,,,,,,,,,,,,,,,,,,,,,,,,,,,,,,,,,,,,,,,,,,,,,,,,,,,,,,,,,,,,,,,,,,,,,,,,,,,,,,,,,,,,,,,,,,,,,,,,,,,,,,,,,,,,,,,,,,,,,,,,,,,,,,,,,,,,,,,,,,,,,,,,,,,,,,,,,,,,,,,,,,,,,,,,,,,,,,,,,,,,,,,,,,,,,,,,,,,,,,,,,,,,,,,,,,,,,,,,,,,,,,,,,,,,,,,,,,,,,,,,,,,,,,,,,,,,,,,,,,,,,,,,,,,,,,,,,,,,,,,,,,,,,,,,,,,,,,,,,,,,,,,,,,,,,,,,,,,,,,,,,,,,,,,,,,,,,,,,,,,,,,,,,,,,,,,,,,,,,,,,,,,,,,,,,,,,,,,,,,,,,,,,,,,,,,,,,,,,,,,,,,,,,,,,,,,,,,,,,,,,,,,,,,,,,,,,,,,,,,,,,,,,,,,,,,,,,,,,,,,,,,,,,,,,,,,,,,,,,,,,,,,,,,,,,,,,,,,,,,,,,,,,,,,,,,,,,,,,,,,,,,,,,,,,,,,,,,,,,,,,,,,,,,,,,,,,,,,,,,,,,,,,,,,,,,,,,,,,,,,,,,,,,,,,,,,,,,,,,,,,,,,,,,,,,,,,,,,,,,,,,,,,,,,,,,,,,,,,,,,,,,,,,,,,,,,,,,,,,,,,,,,,,,,,,,,,,,,,,,,,,,,,,,,,,,,,,,,,,,,,,,,,,,,,,,,,,,,,,,,,,,,,,,,,,,,,,,,,,,,,,,,,,,,,,,,,,,,,,,,,,,,,,,,,,,,,,,,,,,,,,,,,,,,,,,,,,,,,,,,,,,,,,,,,,,,,,,,,,,,,,,,,,,,,,,,,,,,,,,,,,,,,,,,,,,,,,,,,,,,,,,,,,,,,,,,,,,,,,,,,,,,,,,,,,,,,,,,,,,,,,,,,,,,,,,,,,,,,,,,,,,,,,,,,,,,,,,,,,,,,,,,,,,,,,,,,,,,,,,,,,,,,,,,,,,,,,,,,,,,,,,,,,,,,,,,,,,,,,,,,,,,,,,,,,,,,,,,,,,,,,,,,,,,,,,,,,,,,,,,,,,,,,,,,,,,,,,,,,,,,,,,,,,,,,,,,,,,,,,,,,,,,,,,,,,,,,,,,,,,,,,,,,,,,,,,,,,,,,,,,,,,,,,,,,,,,,,,,,,,,,,,,,,,,,,,,,,,,,,,,,,,,,,,,,,,,,,,,,,,,,,,,,,,,,,,,,,,,,,,,,,,,,,,,,,,,,,,,,,,,,,,,,,,,,,,,,,,,,,,,,,,,,,,,,,,,,,,,,,,,,,,,,,,,,,,,,,,,,,,,,,,,,,,,,,,,,,,,,,,,,,,,,,,,,,,,,,,,,,,,,,,,,,,,,,,,,,,,,,,,,,,,,,,,,,,,,,,,,,,,,,,,,,,,,,,,,,,,,,,,,,,,,,,,,,,,,,,,,,,,,,,,,,,,,,,,,,,,,,,,,,,,,,,,,,,,,,,,,,,,,,,,,,,,,,,,,,,,,,,,,,,,,,,,,,,,,,,,,,,,,,,,,,,,,,,,,,,,,,,,,,,,,,,,,,,,,,,,,,,,,,,,,,,,,,,,,,,,,,,,,,,,,,,,,,,,,,,,,,,,,,,,,,,,,,,,,,,,,,,,,,,,,,,,,,,,,,,,,,,,,,,,,,,,,,,,,,,,,,,,,,,,,,,,,,,,,,,,,,,,,,,,,,,,,,,,,,,,,,,,,,,,,,,,,,,,,,,,,,,,,,,,,,,,,,,,,,,,,,,,,,,,,,,,,,,,,,,,,,,,,,,,,,,,,,,,,,,,,,,,,,,,,,,,,,,,,,,,,,,,,,,,,,,,,,,,,,,,,,,,,,,,,,,,,,,,,,,,,,,,,,,,,,,,,,,,,,,,,,,,,,,,,,,,,,,,,,,,,,,,,,,,,,,,,,,,,,,,,,,,,,,,,,,,,,,,,,,,,,,,,,,,,,,,,,,,,,,,,,,,,,,,,,,,,,,,,,,,,,,,,,,,,,,,,,,,,,,,,,,,,,,,,,,,,,,,,,,,,,,,,,,,,,,,,,,,,,,,,,,,,,,,,,,,,,,,,,,,,,,,,,,,,,,,,,,,,,,,,,,,,,,,,,,,,,,,,,,,,,,,,,,,,,,,,,,,,,,,,,,,,,,,,,,,,,,,,,,,,,,,,,,,,,,,,,,,,,,,,,,,,,,,,,,,,,,,,,,,,,,,,,,,,,,,,,,,,,,,,,,,,,,,,,,,,,,,,,,,,,,,,,,,,,,,,,,,,,,,,,,,,,,,,,,,,,,,,,,,,,,,,,,,,,,,,,,,,,,,,,,,,,,,,,,,,,,,,,,,,,,,,,,,,,,,,,,,,,,,,,,,,,,,,,,,,,,,,,,,,,,,,,,,,,,,,,,,,,,,,,,,,,,,,,,,,,,,,,,,,,,,,,,,,,,,,,,,,,,,,,,,,,,,,,,,,,,,,,,,,,,,,,,,,,,,,,,,,,,,,,,,,,,,,,,,,,,,,,,,,,,,,,,,,,,,,,,,,,,,,,,,,,,,,,,,,,,,,,,,,,,,,,,,,,,,,,,,,,,,,,,,,,,,,,,,,,,,,,,,,,,,,,,,,,,,,,,,,,,,,,,,,,,,,,,,,,,,,,,,,,,,,,,,,,,,,,,,,,,,,,,,,,,,,,,,,,,,,,,,,,,,,,,,,,,,,,,,,,,,,,,,,,,,,,,,,,,,,,,,,,,,,,,,,,,,,,,,,,,,,,,,,,,,,,,,,,,,,,,,,,,,,,,,,,,,,,,,,,,,,,,,,,,,,,,,,,,,,,,,,,,,,,,,,,,,,,,,,,,,,,,,,,,,,,,,,,,,,,,,,,,,,,,,,,,,,,,,,,,,,,,,,,,,,,,,,,,,,,,,,,,,,,,,,,,,,,,,,,,,,,,,,,,,,,,,,,,,,,,,,,,,,,,,,,,,,,,,,,,,,,,,,,,,,,,,,,,,,,,,,,,,,,,,,,,,,,,,,,,,,,,,,,,,,,,,,,,,,,,,,,,,,,,,,,,,,,,,,,,,,,,,,,,,,,,,,,,,,,,,,,,,,,,,,,,,,,,,,,,,,,,,,,,,,,,,,,,,,,,,,,,,,,,,,,,,,,,,,,,,,,,,,,,,,,,,,,,,,,,,,,,,,,,,,,,,,,,,,,,,,,,,,,,,,,,,,,,,,,,,,,,,,,,,,,,,,,,,,,,,,,,,,,,,,,,,,,,,,,,,,,,,,,,,,,,,,,,,,,,,,,,,,,,,,,,,,,,,,,,,,,,,,,,,,,,,,,,,,,,,,,,,,,,,,,,,,,,,,,,,,,,,,,,,,,,,,,,,,,,,,,,,,,,,,,,,,,,,,,,,,,,,,,,,,,,,,,,,,,,,,,,,,,,,,,,,,,,,,,,,,,,,,,,,,,,,,,,,,,,,,,,,,,,,,,,,,,,,,,,,,,,,,,,,,,,,,,,,,,,,,,,,,,,,,,,,,,,,,,,,,,,,,,,,,,,,,,,,,,,,,,,,,,,,,,,,,,,,,,,,,,,,,,,,,,,,,,,,,,,,,,,,,,,,,,,,,,,,,,,,,,,,,,,,,,,,,,,,,,,,,,,,,,,,,,,,,,,,,,,,,,,,,,,,,,,,,,,,,,,,,,,,,,,,,,,,,,,,,,,,,,,,,,,,,,,,,,,,,,,,,,,,,,,,,,,,,,,,,,,,,,,,,,,,,,,,,,,,,,,,,,,,,,,,,,,,,,,,,,,,,,,,,,,,,,,,,,,,,,,,,,,,,,,,,,,,,,,,,,,,,,,,,,,,,,,,,,,,,,,,,,,,,,,,,,,,,,,,,,,,,,,,,,,,,,,,,,,,,,,,,,,,,,,,,,,,,,,,,,,,,,,,,,,,,,,,,,,,,,,,,,,,,,,,,,,,,,,,,,,,,,,,,,,,,,,,,,,,,,,,,,,,,,,,,,,,,,,,,,,,,,,,,,,,,,,,,,,,,,,,,,,,,,,,,,,,,,,,,,,,,,,,,,,,,,,,,,,,,,,,,,,,,,,,,,,,,,,,,,,,,,,,,,,,,,,,,,,,,,,,,,,,,,,,,,,,,,,,,,,,,,,,,,,,,,,,,,,,,,,,,,,,,,,,,,,,,,,,,,,,,,,,,,,,,,,,,,,,,,,,,,,,,,,,,,,,,,,,,,,,,,,,,,,,,,,,,,,,,,,,,,,,,,,,,,,,,,,,,,,,,,,,,,,,,,,,,,,,,,,,,,,,,,,,,,,,,,,,,,,,,,,,,,,,,,,,,,,,,,,,,,,,,,,,,,,,,,,,,,,,,,,,,,,,,,,,,,,,,,,,,,,,,,,,,,,,,,,,,,,,,,,,,,,,,,,,,,,,,,,,,,,,,,,,,,,,,,,,,,,,,,,,,,,,,,,,,,,,,,,,,,,,,,,,,,,,,,,,,,,,,,,,,,,,,,,,,,,,,,,,,,,,,,,,,,,,,,,,,,,,,,,,,,,,,,,,,,,,,,,,,,,,,,,,,,,,,,,,,,,,,,,,,,,,,,,,,,,,,,,,,,,,,,,,,,,,,,,,,,,,,,,,,,,,,,,,,,,,,,,,,,,,,,,,,,,,,,,,,,,,,,,,,,,,,,,,,,,,,,,,,,,,,,,,,,,,,,,,,,,,,,,,,,,,,,,,,,,,,,,,,,,,,,,,,,,,,,,,,,,,,,,,,,,,,,,,,,,,,,,,,,,,,,,,,,,,,,,,,,,,,,,,,,,,,,,,,,,,,,,,,,,,,,,,,,,,,,,,,,,,,,,,,,,,,,,,,,,,,,,,,,,,,,,,,,,,,,,,,,,,,,,,,,,,,,,,,,,,,,,,,,,,,,,,,,,,,,,,,,,,,,,,,,,,,,,,,,,,,,,,,,,,,,,,,,,,,,,,,,,,,,,,,,,,,,,,,,,,,,,,,,,,,,,,,,,,,,,,,,,,,,,,,,,,,,,,,,,,,,,,,,,,,,,,,,,,,,,,,,,,,,,,,,,,,,,,,,,,,,,,,,,,,,,,,,,,,,,,,,,,,,,,,,,,,,,,,,,,,,,,,,,,,,,,,,,,,,,,,,,,,,,,,,,,,,,,,,,,,,,,,,,,,,,,,,,,,,,,,,,,,,,,,,,,,,,,,,,,,,,,,,,,,,,,,,,,,,,,,,,,,,,,,,,,,,,,,,,,,,,,,,,,,,,,,,,,,,,,,,,,,,,,,,,,,,,,,,,,,,,,,,,,,,,,,,,,,,,,,,,,,,,,,,,,,,,,,,,,,,,,,,,,,,,,,,,,,,,,,,,,,,,,,,,,,,,,,,,,,,,,,,,,,,,,,,,,,,,,,,,,,,,,,,,,,,,,,,,,,,,,,,,,,,,,,,,,,,,,,,,,,,,,,,,,,,,,,,,,,,,,,,,,,,,,,,,,,,,,,,,,,,,,,,,,,,,,,,,,,,,,,,,,,,,,,,,,,,,,,,,,,,,,,,,,,,,,,,,,,,,,,,,,,,,,,,,,,,,,,,,,,,,,,,,,,,,,,,,,,,,,,,,,,,,,,,,,,,,,,,,,,,,,,,,,,,,,,,,,,,,,,,,,,,,,,,,,,,,,,,,,,,,,,,,,,,,,,,,,,,,,,,,,,,,,,,,,,,,,,,,,,,,,,,,,,,,,,,,,,,,,,,,,,,,,,,,,,,,,,,,,,,,,,,,,,,,,,,,,,,,,,,,,,,,,,,,,,,,,,,,,,,,,,,,,,,,,,,,,,,,,,,,,,,,,,,,,,,,,,,,,,,,,,,,,,,,,,,,,,,,,,,,,,,,,,,,,,,,,,,,,,,,,,,,,,,,,,,,,,,,,,,,,,,,,,,,,,,,,,,,,,,,,,,,,,,,,,,,,,,,,,,,,,,,,,,,,,,,,,,,,,,,,,,,,,,,,,,,,,,,,,,,,,,,,,,,,,,,,,,,,,,,,,,,,,,,,,,,,,,,,,,,,,,,,,,,,,,,,,,,,,,,,,,,,,,,,,,,,,,,,,,,,,,,,,,,,,,,,,,,,,,,,,,,,,,,,,,,,,,,,,,,,,,,,,,,,,,,,,,,,,,,,,,,,,,,,,,,,,,,,,,,,,,,,,,,,,,,,,,,,,,,,,,,,,,,,,,,,,,,,,,,,,,,,,,,,,,,,,,,,,,,,,,,,,,,,,,,,,,,,,,,,,,,,,,,,,,,,,,,,,,,,,,,,,,,,,,,,,,,,,,,,,,,,,,,,,,,,,,,,,,,,,,,,,,,,,,,,,,,,,,,,,,,,,,,,,,,,,,,,,,,,,,,,,,,,,,,,,,,,,,,,,,,,,,,,,,,,,,,,,,,,,,,,,,,,,,,,,,,,,,,,,,,,,,,,,,,,,,,,,,,,,,,,,,,,,,,,,,,,,,,,,,,,,,,,,,,,,,,,,,,,,,,,,,,,,,,,,,,,,,,,,,,,,,,,,,,,,,,,,,,,,,,,,,,,,,,,,,,,,,,,,,,,,,,,,,,,,,,,,,,,,,,,,,,,,,,,,,,,,,,,,,,,,,,,,,,,,,,,,,,,,,,,,,,,,,,,,,,,,,,,,,,,,,,,,,,,,,,,,,,,,,,,,,,,,,,,,,,,,,,,,,,,,,,,,,,,,,,,,,,,,,,,,,,,,,,,,,,,,,,,,,,,,,,,,,,,,,,,,,,,,,,,,,,,,,,,,,,,,,,,,,,,,,,,,,,,,,,,,,,,,,,,,,,,,,,,,,,,,,,,,,,,,,,,,,,,,,,,,,,,,,,,,,,,,,,,,,,,,,,,,,,,,,,,,,,,,,,,,,,,,,,,,,,,,,,,,,,,,,,,,,,,,,,,,,,,,,,,,,,,,,,,,,,,,,,,,,,,,,,,,,,,,,,,,,,,,,,,,,,,,,,,,,,,,,,,,,,,,,,,,,,,,,,,,,,,,,,,,,,,,,,,,,,,,,,,,,,,,,,,,,,,,,,,,,,,,,,,,,,,,,,,,,,,,,,,,,,,,,,,,,,,,,,,,,,,,,,,,,,,,,,,,,,,,,,,,,,,,,,,,,,,,,,,,,,,,,,,,,,,,,,,,,,,,,,,,,,,,,,,,,,,,,,,,,,,,,,,,,,,,,,,,,,,,,,,,,,,,,,,,,,,,,,,,,,,,,,,,,,,,,,,,,,,,,,,,,,,,,,,,,,,,,,,,,,,,,,,,,,,,,,,,,,,,,,,,,,,,,,,,,,,,,,,,,,,,,,,,,,,,,,,,,,,,,,,,,,,,,,,,,,,,,,,,,,,,,,,,,,,,,,,,,,,,,,,,,,,,,,,,,,,,,,,,,,,,,,,,,,,,,,,,,,,,,,,,,,,,,,,,,,,,,,,,,,,,,,,,,,,,,,,,,,,,,,,,,,,,,,,,,,,,,,,,,,,,,,,,,,,,,,,,,,,,,,,,,,,,,,,,,,,,,,,,,,,,,,,,,,,,,,,,,,,,,,,,,,,,,,,,,,,,,,,,,,,,,,,,,,,,,,,,,,,,,,,,,,,,,,,,,,,,,,,,,,,,,,,,,,,,,,,,,,,,,,,,,,,,,,,,,,,,,,,,,,,,,,,,,,,,,,,,,,,,,,,,,,,,,,,,,,,,,,,,,,,,,,,,,,,,,,,,,,,,,,,,,,,,,,,,,,,,,,,,,,,,,,,,,,,,,,,,,,,,,,,,,,,,,,,,,,,,,,,,,,,,,,,,,,,,,,,,,,,,,,,,,,,,,,,,,,,,,,,,,,,,,,,,,,,,,,,,,,,,,,,,,,,,,,,,,,,,,,,,,,,,,,,,,,,,,,,,,,,,,,,,,,,,,,,,,,,,,,,,,,,,,,,,,,,,,,,,,,,,,,,,,,,,,,,,,,,,,,,,,,,,,,,,,,,,,,,,,,,,,,,,,,,,,,,,,,,,,,,,,,,,,,,,,,,,,,,,,,,,,,,,,,,,,,,,,,,,,,,,,,,,,,,,,,,,,,,,,,,,,,,,,,,,,,,,,,,,,,,,,,,,,,,,,,,,,,,,,,,,,,,,,,,,,,,,,,,,,,,,,,,,,,,,,,,,,,,,,,,,,,,,,,,,,,,,,,,,,,,,,,,,,,,,,,,,,,,,,,,,,,,,,,,,,,,,,,,,,,,,,,,,,,,,,,,,,,,,,,,,,,,,,,,,,,,,,,,,,,,,,,,,,,,,,,,,,,,,,,,,,,,,,,,,,,,,,,,,,,,,,,,,,,,,,,,,,,,,,,,,,,,,,,,,,,,,,,,,,,,,,,,,,,,,,,,,,,,,,,,,,,,,,,,,,,,,,,,,,,,,,,,,,,,,,,,,,,,,,,,,,,,,,,,,,,,,,,,,,,,,,,,,,,,,,,,,,,,,,,,,,,,,,,,,,,,,,,,,,,,,,,,,,,,,,,,,,,,,,,,,,,,,,,,,,,,,,,,,,,,,,,,,,,,,,,,,,,,,,,,,,,,,,,,,,,,,,,,,,,,,,,,,,,,,,,,,,,,,,,,,,,,,,,,,,,,,,,,,,,,,,,,,,,,,,,,,,,,,,,,,,,,,,,,,,,,,,,,,,,,,,,,,,,,,,,,,,,,,,,,,,,,,,,,,,,,,,,,,,,,,,,,,,,,,,,,,,,,,,,,,,,,,,,,,,,,,,,,,,,,,,,,,,,,,,,,,,,,,,,,,,,,,,,,,,,,,,,,,,,,,,,,,,,,,,,,,,,,,,,,,,,,,,,,,,,,,,,,,,,,,,,,,,,,,,,,,,,,,,,,,,,,,}",
                    "MostRecentExpectedUnitErrors": null,
                    "Units": {
                      "$id": "281",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SU RAB nominal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82",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83",
                          "$type": "ModelMaker.DimensionedArrayValues, ModelMaker",
                          "Elements": {
                            "$type": "ModelMakerEngine.MMElements, ModelMakerEngine",
                            "$values": []
                          },
                          "Values": {
                            "$type": "System.Collections.Generic.List`1[[System.Object, mscorlib]], mscorlib",
                            "$values": [
                              null,
                              5.3349062471063906,
                              5.26842766458793,
                              4.7468762351214009,
                              6.1879931631497236,
                              5.3995732142836079,
                              6.445698441604951,
                              5.9615487343064819,
                              6.8626069052604821,
                              6.5101308990258682,
                              6.7004360478229525,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cb1152e2-84a8-47c7-a0c9-e784b80ab9fb",
                    "Dimensions": {
                      "$type": "ModelMakerEngine.MMDimensions, ModelMakerEngine",
                      "$values": []
                    },
                    "EquationOBXInternal": "{,5.33490624710639,5.26842766458793,4.7468762351214,6.18799316314972,5.39957321428361,6.44569844160495,5.96154873430648,6.86260690526048,6.51013089902587,6.70043604782295,,,,,,,,,,,,,,,,,,,,,,,,,,,,,,,,,,,,,,,,,,,,,,,,,,,,,,,,,,,,,,,,,,,,,,,,,,,,,,,,,,,,,,,,,,,,,,,,,,,,,,,,,,,,,,,,,,,,,,,,,,,,,,,,,,,,,,,,,,,,,,,,,,,,,,,,,,,,,,,,,,,,,,,,,,,,,,,,,,,,,,,,,,,,,,,,,,,,,,,,,,,,,,,,,,,,,,,,,,,,,,,,,,,,,,,,,,,,,,,,,,,,,,,,,,,,,,,,,,,,,,,,,,,,,,,,,,,,,,,,,,,,,,,,,,,,,,,,,,,,,,,,,,,,,,,,,,,,,,,,,,,,,,,,,,,,,,,,,,,,,,,,,,,,,,,,,,,,,,,,,,,,,,,,,,,,,,,,,,,,,,,,,,,,,,,,,,,,,,,,,,,,,,,,,,,,,,,,,,,,,,,,,,,,,,,,,,,,,,,,,,,,,,,,,,,,,,,,,,,,,,,,,,,,,,,,,,,,,,,,,,,,,,,,,,,,,,,,,,,,,,,,,,,,,,,,,,,,,,,,,,,,,,,,,,,,,,,,,,,,,,,,,,,,,,,,,,,,,,,,,,,,,,,,,,,,,,,,,,,,,,,,,,,,,,,,,,,,,,,,,,,,,,,,,,,,,,,,,,,,,,,,,,,,,,,,,,,,,,,,,,,,,,,,,,,,,,,,,,,,,,,,,,,,,,,,,,,,,,,,,,,,,,,,,,,,,,,,,,,,,,,,,,,,,,,,,,,,,,,,,,,,,,,,,,,,,,,,,,,,,,,,,,,,,,,,,,,,,,,,,,,,,,,,,,,,,,,,,,,,,,,,,,,,,,,,,,,,,,,,,,,,,,,,,,,,,,,,,,,,,,,,,,,,,,,,,,,,,,,,,,,,,,,,,,,,,,,,,,,,,,,,,,,,,,,,,,,,,,,,,,,,,,,,,,,,,,,,,,,,,,,,,,,,,,,,,,,,,,,,,,,,,,,,,,,,,,,,,,,,,,,,,,,,,,,,,,,,,,,,,,,,,,,,,,,,,,,,,,,,,,,,,,,,,,,,,,,,,,,,,,,,,,,,,,,,,,,,,,,,,,,,,,,,,,,,,,,,,,,,,,,,,,,,,,,,,,,,,,,,,,,,,,,,,,,,,,,,,,,,,,,,,,,,,,,,,,,,,,,,,,,,,,,,,,,,,,,,,,,,,,,,,,,,,,,,,,,,,,,,,,,,,,,,,,,,,,,,,,,,,,,,,,,,,,,,,,,,,,,,,,,,,,,,,,,,,,,,,,,,,,,,,,,,,,,,,,,,,,,,,,,,,,,,,,,,,,,,,,,,,,,,,,,,,,,,,,,,,,,,,,,,,,,,,,,,,,,,,,,,,,,,,,,,,,,,,,,,,,,,,,,,,,,,,,,,,,,,,,,,,,,,,,,,,,,,,,,,,,,,,,,,,,,,,,,,,,,,,,,,,,,,,,,,,,,,,,,,,,,,,,,,,,,,,,,,,,,,,,,,,,,,,,,,,,,,,,,,,,,,,,,,,,,,,,,,,,,,,,,,,,,,,,,,,,,,,,,,,,,,,,,,,,,,,,,,,,,,,,,,,,,,,,,,,,,,,,,,,,,,,,,,,,,,,,,,,,,,,,,,,,,,,,,,,,,,,,,,,,,,,,,,,,,,,,,,,,,,,,,,,,,,,,,,,,,,,,,,,,,,,,,,,,,,,,,,,,,,,,,,,,,,,,,,,,,,,,,,,,,,,,,,,,,,,,,,,,,,,,,,,,,,,,,,,,,,,,,,,,,,,,,,,,,,,,,,,,,,,,,,,,,,,,,,,,,,,,,,,,,,,,,,,,,,,,,,,,,,,,,,,,,,,,,,,,,,,,,,,,,,,,,,,,,,,,,,,,,,,,,,,,,,,,,,,,,,,,,,,,,,,,,,,,,,,,,,,,,,,,,,,,,,,,,,,,,,,,,,,,,,,,,,,,,,,,,,,,,,,,,,,,,,,,,,,,,,,,,,,,,,,,,,,,,,,,,,,,,,,,,,,,,,,,,,,,,,,,,,,,,,,,,,,,,,,,,,,,,,,,,,,,,,,,,,,,,,,,,,,,,,,,,,,,,,,,,,,,,,,,,,,,,,,,,,,,,,,,,,,,,,,,,,,,,,,,,,,,,,,,,,,,,,,,,,,,,,,,,,,,,,,,,,,,,,,,,,,,,,,,,,,,,,,,,,,,,,,,,,,,,,,,,,,,,,,,,,,,,,,,,,,,,,,,,,,,,,,,,,,,,,,,,,,,,,,,,,,,,,,,,,,,,,,,,,,,,,,,,,,,,,,,,,,,,,,,,,,,,,,,,,,,,,,,,,,,,,,,,,,,,,,,,,,,,,,,,,,,,,,,,,,,,,,,,,,,,,,,,,,,,,,,,,,,,,,,,,,,,,,,,,,,,,,,,,,,,,,,,,,,,,,,,,,,,,,,,,,,,,,,,,,,,,,,,,,,,,,,,,,,,,,,,,,,,,,,,,,,,,,,,,,,,,,,,,,,,,,,,,,,,,,,,,,,,,,,,,,,,,,,,,,,,,,,,,,,,,,,,,,,,,,,,,,,,,,,,,,,,,,,,,,,,,,,,,,,,,,,,,,,,,,,,,,,,,,,,,,,,,,,,,,,,,,,,,,,,,,,,,,,,,,,,,,,,,,,,,,,,,,,,,,,,,,,,,,,,,,,,,,,,,,,,,,,,,,,,,,,,,,,,,,,,,,,,,,,,,,,,,,,,,,,,,,,,,,,,,,,,,,,,,,,,,,,,,,,,,,,,,,,,,,,,,,,,,,,,,,,,,,,,,,,,,,,,,,,,,,,,,,,,,,,,,,,,,,,,,,,,,,,,,,,,,,,,,,,,,,,,,,,,,,,,,,,,,,,,,,,,,,,,,,,,,,,,,,,,,,,,,,,,,,,,,,,,,,,,,,,,,,,,,,,,,,,,,,,,,,,,,,,,,,,,,,,,,,,,,,,,,,,,,,,,,,,,,,,,,,,,,,,,,,,,,,,,,,,,,,,,,,,,,,,,,,,,,,,,,,,,,,,,,,,,,,,,,,,,,,,,,,,,,,,,,,,,,,,,,,,,,,,,,,,,,,,,,,,,,,,,,,,,,,,,,,,,,,,,,,,,,,,,,,,,,,,,,,,,,,,,,,,,,,,,,,,,,,,,,,,,,,,,,,,,,,,,,,,,,,,,,,,,,,,,,,,,,,,,,,,,,,,,,,,,,,,,,,,,,,,,,,,,,,,,,,,,,,,,,,,,,,,,,,,,,,,,,,,,,,,,,,,,,,,,,,,,,,,,,,,,,,,,,,,,,,,,,,,,,,,,,,,,,,,,,,,,,,,,,,,,,,,,,,,,,,,,,,,,,,,,,,,,,,,,,,,,,,,,,,,,,,,,,,,,,,,,,,,,,,,,,,,,,,,,,,,,,,,,,,,,,,,,,,,,,,,,,,,,,,,,,,,,,,,,,,,,,,,,,,,,,,,,,,,,,,,,,,,,,,,,,,,,,,,,,,,,,,,,,,,,,,,,,,,,,,,,,,,,,,,,,,,,,,,,,,,,,,,,,,,,,,,,,,,,,,,,,,,,,,,,,,,,,,,,,,,,,,,,,,,,,,,,,,,,,,,,,,,,,,,,,,,,,,,,,,,,,,,,,,,,,,,,,,,,,,,,,,,,,,,,,,,,,,,,,,,,,,,,,,,,,,,,,,,,,,,,,,,,,,,,,,,,,,,,,,,,,,,,,,,,,,,,,,,,,,,,,,,,,,,,,,,,,,,,,,,,,,,,,,,,,,,,,,,,,,,,,,,,,,,,,,,,,,,,,,,,,,,,,,,,,,,,,,,,,,,,,,,,,,,,,,,,,,,,,,,,,,,,,,,,,,,,,,,,,,,,,,,,,,,,,,,,,,,,,,,,,,,,,,,,,,,,,,,,,,,,,,,,,,,,,,,,,,,,,,,,,,,,,,,,,,,,,,,,,,,,,,,,,,,,,,,,,,,,,,,,,,,,,,,,,,,,,,,,,,,,,,,,,,,,,,,,,,,,,,,,,,,,,,,,,,,,,,,,,,,,,,,,,,,,,,,,,,,,,,,,,,,,,,,,,,,,,,,,,,,,,,,,,,,,,,,,,,,,,,,,,,,,,,,,,,,,,,,,,,,,,,,,,,,,,,,,,,,,,,,,,,,,,,,,,,,,,,,,,,,,,,,,,,,,,,,,,,,,,,,,,,,,,,,,,,,,,,,,,,,,,,,,,,,,,,,,,,,,,,,,,,,,,,,,,,,,,,,,,,,,,,,,,,,,,,,,,,,,,,,,,,,,,,,,,,,,,,,,,,,,,,,,,,,,,,,,,,,,,,,,,,,,,,,,,,,,,,,,,,,,,,,,,,,,,,,,,,,,,,,,,,,,,,,,,,,,,,,,,,,,,,,,,,,,,,,,,,,,,,,,,,,,,,,,,,,,,,,,,,,,,,,,,,,,,,,,,,,,,,,,,,,,,,,,,,,,,,,,,,,,,,,,,,,,,,,,,,,,,,,,,,,,,,,,,,,,,,,,,,,,,,,,,,,,,,,,,,,,,,,,,,,,,,,,,,,,,,,,,,,,,,,,,,,,,,,,,,,,,,,,,,,,,,,,,,,,,,,,,,,,,,,,,,,,,,,,,,,,,,,,,,,,,,,,,,,,,,,,,,,,,,,,,,,,,,,,,,,,,,,,,,,,,,,,,,,,,,,,,,,,,,,,,,,,,,,,,,,,,,,,,,,,,,,,,,,,,,,,,,,,,,,,,,,,,,,,,,,,,,,,,,,,,,,,,,,,,,,,,,,,,,,,,,,,,,,,,,,,,,,,,,,,,,,,,,,,,,,,,,,,,,,,,,,,,,,,,,,,,,,,,,,,,,,,,,,,,,,,,,,,,,,,,,,,,,,,,,,,,,,,,,,,,,,,,,,,,,,,,,,,,,,,,,,,,,,,,,,,,,,,,,,,,,,,,,,,,,,,,,,,,,,,,,,,,,,,,,,,,,,,,,,,,,,,,,,,,,,,,,,,,,,,,,,,,,,,,,,,,,,,,,,,,,,,,,,,,,,,,,,,,,,,,,,,,,,,,,,,,,,,,,,,,,,,,,,,,,,,,,,,,,,,,,,,,,,,,,,,,,,,,,,,,,,,,,,,,,,,,,,,,,,,,,,,,,,,,,,,,,,,,,,,,,,,,,,,,,,,,,,,,,,,,,,,,,,,,,,,,,,,,,,,,,,,,,,,,,,,,,,,,,,,,,,,,,,,,,,,,,,,,,,,,,,,,,,,,,,,,,,,,,,,,,,,,,,,,,,,,,,,,,,,,,,,,,,,,,,,,,,,,,,,,,,,,,,,,,,,,,,,,,,,,,,,,,,,,,,,,,,,,,,,,,,,,,,,,,,,,,,,,,,,,,,,,,,,,,,,,,,,,,,,,,,,,,,,,,,,,,,,,,,,,,,,,,,,,,,,,,,,,,,,,,,,,,,,,,,,,,,,,,,,,,,,,,,,,,,,,,,,,,,,,,,,,,,,,,,,,,,,,,,,,,,,,,,,,,,,,,,,,,,,,,,,,,,,,,,,,,,,,,,,,,,,,,,,,,,,,,,,,,,,,,,,,,,,,,,,,,,,,,,,,,,,,,,,,,,,,,,,,,,,,,,,,,,,,,,,,,,,,,,,,,,,,,,,,,,,,,,,,,,,,,,,,,,,,,,,,,,,,,,,,,,,,,,,,,,,,,,,,,,,,,,,,,,,,,,,,,,,,,,,,,,,,,,,,,,,,,,,,,,,,,,,,,,,,,,,,,,,,,,,,,,,,,,,,,,,,,,,,,,,,,,,,,,,,,,,,,,,,,,,,,,,,,,,,,,,,,,,,,,,,,,,,,,,,,,,,,,,,,,,,,,,,,,,,,,,,,,,,,,,,,,,,,,,,,,,,,,,,,,,,,,,,,,,,,,,,,,,,,,,,,,,,,,,,,,,,,,,,,,,,,,,,,,,,,,,,,,,,,,,,,,,,,,,,,,,,,,,,,,,,,,,,,,,,,,,,,,,,,,,,,,,,,,,,,,,,,,,,,,,,,,,,,,,,,,,,,,,,,,,,,,,,,,,,,,,,,,,,,,,,,,,,,,,,,,,,,,,,,,,,,,,,,,,,,,,,,,,,,,,,,,,,,,,,,,,,,,,,,,,,,,,,,,,,,,,,,,,,,,,,,,,,,,,,,,,,,,,,,,,,,,,,,,,,,,,,,,,,,,,,,,,,,,,,,,,,,,,,,,,,,,,,,,,,,,,,,,,,,,,,,,,,,,,,,,,,,,,,,,,,,,,,,,,,,,,,,,,,,,,,,,,,,,,,,,,,,,,,,,,,,,,,,,,,,,,,,,,,,,,,,,,,,,,,,,,,,,,,,,,,,,,,,,,,,,,,,,,,,,,,,,,,,,,,,,,,,,,,,,,,,,,,,,,,,,,,,,,,,,,,,,,,,,,,,,,,,,,,,,,,,,,,,,,,,,,,,,,,,,,,,,,,,,,,,,,,,,,,,,,,,,,,,,,,,,,,,,,,,,,,,,,,,,,,,,,,,,,,,,,,,,,,,,,,,,,,,,,,,,,,,,,,,,,,,,,,,,,,,,,,,,,,,,,,,,,,,,,,,,,,,,,,,,,,,,,,,,,,,,,,,,,,,,,,,,,,,,,,,,,,,,,,,,,,,,,,,,,,,,,,,,,,,,,,,,,,,,,,,,,,,,,,,,,,,,,,,,,,,,,,,,,,,,,,,,,,,,,,,,,,,,,,,,,,,,,,,,,,,,,,,,,,,,,,,,,,,,,,,,,,,,,,,,,,,,,,,,,,,,,,,,,,,,,,,,,,,,,,,,,,,,,,,,,,,,,,,,,,,,,,,,,,,,,,,,,,,,,,,,,,,,,,,,,,,,,,,,,,,,,,,,,,,,,,,,,,,,,,,,,,,,,,,,,,,,,,,,,,,,,,,,,,,,,,,,,,,,,,,,,,,,,,,,,,,,,,,,,,,,,,,,,,,,,,,,,,,,,,,,,,,,,,,,,,,,,,,,,,,,,,,,,,,,,,,,,,,,,,,,,,,,,,,,,,,,,,,,,,,,,,,,,,,,,,,,,,,,,,,,,,,,,,,,,,,,,,,,,,,,,,,,,,,,,,,,,,,,,,,,,,,,,,,,,,,,,,,,,,,,,,,,,,,,,,,,,,,,,,,,,,,,,,,,,,,,,,,,,,,,,,,,,,,,,,,,,,,,,,,,,,,,,,,,,,,,,,,,,,,,,,,,,,,,,,,,,,,,,,,,,,,,,,,,,,,,,,,,,,,,,,,,,,,,,,,,,,,,,,,,,,,,,,,,,,,,,,,,,,,,,,,,,,,,,,,,,,,,,,,,,,,,,,,,,,,,,,,,,,,,,,,,,,,,,,,,,,,,,,,,,,,,,,,,,,,,,,,,,,,,,,,,,,,,,,,,,,,,,,,,,,,,,,,,,,,,,,,,,,,,,,,,,,,,,,,,,,,,,,,,,,,,,,,,,,,,,,,,,,,,,,,,,,,,,,,,,,,,,,,,,,,,,,,,,,,,,,,,,,,,,,,,,,,,,,,,,,,,,,,,,,,,,,,,,,,,,,,,,,,,,,,,,,,,,,,,,,,,,,,,,,,,,,,,,,,,,,,,,,,,,,,,,,,,,,,,,,,,,,,,,,,,,,,,,,,,,,,,,,,,,,,,,,,,,,,,,,,,,,,,,,,,,,,,,,,,,,,,,,,,,,,,,,,,,,,,,,,,,,,,,,,,,,,,,,,,,,,,,,,,,,,,,,,,,,,,,,,,,,,,,,,,,,,,,,,,,,,,,,,,,,,,,,,,,,,,,,,,,,,,,,,,,,,,,,,,,,,,,,,,,,,,,,,,,,,,,,,,,,,,,,,,,,,,,,,,,,,,,,,,,,,,,,,,,,,,,,,,,,,,,,,,,,,,,,,,,,,,,,,,,,,,,,,,,,,,,,,,,,,,,,,,,,,,,,,,,,,,,,,,,,,,,,,,,,,,,,,,,,,,,,,,,,,,,,,,,,,,,,,,,,,,,,,,,,,,,,,,,,,,,,,,,,,,,,,,,,,,,,,,,,,,,,,,,,,,,,,,,,,,,,,,,,,,,,,,,,,,,,,,,,,,,,,,,,,,,,,,,,,,,,,,,,,,,,,,,,,,,,,,,,,,,,,,,,,,,,,,,,,,,,,,,,,,,,,,,,,,,,,,,,,,,,,,,,,,,,,,,,,,,,,,,,,,,,,,,,,,,,,,,,,,,,,,,,,,,,,,,,,,,,,,,,,,,,,,,,,,,,,,,,,,,,,,,,,,,,,,,,,,,,,,,,,,,,,,,,,,,,,,,,,,,,,,,,,,,,,,,,,,,,,,,,,,,,,,,,,,,,,,,,,,,,,,,,,,,,,,,,,,,,,,,,,,,,,,,,,,,,,,,,,,,,,,,,,,,,,,,,,,,,,,,,,,,,,,,,,,,,,,,,,,,,,,,,,,,,,,,,,,,,,,,,,,,,,,,,,,,,,,,,,,,,,,,,,,,,,,,,,,,,,,,,,,,,,,,,,,,,,,,,,,,,,,,,,,,,,,,,,,,,,,,,,,,,,,,,,,,,,,,,,,,,,,,,,,,,,,,,,,,,,,,,,,,,,,,,,,,,,,,,,,,,,,,,,,,,,,,,,,,,,,,,,,,,,,,,,,,,,,,,,,,,,,,,,,,,,,,,,,,,,,,,,,,,,,,,,,,,,,,,,,,,,,,,,,,,,,,,,,,,,,,,,,,,,,,,,,,,,,,,,,,,,,,,,,,,,,,,,,,,,,,,,,,,,,,,,,,,,,,,,,,,,,,,,,,,,,,,,,,,,,,,,,,,,,,,,,,,,,,,,,,,,,,,,,,,,,,,,,,,,,,,,,,,,,,,,,,,,,,,,,,,,,,,,,,,,,,,,,,,,,,,,,,,,,,,,,,,,,,,,,,,,,,,,,,,,,,,,,,,,,,,,,,,,,,,,,,,,,,,,,,,,,,,,,,,,,,,,,,,,,,,,,,,,,,,,,,,,,,,,,,,,,,,,,,,,,,,,,,,,,,,,,,,,,,,,,,,,,,,,,,,,,,,,,,,,,,,,,,,,,,,,,,,,,,,,,,,,,,,,,,,,,,,,,,,,,,,,,,,,,,,,,,,,,,,,,,,,,,,,,,,,,,,,,,,,,,,,,,,,,,,,,,,,,,,,,,,,,,,,,,,,,,,,,,,,,,,,,,,,,,,,,,,,,,,,,,,,,,,,,,,,,,,,,,,,,,,,,,,,,,,,,,,,,,,,,,,,,,,,,,,,,,,,,,,,,,,,,,,,,,,,,,,,,,,,,,,,,,,,,,,,,,,,,,,,,,,,,,,,,,,,,,,,,,,,,,,,,,,,,,,,,,,,,,,,,,,,,,,,,,,,,,,,,,,,,,,,,,,,,,,,,,,,,,,,,,,,,,,,,,,,,,,,,,,,,,,,,,,,,,,,,,,,,,,,,,,,,,,,,,,,,,,,,,,,,,,,,,,,,,,,,,,,,,,,,,,,,,,,,,,,,,,,,,,,,,,,,,,,,,,,,,,,,,,,,,,,,,,,,,,,,,,,,,,,,,,,,,,,,,,,,,,,,,,,,,,,,,,,,,,,,,,,,,,,,,,,,,,,,,,,,,,,,,,,,,,,,,,,,,,,,,,,,,,,,,,,,,,,,,,,,,,,,,,,,,,,,,,,,,,,,,,,,,,,,,,,,,,,,,,,,,,,,,,,,,,,,,,,,,,,,,,,,,,,,,,,,,,,,,,,,,,,,,,,,,,,,,,,,,,,,,,,,,,,,,,,,,,,,,,,,,,,,,,,,,,,,,,,,,,,,,,,,,,,,,,,,,,,,,,,,,,,,,,,,,,,,,,,,,,,,,,,,,,,,,,,,,,,,,,,,,,,,,,,,,,,,,,,,,,,,,,,,,,,,,,,,,,,,,,,,,,,,,,,,,,,,,,,,,,,,,,,,,,,,,,,,,,,,,,,,,,,,,,,,,,,,,,,,,,,,,,,,,,,,,,,,,,,,,,,,,,,,,,,,,,,,,,,,,,,,,,,,,,,,,,,,,,,,,,,,,,,,,,,,,,,,,,,,,,,,,,,,,,,,,,,,,,,,,,,,,,,,,,,,,,,,,,,,,,,,,,,,,,,,,,,,,,,,,,,,,,,,,,,,,,,,,,,,,,,,,,,,,,,,,,,,,,,,,,,,,,,,,,,,,,,,,,,,,,,,,,,,,,,,,,,,,,,,,,,,,,,,,,,,,,,,,,,,,,,,,,,,,,,,,,,,,,,,,,,,,,,,,,,,,,,,,,,,,,,,,,,,,,,,,,,,,,,,,,,,,,,,,,,,,,,,,,,,,,,,,,,,,,,,,,,,,,,,,,,,,,,,,,,,,,,,,,,,,,,,,,,,,,,,,,,,,,,,,,,,,,,,,,,,,,,,,,,,,,,,,,,,,,,,,,,,,,,,,,,,,,,,,,,,,,,,,,,,,,,,,,,,,,,,,,,,,,,,,,,,,,,,,,,,,,,,,,,,,,,,,,,,,,,,,,,,,,,,,,,,,,,,,,,,,,,,,,,,,,,,,,,,,,,,,,,,,,,,,,,,,,,,,,,,,,,,,,,,,,,,,,,,,,,,,,,,,,,,,,,,,,,,,,,,,,,,,,,,,,,,,,,,,,,,,,,,,,,,,,,,,,,,,,,,,,,,,,,,,,,,,,,,,,,,,,,,,,,,,,,,,,,,,,,,,,,,,,,,,,,,,,,,,,,,,,,,,,,,,,,,,,,,,,,,,,,,,,,,,,,,,,,,,,,,,,,,,,,,,,,,,,,,,,,,,,,,,,,,,,,,,,,,,,,,,,,,,,,,,,,,,,,,,,,,,,,,,,,,,,,,,,,,,,,,,,,,,,,,,,,,,,,,,,,,,,,,,,,,,,,,,,,,,,,,,,,,,,,,,,,,,,,,,,,,,,,,,,,,,,,,,,,,,,,,,,,,,,,,,,,,,,,,,,,,,,,,,,,,,,,,,,,,,,,,,,,,,,,,,,,,,,,,,,,,,,,,,,,,,,,,,,,,,,,,,,,,,,,,,,,,,,,,,,,,,,,,,,,,,,,,,,,,,,,,,,,,,,,,,,,,,,,,,,,,,,,,,,,,,,,,,,,,,,,,,,,,,,,,,,,,,,,,,,,,,,,,,,,,,,,,,,,,,,,,,,,,,,,,,,,,,,,,,,,,,,,,,,,,,,,,,,,,,,,,,,,,,,,,,,,,,,,,,,,,,,,,,,,,,,,,,,,,,,,,,,,,,,,,,,,,,,,,,,,,,,,,,,,,,,,,,,,,,,,,,,,,,,,,,,,,,,,,,,,,,,,,,,,,,,,,,,,,,,,,,,,,,,,,,,,,,,,,,,,,,,,,,,,,,,,,,,,,,,,,,,,,,,,,,,,,,,,,,,,,,,,,,,,,,,,,,,,,,,,,,,,,,,,,,,,,,,,,,,,,,,,,,,,,,,,,,,,,,,,,,,,,,,,,,,,,,,,,,,,,,,,,,,,,,,,,,,,,,,,,,,,,,,,,,,,,,,,,,,,,,,,,,,,,,,,,,,,,,,,,,,,,,,,,,,,,,,,,,,,,,,,,,,,,,,,,,,,,,,,,,,,,,,,,,,,,,,,,,,,,,,,,,,,,,,,,,,,,,,,,,,,,,,,,,,,,,,,,,,,,,,,,,,,,,,,,,,,,,,,,,,,,,,,,,,,,,,,,,,,,,,,,,,,,,,,,,,,,,,,,,,,,,,,,,,,,,,,,,,,,,,,,,,,,,,,,,,,,,,,,,,,,,,,,,,,,,,,,,,,,,,,,,,,,,,,,,,,,,,,,,,,,,,,,,,,,,,,,,,,,,,,,,,,,,,,,,,,,,,,,,,,,,,,,,,,,,,,,,,,,,,,,,,,,,,,,,,,,,,,,,,,,,,,,,,,,,,,,,,,,,,,,,,,,,,,,,,,,,,,,,,,,,,,,,,,,,,,,,,,,,,,,,,,,,,,,,,,,,,,,,,,,,,,,,,,,,,,,,,,,,,,,,,,,,,,,,,,,,,,,,,,,,,,,,,,,,,,,,,,,,,,,,,,,,,,,,,,,,,,,,,,,,,,,,,,,,,,,,,,,,,,,,,,,,,,,,,,,,,,,,,,,,,,,,,,,,,,,,,,,,,,,,,,,,,,,,,,,,,,,,,,,,,,,,,,,,,,,,,,,,,,,,,,,,,,,,,,,,,,,,,,,,,,,,,,,,,,,,,,,,,,,,,,,,,,,,,,,,,,,,,,,,,,,,,,,,,,,,,,,,,,,,,,,,,,,,,,,,,,,,,,,,,,,,,,,,,,,,,,,,,,,,,,,,,,,,,,,,,,,,,,,,,,,,,,,,,,,,,,,,,,,,,,,,,,,,,,,,,,,,,,,,,,,,,,,,,,,,,,,,,,,,,,,,,,,,,,,,,,,,,,,,,,,,,,,,,,,,,,,,,,,,,,,,,,,,,,,,,,,,,,,,,,,,,,,,,,,,,,,,,,,,,,,,,,,,,,,,,,,,,,,,,,,,,,,,,,,,,,,,,,,,,,,,,,,,,,,,,,,,,,,,,,,,,,,,,,,,,,,,,,,,,,,,,,,,,,,,,,,,,,,,,,,,,,,,,,,,,,,,,,,,,,,,,,,,,,,,,,,,,,,,,,,,,,,,,,,,,,,,,,,,,,,,,,,,,,,,,,,,,,,,,,,,,,,,,,,,,,,,,,,,,,,,,,,,,,,,,,,,,,,,,,,,,,,,,,,,,,,,,,,,,,,,,,,,,,,,,,,,,,,,,,,,,,,,,,,,,,,,,,,,,,,,,,,,,,,,,,,,,,,,,,,,,,,,,,,,,,,,,,,,,,,,,,,,,,,,,,,,,,,,,,,,,,,,,,,,,,,,,,,,,,,,,,,,,,,,,,,,,,,,,,,,,,,,,,,,,,,,,,,,,,,,,,,,,,,,,,,,,,,,,,,,,,,,,,,,,,,,,,,,,,,,,,,,,,,,,,,,,,,,,,,,,,,,,,,,,,,,,,,,,,,,,,,,,,,,,,,,,,,,,,,,,,,,,,,,,,,,,,,,,,,,,,,,,,,,,,,,,,,,,,,,,,,,,,,,,,,,,,,,,,,,,,,,,,,,,,,,,,,,,,,,,,,,,,,,,,,,,,,,,,,,,,,,,,,,,,,,,,,,,,,,,,,,,,,,,,,,,,,,,,,,,,,,,,,,,,,,,,,,,,,,,,,,,,,,,,,,,,,,,,,,,,,,,,,,,,,,,,,,,,,,,,,,,,,,,,,,,,,,,,,,,,,,,,,,,,,,,,,,,,,,,,,,,,,,,,,,,,,,,,,,,,,,,,,,,,,,,,,,,,,,,,,,,,,,,,,,,,,,,,,,,,,,,,,,,,,,,,,,,,,,,,,,,,,,,,,,,,,,,,,,,,,,,,,,,,,,,,,,,,,,,,,,,,,,,,,,,,,,,,,,,,,,,,,,,,,,,,,,,,,,,,,,,,,,,,,,,,,,,,,,,,,,,,,,,,,,,,,,,,,,,,,,,,,,,,,,,,,,,,,,,,,,,,,,,,,,,,,,,,,,,,,,,,,,,,,,,,,,,,,,,,,,,,,,,,,,,,,,,,,,,,,,,,,,,,,,,,,,,,,,,,,,,,,,,,,,,,,,,,,,,,,,,,,,,,,,,,,,,,,,,,,,,,,,,,,,,,,,,,,,,,,,,,,,,,,,,,,,,,,,,,,,,,,,,,,,,,,,,,,,,,,,,,,,,,,,,,,,,,,,,,,,,,,,,,,,,,,,,,,,,,,,,,,,,,,,,,,,,,,,,,,,,,,,,,,,,,,,,,,,,,,,,,,,,,,,,,,,,,,,,,,,,,,,,,,,,,,,,,,,,,,,,,,,,,,,,,,,,,,,,,,,,,,,,,,,,,,,,,,,,,,,,,,,,,,,,,,,,,,,,,,,,,,,,,,,,,,,,,,,,,,,,,,,,,,,,,,,,,,,,,,,,,,,,,,,,,,,,,,,,,,,,,,,,,,,,,,,,,,,,,,,,,,,,,,,,,,,,,,,,,,,,,,,,,,,,,,,,,,,,,,,,,,,,,,,,,,,,,,,,,,,,,,,,,,,,,,,,,,,,,,,,,,,,,,,,,,,,,,,,,,,,,,,,,,,,,,,,,,,,,,,,,,,,,,,,,,,,,,,,,,,,,,,,,,,,,,,,,,,,,,,,,,,,,,,,,,,,,,,,,,,,,,,,,,,,,,,,,,,,,,,,,,,,,,,,,,,,,,,,,,,,,,,,,,,,,,,,,,,,,,,,,,,,,,,,,,,,,,,,,,,,,,,,,,,,,,,,,,,,,,,,,,,,,,,,,,,,,,,,,,,,,,,,,,,,,,,,,,,,,,,,,,,,,,,,,,,,,,,,,,,,,,,,,,,,,,,,,,,,,,,,,,,,,,,,,,,,,,,,,,,,,,,,,,,,,,,,,,,,,,,,,,,,,,,,,,,,,,,,,,,,,,,,,,,,,,,,,,,,,,,,,,,,,,,,,,,,,,,,,,,,,,,,,,,,,,,,,,,,,,,,,,,,,,,,,,,,,,,,,,,,,,,,,,,,,,,,,,,,,,,,,,,,,,,,,,,,,,,,,,,,,,,,,,,,,,,,,,,,,,,,,,,,,,,,,,,,,,,,,,,,,,,,,,,,,,,,,,,,,,,,,,,,,,,,,,,,,,,,,,,,,,,,,,,,,,,,,,,,,,,,,,,,,,,,,,,,,,,,,,,,,,,,,,,,,,,,,,,,,,,,,,,,,,,,,,,,,,,,,,,,,,,,,,,,,,,,,,,,,,,,,,,,,,,,,,,,,,,,,,,,,,,,,,,,,,,,,,,,,,,,,,,,,,,,,,,,,,,,,,,,,,,,,,,,,,,,,,,,,,,,,,,,,,,,,,,,,,,,,,,,,,,,,,,,,,,,,,,,,,,,,,,,,,,,,,,,,,,,,,,,,,,,,,,,,,,,,,,,,,,,,,,,,,,,,,,,,,,,,,,,,,,,,,,,,,,,,,,,,,,,,,,,,,,,,,,,,,,,,,,,,,,,,,,,,,,,,,,,,,,,,,,,,,,,,,,,,,,,,,,,,,,,,,,,,,,,,,,,,,,,,,,,,,,,,,,,,,,,,,,,,,,,,,,,,,,,,,,,,,,,,,,,,,,,,,,,,,,,,,,,,,,,,,,,,,,,,,,,,,,,,,,,,,,,,,,,,,,,,,,,,,,,,,,,,,,,,,,,,,,,,,,,,,,,,,,,,,,,,,,,,,,,,,,,,,,,,,,,,,,,,,,,,,,,,,,,,,,,,,,,,,,,,,,,,,,,,,,,,,,,,,,,,,,,,,,,,,,,,,,,,,,,,,,,,,,,,,,,,,,,,,,,,,,,,,,,,,,,,,,,,,,,,,,,,,,,,,,,,,,,,,,,,,,,,,,,,,,,,,,,,,,,,,,,,,,,,,,,,,,,,,,,,,,,,,,,,,,,,,,,,,,,,,,,,,,,,,,,,,,,,,,,,,,,,,,,,,,,,,,,,,,,,,,,,,,,,,,,,,,,,,,,,,,,,,,,,,,,,,,,,,,,,,,,,,,,,,,,,,,,,,,,,,,,,,,,,,,,,,,,,,,,,,,,,,,,,,,,,,,,,,,,,,,,,,,,,,,,,,,,,,,,,,,,,,,,,,,,,,,,,,,,,,,,,,,,,,,,,,,,,,,,,,,,,,,,,,,,,,,,,,,,,,,,,,,,,,,,,,,,,,,,,,,,,,,,,,,,,,,,,,,,,,,,,,,,,,,,,,,,,,,,,,,,,,,,,,,,,,,,,,,,,,,,,,,,,,,,,,,,,,,,,,,,,,,,,,,,,,,,,,,,,,,,,,,,,,,,,,,,,,,,,,,,,,,,,,,,,,,,,,,,,,,,,,,,,,,,,,,,,,,,,,,,,,,,,,,,,,,,,,,,,,,,,,,,,,,,,,,,,,,,,,,,,,,,,,,,,,,,,,,,,,,,,,,,,,,,,,,,,,,,,,,,,,,,,,,,,,,,,,,,,,,,,,,,,,,,,,,,,,,,,,,,,,,,,,,,,,,,,,,,,,,,,,,,,,,,,,,,,,,,,,,,,,,,,,,,,,,,,,,,,,,,,,,,,,,,,,,,,,,,,,,,,,,,,,,,,,,,,,,,,,,,,,,,,,,,,,,,,,,,,,,,,,,,,,,,,,,,,,,,,,,,,,,,,,,,,,,,,,,,,,,,,,,,,,,,,,,,,,,,,,,,,,,,,,,,,,,,,,,,,,,,,,,,,,,,,,,,,,,,,,,,,,,,,,,,,,,,,,,,,,,,,,,,,,,,,,,,,,,,,,,,,,,,,,,,,,,,,,,,,,,,,,,,,,,,,,,,,,,,,,,,,,,,,,,,,,,,,,,,,,,,,,,,,,,,,,,,,,,,,,,,,,,,,,,,,,,,,,,,,,,,,,,,,,,,,,,,,,,,,,,,,,,,,,,,,,,,,,,,,,,,,,,,,,,,,,,,,,,,,,,,,,,,,,,,,,,,,,,,,,,,,,,,,,,,,,,,,,,,,,,,,,,,,,,,,,,,,,,,,,,,,,,,,,,,,,,,,,,,,,,,,,,,,,,,,,,,,,,,,,,,,,,,,,,,,,,,,,,,,,,,,,,,,,,,,,,,,,,,,,,,,,,,,,,,,,,,,,,,,,,,,,,,,,,,,,,,,,,,,,,,,,,,,,,,,,,,,,,,,,,,,,,,,,,,,,,,,,,,,,,,,,,,,,,,,,,,,,,,,,,,,,,,,,,,,,,,,,,,,,,,,,,,,,,,,,,,,,,,,,,,,,,,,,,,,,,,,,,,,,,,,,,,,,,,,,,,,,,,,,,,,,,,,,,,,,,,,,,,,,,,,,,,,,,,,,,,,,,,,,,,,,,,,,,,,,,,,,,,,,,,,,,,,,,,,,,,,,,,,,,,,,,,,,,,,,,,,,,,,,,,,,,,,,,,,,,,,,,,,,,,,,,,,,,,,,,,,,,,,,,,,,,,,,,,,,,,,,,,,,,,,,,,,,,,,,,,,,,,,,,,,,,,,,,,,,,,,,,,,,,,,,,,,,,,,,,,,,,,,,,,,,,,,,,,,,,,,,,,,,,,,,,,,,,,,,,,,,,,,,,,,,,,,,,,,,,,,,,,,,,,,,,,,,,,,,,,,,,,,,,,,,,,,,,,,,,,,,,,,,,,,,,,,,,,,,,,,,,,,,,,,,,,,,,,,,,,,,,,,,,,,,,,,,,,,,,,,,,,,,,,,,,,,,,,,,,,,,,,,,,,,,,,,,,,,,,,,,,,,,,,,,,,,,,,,,,,,,,,,,,,,,,,,,,,,,,,,,,,,,,,,,,,,,,,,,,,,,,,,,,,,,,,,,,,,,,,,,,,,,,,,,,,,,,,,,,,,,,,,,,,,,,,,,,,,,,,,,,,,,,,,,,,,,,,,,,,,,,,,,,,,,,,,,,,,,,,,,,,,,,,,,,,,,,,,,,,,,,,,,,,,,,,,,,,,,,,,,,,,,,,,,,,,,,,,,,,,,,,,,,,,,,,,,,,,,,,,,,,,,,,,,,,,,,,,,,,,,,,,,,,,,,,,,,,,,,,,,,,,,,,,,,,,,,,,,,,,,,,,,,,,,,,,,,,,,,,,,,,,,,,,,,,,,,,,,,,,,,,,,,,,,,,,,,,,,,,,,,,,,,,,,}",
                    "NameOfGroup": "Unallocated",
                    "EquationToParse": "{,5.33490624710639,5.26842766458793,4.7468762351214,6.18799316314972,5.39957321428361,6.44569844160495,5.96154873430648,6.86260690526048,6.51013089902587,6.70043604782295,,,,,,,,,,,,,,,,,,,,,,,,,,,,,,,,,,,,,,,,,,,,,,,,,,,,,,,,,,,,,,,,,,,,,,,,,,,,,,,,,,,,,,,,,,,,,,,,,,,,,,,,,,,,,,,,,,,,,,,,,,,,,,,,,,,,,,,,,,,,,,,,,,,,,,,,,,,,,,,,,,,,,,,,,,,,,,,,,,,,,,,,,,,,,,,,,,,,,,,,,,,,,,,,,,,,,,,,,,,,,,,,,,,,,,,,,,,,,,,,,,,,,,,,,,,,,,,,,,,,,,,,,,,,,,,,,,,,,,,,,,,,,,,,,,,,,,,,,,,,,,,,,,,,,,,,,,,,,,,,,,,,,,,,,,,,,,,,,,,,,,,,,,,,,,,,,,,,,,,,,,,,,,,,,,,,,,,,,,,,,,,,,,,,,,,,,,,,,,,,,,,,,,,,,,,,,,,,,,,,,,,,,,,,,,,,,,,,,,,,,,,,,,,,,,,,,,,,,,,,,,,,,,,,,,,,,,,,,,,,,,,,,,,,,,,,,,,,,,,,,,,,,,,,,,,,,,,,,,,,,,,,,,,,,,,,,,,,,,,,,,,,,,,,,,,,,,,,,,,,,,,,,,,,,,,,,,,,,,,,,,,,,,,,,,,,,,,,,,,,,,,,,,,,,,,,,,,,,,,,,,,,,,,,,,,,,,,,,,,,,,,,,,,,,,,,,,,,,,,,,,,,,,,,,,,,,,,,,,,,,,,,,,,,,,,,,,,,,,,,,,,,,,,,,,,,,,,,,,,,,,,,,,,,,,,,,,,,,,,,,,,,,,,,,,,,,,,,,,,,,,,,,,,,,,,,,,,,,,,,,,,,,,,,,,,,,,,,,,,,,,,,,,,,,,,,,,,,,,,,,,,,,,,,,,,,,,,,,,,,,,,,,,,,,,,,,,,,,,,,,,,,,,,,,,,,,,,,,,,,,,,,,,,,,,,,,,,,,,,,,,,,,,,,,,,,,,,,,,,,,,,,,,,,,,,,,,,,,,,,,,,,,,,,,,,,,,,,,,,,,,,,,,,,,,,,,,,,,,,,,,,,,,,,,,,,,,,,,,,,,,,,,,,,,,,,,,,,,,,,,,,,,,,,,,,,,,,,,,,,,,,,,,,,,,,,,,,,,,,,,,,,,,,,,,,,,,,,,,,,,,,,,,,,,,,,,,,,,,,,,,,,,,,,,,,,,,,,,,,,,,,,,,,,,,,,,,,,,,,,,,,,,,,,,,,,,,,,,,,,,,,,,,,,,,,,,,,,,,,,,,,,,,,,,,,,,,,,,,,,,,,,,,,,,,,,,,,,,,,,,,,,,,,,,,,,,,,,,,,,,,,,,,,,,,,,,,,,,,,,,,,,,,,,,,,,,,,,,,,,,,,,,,,,,,,,,,,,,,,,,,,,,,,,,,,,,,,,,,,,,,,,,,,,,,,,,,,,,,,,,,,,,,,,,,,,,,,,,,,,,,,,,,,,,,,,,,,,,,,,,,,,,,,,,,,,,,,,,,,,,,,,,,,,,,,,,,,,,,,,,,,,,,,,,,,,,,,,,,,,,,,,,,,,,,,,,,,,,,,,,,,,,,,,,,,,,,,,,,,,,,,,,,,,,,,,,,,,,,,,,,,,,,,,,,,,,,,,,,,,,,,,,,,,,,,,,,,,,,,,,,,,,,,,,,,,,,,,,,,,,,,,,,,,,,,,,,,,,,,,,,,,,,,,,,,,,,,,,,,,,,,,,,,,,,,,,,,,,,,,,,,,,,,,,,,,,,,,,,,,,,,,,,,,,,,,,,,,,,,,,,,,,,,,,,,,,,,,,,,,,,,,,,,,,,,,,,,,,,,,,,,,,,,,,,,,,,,,,,,,,,,,,,,,,,,,,,,,,,,,,,,,,,,,,,,,,,,,,,,,,,,,,,,,,,,,,,,,,,,,,,,,,,,,,,,,,,,,,,,,,,,,,,,,,,,,,,,,,,,,,,,,,,,,,,,,,,,,,,,,,,,,,,,,,,,,,,,,,,,,,,,,,,,,,,,,,,,,,,,,,,,,,,,,,,,,,,,,,,,,,,,,,,,,,,,,,,,,,,,,,,,,,,,,,,,,,,,,,,,,,,,,,,,,,,,,,,,,,,,,,,,,,,,,,,,,,,,,,,,,,,,,,,,,,,,,,,,,,,,,,,,,,,,,,,,,,,,,,,,,,,,,,,,,,,,,,,,,,,,,,,,,,,,,,,,,,,,,,,,,,,,,,,,,,,,,,,,,,,,,,,,,,,,,,,,,,,,,,,,,,,,,,,,,,,,,,,,,,,,,,,,,,,,,,,,,,,,,,,,,,,,,,,,,,,,,,,,,,,,,,,,,,,,,,,,,,,,,,,,,,,,,,,,,,,,,,,,,,,,,,,,,,,,,,,,,,,,,,,,,,,,,,,,,,,,,,,,,,,,,,,,,,,,,,,,,,,,,,,,,,,,,,,,,,,,,,,,,,,,,,,,,,,,,,,,,,,,,,,,,,,,,,,,,,,,,,,,,,,,,,,,,,,,,,,,,,,,,,,,,,,,,,,,,,,,,,,,,,,,,,,,,,,,,,,,,,,,,,,,,,,,,,,,,,,,,,,,,,,,,,,,,,,,,,,,,,,,,,,,,,,,,,,,,,,,,,,,,,,,,,,,,,,,,,,,,,,,,,,,,,,,,,,,,,,,,,,,,,,,,,,,,,,,,,,,,,,,,,,,,,,,,,,,,,,,,,,,,,,,,,,,,,,,,,,,,,,,,,,,,,,,,,,,,,,,,,,,,,,,,,,,,,,,,,,,,,,,,,,,,,,,,,,,,,,,,,,,,,,,,,,,,,,,,,,,,,,,,,,,,,,,,,,,,,,,,,,,,,,,,,,,,,,,,,,,,,,,,,,,,,,,,,,,,,,,,,,,,,,,,,,,,,,,,,,,,,,,,,,,,,,,,,,,,,,,,,,,,,,,,,,,,,,,,,,,,,,,,,,,,,,,,,,,,,,,,,,,,,,,,,,,,,,,,,,,,,,,,,,,,,,,,,,,,,,,,,,,,,,,,,,,,,,,,,,,,,,,,,,,,,,,,,,,,,,,,,,,,,,,,,,,,,,,,,,,,,,,,,,,,,,,,,,,,,,,,,,,,,,,,,,,,,,,,,,,,,,,,,,,,,,,,,,,,,,,,,,,,,,,,,,,,,,,,,,,,,,,,,,,,,,,,,,,,,,,,,,,,,,,,,,,,,,,,,,,,,,,,,,,,,,,,,,,,,,,,,,,,,,,,,,,,,,,,,,,,,,,,,,,,,,,,,,,,,,,,,,,,,,,,,,,,,,,,,,,,,,,,,,,,,,,,,,,,,,,,,,,,,,,,,,,,,,,,,,,,,,,,,,,,,,,,,,,,,,,,,,,,,,,,,,,,,,,,,,,,,,,,,,,,,,,,,,,,,,,,,,,,,,,,,,,,,,,,,,,,,,,,,,,,,,,,,,,,,,,,,,,,,,,,,,,,,,,,,,,,,,,,,,,,,,,,,,,,,,,,,,,,,,,,,,,,,,,,,,,,,,,,,,,,,,,,,,,,,,,,,,,,,,,,,,,,,,,,,,,,,,,,,,,,,,,,,,,,,,,,,,,,,,,,,,,,,,,,,,,,,,,,,,,,,,,,,,,,,,,,,,,,,,,,,,,,,,,,,,,,,,,,,,,,,,,,,,,,,,,,,,,,,,,,,,,,,,,,,,,,,,,,,,,,,,,,,,,,,,,,,,,,,,,,,,,,,,,,,,,,,,,,,,,,,,,,,,,,,,,,,,,,,,,,,,,,,,,,,,,,,,,,,,,,,,,,,,,,,,,,,,,,,,,,,,,,,,,,,,,,,,,,,,,,,,,,,,,,,,,,,,,,,,,,,,,,,,,,,,,,,,,,,,,,,,,,,,,,,,,,,,,,,,,,,,,,,,,,,,,,,,,,,,,,,,,,,,,,,,,,,,,,,,,,,,,,,,,,,,,,,,,,,,,,,,,,,,,,,,,,,,,,,,,,,,,,,,,,,,,,,,,,,,,,,,,,,,,,,,,,,,,,,,,,,,,,,,,,,,,,,,,,,,,,,,,,,,,,,,,,,,,,,,,,,,,,,,,,,,,,,,,,,,,,,,,,,,,,,,,,,,,,,,,,,,,,,,,,,,,,,,,,,,,,,,,,,,,,,,,,,,,,,,,,,,,,,,,,,,,,,,,,,,,,,,,,,,,,,,,,,,,,,,,,,,,,,,,,,,,,,,,,,,,,,,,,,,,,,,,,,,,,,,,,,,,,,,,,,,,,,,,,,,,,,,,,,,,,,,,,,,,,,,,,,,,,,,,,,,,,,,,,,,,,,,,,,,,,,,,,,,,,,,,,,,,,,,,,,,,,,,,,,,,,,,,,,,,,,,,,,,,,,,,,,,,,,,,,,,,,,,,,,,,,,,,,,,,,,,,,,,,,,,,,,,,,,,,,,,,,,,,,,,,,,,,,,,,,,,,,,,,,,,,,,,,,,,,,,,,,,,,,,,,,,,,,,,,,,,,,,,,,,,,,,,,,,,,,,,,,,,,,,,,,,,,,,,,,,,,,,,,,,,,,,,,,,,,,,,,,,,,,,,,,,,,,,,,,,,,,,,,,,,,,,,,,,,,,,,,,,,,,,,,,,,,,,,,,,,,,,,,,,,,,,,,,,,,,,,,,,,,,,,,,,,,,,,,,,,,,,,,,,,,,,,,,,,,,,,,,,,,,,,,,,,,,,,,,,,,,,,,,,,,,,,,,,,,,,,,,,,,,,,,,,,,,,,,,,,,,,,,,,,,,,,,,,,,,,,,,,,,,,,,,,,,,,,,,,,,,,,,,,,,,,,,,,,,,,,,,,,,,,,,,,,,,,,,,,,,,,,,,,,,,,,,,,,,,,,,,,,,,,,,,,,,,,,,,,,,,,,,,,,,,,,,,,,,,,,,,,,,,,,,,,,,,,,,,,,,,,,,,,,,,,,,,,,,,,,,,,,,,,,,,,,,,,,,,,,,,,,,,,,,,,,,,,,,,,,,,,,,,,,,,,,,,,,,,,,,,,,,,,,,,,,,,,,,,,,,,,,,,,,,,,,,,,,,,,,,,,,,,,,,,,,,,,,,,,,,,,,,,,,,,,,,,,,,,,,,,,,,,,,,,,,,,,,,,,,,,,,,,,,,,,,,,,,,,,,,,,,,,,,,,,,,,,,,,,,,,,,,,,,,,,,,,,,,,,,,,,,,,,,,,,,,,,,,,,,,,,,,,,,,,,,,,,,,,,,,,,,,,,,,,,,,,,,,,,,,,,,,,,,,,,,,,,,,,,,,,,,,,,,,,,,,,,,,,,,,,,,,,,,,,,,,,,,,,,,,,,,,,,,,,,,,,,,,,,,,,,,,,,,,,,,,,,,,,,,,,,,,,,,,,,,,,,,,,,,,,,,,,,,,,,,,,,,,,,,,,,,,,,,,,,,,,,,,,,,,,,,,,,,,,,,,,,,,,,,,,,,,,,,,,,,,,,,,,,,,,,,,,,,,,,,,,,,,,,,,,,,,,,,,,,,,,,,,,,,,,,,,,,,,,,,,,,,,,,,,,,,,,,,,,,,,,,,,,,,,,,,,,,,,,,,,,,,,,,,,,,,,,,,,,,,,,,,,,,,,,,,,,,,,,,,,,,,,,,,,,,,,,,,,,,,,,,,,,,,,,,,,,,,,,,,,,,,,,,,,,,,,,,,,,,,,,,,,,,,,,,,,,,,,,,,,,,,,,,,,,,,,,,,,,,,,,,,,,,,,,,,,,,,,,,,,,,,,,,,,,,,,,,,,,,,,,,,,,,,,,,,,,,,,,,,,,,,,,,,,,,,,,,,,,,,,,,,,,,,,,,,,,,,,,,,,,,,,,,,,,,,,,,,,,,,,,,,,,,,,,,,,,,,,,,,,,,,,,,,,,,,,,,,,,,,,,,,,,,,,,,,,,,,,,,,,,,,,,,,,,,,,,,,,,,,,,,,,,,,,,,,,,,,,,,,,,,,,,,,,,,,,,,,,,,,,,,,,,,,,,,,,,,,,,,,,,,,,,,,,,,,,,,,,,,,,,,,,,,,,,,,,,,,,,,,,,,,,,,,,,,,,,,,,,,,,,,,,,,,,,,,,,,,,,,,,,,,,,,,,,,,,,,,,,,,,,,,,,,,,,,,,,,,,,,,,,,,,,,,,,,,,,,,,,,,,,,,,,,,,,,,,,,,,,,,,,,,,,,,,,,,,,,,,,,,,,,,,,,,,,,,,,,,,,,,,,,,,,,,,,,,,,,,,,,,,,,,,,,,,,,,,,,,,,,,,,,,,,,,,,,,,,,,,,,,,,,,,,,,,,,,,,,,,,,,,,,,,,,,,,,,,,,,,,,,,,,,,,,,,,,,,,,,,,,,,,,,,,,,,,,,,,,,,,,,,,,,,,,,,,,,,,,,,,,,,,,,,,,,,,,,,,,,,,,,,,,,,,,,,,,,,,,,,,,,,,,,,,,,,,,,,,,,,,,,,,,,,,,,,,,,,,,,,,,,,,,,,,,,,,,,,,,,,,,,,,,,,,,,,,,,,,,,,,,,,,,,,,,,,,,,,,,,,,,,,,,,,,,,,,,,,,,,,,,,,,,,,,,,,,,,,,,,,,,,,,,,,,,,,,,,,,,,,,,,,,,,,,,,,,,,,,,,,,,,,,,,,,,,,,,,,,,,,,,,,,,,,,,,,,,,,,,,,,,,,,,,,,,,,,,,,,,,,,,,,,,,,,,,,,,,,,,,,,,,,,,,,,,,,,,,,,,,,,,,,,,,,,,,,,,,,,,,,,,,,,,,,,,,,,,,,,,,,,,,,,,,,,,,,,,,,,,,,,,,,,,,,,,,,,,,,,,,,,,,,,,,,,,,,,,,,,,,,,,,,,,,,,,,,,,,,,,,,,,,,,,,,,,,,,,,,,,,,,,,,,,,,,,,,,,,,,,,,,,,,,,,,,,,,,,,,,,,,,,,,,,,,,,,,,,,,,,,,,,,,,,,,,,,,,,,,,,,,,,,,,,,,,,,,,,,,,,,,,,,,,,,,,,,,,,,,,,,,,,,,,,,,,,,,,,,,,,,,,,,,,,,,,,,,,,,,,,,,,,,,,,,,,,,,,,,,,,,,,,,,,,,,,,,,,,,,,,,,,,,,,,,,,,,,,,,,,,,,,,,,,,,,,,,,,,,,,,,,,,,,,,,,,,,,,,,,,,,,,,,,,,,,,,,,,,,,,,,,,,,,,,,,,,,,,,,,,,,,,,,,,,,,,,,,,,,,,,,,,,,,,,,,,,,,,,,,,,,,,,,,,,,,,,,,,,,,,,,,,,,,,,,,,,,,,,,,,,,,,,,,,,,,,,,,,,,,,,,,,,,,,,,,,,,,,,,,,,,,,,,,,,,,,,,,,,,,,,,,,,,,,,,,,,,,,,,,,,,,,,,,,,,,,,,,,,,,,,,,,,,,,,,,,,,,,,,,,,,,,,,,,,,,,,,,,,,,,,,,,,,,,,,,,,,,,,,,,,,,,,,,,,,,,,,,,,,,,,,,,,,,,,,,,,,,,,,,,,,,,,,,,,,,,,,,,,,,,,,,,,,,,,,,,,,,,,,,,,,,,,,,,,,,,,,,,,,,,,,,,,,,,,,,,,,,,,,,,,,,,,,,,,,,,,,,,,,,,,,,,,,,,,,,,,,,,,,,,,,,,,,,,,,,,,,,,,,,,,,,,,,,,,,,,,,,,,,,,,,,,,,,,,,,,,,,,,,,,,,,,,,,,,,,,,,,,,,,,,,,,,,,,,,,,,,,,,,,,,,,,,,,,,,,,,,,,,,,,,,,,,,,,,,,,,,,,,,,,,,,,,,,,,,,,,,,,,,,,,,,,,,,,,,,,,,,,,,,,,,,,,,,,,,,,,,,,,,,,,,,,,,,,,,,,,,,,,,,,,,,,,,,,,,,,,,,,,,,,,,,,,,,,,,,,,,,,,,,,,,,,,,,,,,,,,,,,,,,,,,,,,,,,,,,,,,,,,,,,,,,,,,,,,,,,,,,,,,,,,,,,,,,,,,,,,,,,,,,,,,,,,,,,,,,,,,,,,,,,,,,,,,,,,,,,,,,,,,,,,,,,,,,,,,,,,,,,,,,,,,,,,,,,,,,,,,,,,,,,,,,,,,,,,,,,,,,,,,,,,,,,,,,,,,,,,,,,,,,,,,,,,,,,,,,,,,,,,,,,,,,,,,,,,,,,,,,,,,,,,,,,,,,,,,,,,,,,,,,,,,,,,,,,,,,,,,,,,,,,,,,,,,,,,,,,,,,,,,,,,,,,,,,,,,,,,,,,,,,,,,,,,,,,,,,,,,,,,,,,,,,,,,,,,,,,,,,,,,,,,,,,,,,,,,,,,,,,,,,,,,,,,,,,,,,,,,,,,,,,,,,,,,,,,,,,,,,,,,,,,,,,,,,,,,,,,,,,,,,,,,,,,,,,,,,,,,,,,,,,,,,,,,,,,,,,,,,,,,,,,,,,,,,,,,,,,,,,,,,,,,,,,,,,,,,,,,,,,,,,,,,,,,,,,,,,,,,,,,,,,,,,,,,,,,,,,,,,,,,,,,,,,,,,,,,,,,,,,,,,,,,,,,,,,,,,,,,,,,,,,,,,,,,,,,,,,,,,,,,,,,,,,,,,,,,,,,,,,,,,,,,,,,,,,,,,,,,,,,,,,,,,,,,,,,,,,,,,,,,,,,,,,,,,,,,,,,,,,,,,,,,,,,,,,,,,,,,,,,,,,,,,,,,,,,,,,,,,,,,,,,,,,,,,,,,,,,,,,,,,,,,,,,,,,,,,,,,,,,,,,,,,,,,,,,,,,,,,,,,,,,,,,,,,,,,,,,,,,,,,,,,,,,,,,,,,,,,,,,,,,,,,,,,,,,,,,,,,,,,,,,,,,,,,,,,,,,,,,,,,,,,,,,,,,,,,,,,,,,,,,,,,,,,,,,,,,,,,,,,,,,,,,,,,,,,,,,,,,,,,,,,,,,,,,,,,,,,,,,,,,,,,,,,,,,,,,,,,,,,,,,,,,,,,,,,,,,,,,,,,,,,,,,,,,,,,,,,,,,,,,,,,,,,,,,,,,,,,,,,,,,,,,,,,,,,,,,,,,,,,,,,,,,,,,,,,,,,,,,,,,,,,,,,,,,,,,,,,,,,,,,,,,,,,,,,,,,,,,,,,,,,,,,,,,,,,,,,,,,,,,,,,,,,,,,,,,,,,,,,,,,,,,,,,,,,,,,,,,,,,,,,,,,,,,,,,,,,,,,,,,,,,,,,,,,,,,,,,,,,,,,,,,,,,,,,,,,,,,,,,,,,,,,,,,,,,,,,,,,,,,,,,,,,,,,,,,,,,,,,,,,,,,,,,,,,,,,,,,,,,,,,,,,,,,,,,,,,,,,,,,,,,,,,,,,,,,,,,,,,,,,,,,,,,,,,,,,,,,,,,,,,,,,,,,,,,,,,,,,,,,,,,,,,,,,,,,,,,,,,,,,,,,,,,,,,,,,,,,,,,,,,,,,,,,,,,,,,,,,,,,,,,,,,,,,,,,,,,,,,,,,,,,,,,,,,,,,,,,,,,,,,,,,,,,,,,,,,,,,,,,,,,,,,,,,,,,,,,,,,,,,,,,,,,,,,,,,,,,,,,,,,,,,,,,,,,,,,,,,,,,,,,,,,,,,,,,,,,,,,,,,,,,,,,,,,,,,,,,,,,,,,,,,,,,,,,,,,,,,,,,,,,,,,,,,,,,,,,,,,,,,,,,,,,,,,,,,,,,,,,,,,,,,,,,,,,,,,,,,,,,,,,,,,,,,,,,,,,,,,,,,,,,,,,,,,,,,,,,,,,,,,,,,,,,,,,,,,,,,,,,,,,,,,,,,,,,,,,,,,,,,,,,,,,,,,,,,,,,,,,,,,,,,,,,,,,,,,,,,,,,,,,,,,,,,,,,,,,,,,,,,,,,,,,,,,,,,,,,,,,,,,,,,,,,,,,,,,,,,,,,,,,,,,,,,,,,,,,,,,,,,,,,,,,,,,,,,,,,,,,,,,,,,,,,,,,,,,,,,,,,,,,,,,,,,,,,,,,,,,,,,,,,,,,,,,,,,,,,,,,,,,,,,,,,,,,,,,,,,,,,,,,,,,,,,,,,,,,,,,,,,,,,,,,,,,,,,,,,,,,,,,,,,,,,,,,,,,,,,,,,,,,,,,,,,,,,,,,,,,,,,,,,,,,,,,,,,,,,,,,,,,,,,,,,,,,,,,,,,,,,,,,,,,,,,,,,,,,,,,,,,,,,,,,,,,,,,,,,,,,,,,,,,,,,,,,,,,,,,,,,,,,,,,,,,,,,,,,,,,,,,,,,,,,,,,,,,,,,,,,,,,,,,,,,,,,,,,,,,,,,,,,,,,,,,,,,,,,,,,,,,,,,,,,,,,,,,,,,,,,,,,,,,,,,,,,,,,,,,,,,,,,,,,,,,,,,,,,,,,,,,,,,,,,,,,,,,,,,,,,,,,,,,,,,,,,,,,,,,,,,,,,,,,,,,,,,,,,,,,,,,,,,,,,,,,,,,,,,,,,,,,,,,,,,,,,,,,,,,,,,,,,,,,,,,,,,,,,,,,,,,,,,,,,,,,,,,,,,,,,,,,,,,,,,,,,,,,,,,,,,,,,,,,,,,,,,,,,,,,,,,,,,,,,,,,,,,,,,,,,,,,,,,,,,,,,,,,,,,,,,,,,,,,,,,,,,,,,,,,,,,,,,,,,,,,,,,,,,,,,,,,,,,,,,,,,,,,,,,,,,,,,,,,,,,,,,,,,,,,,,,,,,,,,,,,,,,,,,,,,,,,,,,,,,,,,,,,,,,,,,,,,,,,,,,,,,,,,,,,,,,,,,,,,,,,,,,,,,,,,,,,,,,,,,,,,,,,,,,,,,,,,,,,,,,,,,,,,,,,,,,,,,,,,,,,,,,,,,,,,,,,,,,,,,,,,,,,,,,,,,,,,,,,,,,,,,,,,,,,,,,,,,,,,,,,,,,,,,,,,,,,,,,,,,,,,,,,,,,,,,,,,,,,,,,,,,,,,,,,,,,,,,,,,,,,,,,,,,,,,,,,,,,,,,,,,,,,,,,,,,,,,,,,,,,,,,,,,,,,,,,,,,,,,,,,,,,,,,,,,,,,,,,,,,,,,,,,,,,,,,,,,,,,,,,,,,,,,,,,,,,,,,,,,,,,,,,,,,,,,,,,,,,,,,,,,,,,,,,,,,,,,,,,,,,,,,,,,,,,,,,,,,,,,,,,,,,,,,,,,,,,,,,,,,,,,,,,,,,,,,,,,,,,,,,,,,,,,,,,,,,,,,,,,,,,,,,,,,,,,,,,,,,,,,,,,,,,,,,,,,,,,,,,,,,,,,,,,,,,,,,,,,,,,,,,,,,,,,,,,,,,,,,,,,,,,,,,,,,,,,,,,,,,,,,,,,,,,,,,,,,,,,,,,,,,,,,,,,,,,,,,,,,,,,,,,,,,,,,,,,,,,,,,,,,,,,,,,,,,,,,,,,,,,,,,,,,,,,,,,,,,,,,,,,,,,,,,,,,,,,,,,,,,,,,,,,,,,,,,,,,,,,,,,,,,,,,,,,,,,,,,,,,,,,,,,,,,,,,,,,,,,,,,,,,,,,,,,,,,,,,,,,,,,,,,,,,,,,,,,,,,,,,,,,,,,,,,,,,,,,,,,,,,,,,,,,,,,,,,,,,,,,,,,,,,,,,,,,,,,,,,,,,,,,,,,,,,,,,,,,,,,,,,,,,,,,,,,,,,,,,,,,,,,,,,,,,,,,,,,,,,,,,,,,,,,,,,,,,,,,,,,,,,,,,,,,,,,,,,,,,,,,,,,,,,,,,,,,,,,,,,,,,,,,,,,,,,,,,,,,,,,,,,,,,,,,,,,,,,,,,,,,,,,,,,,,,,,,,,,,,,,,,,,,,,,,,,,,,,,,,,,,,,,,,,,,,,,,,,,,,,,,,,,,,,,,,,,,,,,,,,,,,,,,,,,,,,,,,,,,,,,,,,,,,,,,,,,,,,,,,,,,,,,,,,,,,,,,,,,,,,,,,,,,,,,,,,,,,,,,,,,,,,,,,,,,,,,,,,,,,,,,,,,,,,,,,,,,,,,,,,,,,,,,,,,,,,,,,,,,,,,,,,,,,,,,,,,,,,,,,,,,,,,,,,,,,,,,,,,,,,,,,,,,,,,,,,,,,,,,,,,,,,,,,,,,,,,,,,,,,,,,,,,,,,,,,,,,,,,,,,,,,,,,,,,,,,,,,,,,,,,,,,,,,,,,,,,,,,,,,,,,,,,,,,,,,,,,,,,,,,,,,,,,,,,,,,,,,,,,,,,,,,,,,,,,,,,,,,,,,,,,,,,,,,,,,,,,,,,,,,,,,,,,,,,,,,,,,,,,,,,,,,,,,,,,,,,,,,,,,,,,,,,,,,,,,,,,,,,,,,,,,,,,,,,,,,,,,,,,,,,,,,,,,,,,,,,,,,,,,,,,,,,,,,,,,,,,,,,,,,,,,,,,,,,,,,,,,,,,,,,,,,,,,,,,,,,,,,,,,,,,,,,,,,,,,,,,,,,,,,,,,,,,,,,,,,,,,,,,,,,,,,,,,,,,,,,,,,,,,,,,,,,,,,,,,,,,,,,,,,,,,,,,,,,,,,,,,,,,,,,,,,,,,,,,,,,,,,,,,,,,,,,,,,,,,,,,,,,,,,,,,,,,,,,,,,,,,,,,,,,,,,,,,,,,,,,,,,,,,,,,,,,,,,,,,,,,,,,,,,,,,,,,,,,,,,,,,,,,,,,,,,,,,,,,,,,,,,,,,,,,,,,,,,,,,,,,,,,,,,,,,,,,,,,,,,,,,,,,,,,,,,,,,,,,,,,,,,,,,,,,,,,,,,,,,,,,,,,,,,,,,,,,,,,,,,,,,,,,,,,,,,,,,,,,,,,,,,,,,,,,,,,,,,,,,,,,,,,,,,,,,,,,,,,,,,,,,,,,,,,,,,,,,,,,,,,,,,,,,,,,,,,,,,,,,,,,,,,,,,,,,,,,,,,,,,,,,,,,,,,,,,,,,,,,,,,,,,,,,,,,,,,,,,,,,,,,,,,,,,,,,,,,,,,,,,,,,,,,,,,,,,,,,,,,,,,,,,,,,,,,,,,,,,,,,,,,,,,,,,,,,,,,,,,,,,,,,,,,,,,,,,,,,,,,,,,,,,,,,,,,,,,,,,,,,,,,,,,,,,,,,,,,,,,,,,,,,,,,,,,,,,,,,,,,,,,,,,,,,,,,,,,,,,,,,,,,,,,,,,,,,,,,,,,,,,,,,,,,,,,,,,,,,,,,,,,,,,,,,,,,,,,,,,,,,,,,,,,,,,,,,,,,,,,,,,,,,,,,,,,,,,,,,,,,,,,,,,,,,,,,,,,,,,,,,,,,,,,,,,,,,,,,,,,,,,,,,,,,,,,,,,,,,,,,,,,,,,,,,,,,,,,,,,,,,,,,,,,,,,,,,,,,,,,,,,,,,,,,,,,,,,,,,,,,,,,,,,,,,,,,,,,,,,,,,,,,,,,,,,,,,,,,,,,,,,,,,,,,,,,,,,,,,,,,,,,,,,,,,,,,,,,,,,,,,,,,,,,,,,,,,,,,,,,,,,,,,,,,,,,,,,,,,,,,,,,,,,,,,,,,,,,,,,,,,,,,,,,,,,,,,,,,,,,,,,,,,,,,,,,,,,,,,,,,,,,,,,,,,,,,,,,,,,,,,,,,,,,,,,,,,,,,,,,,,,,,,,,,,,,,,,,,,,,,,,,,,,,,,,,,,,,,,,,,,,,,,,,,,,,,,,,,,,,,,,,,,,,,,,,,,,,,,,,,,,,,,,,,,,,,,,,,,,,,,,,,,,,,,,,,,,,,,,,,,,,,,,,,,,,,,,,,,,,,,,,,,,,,,,,,,,,,,,,,,,,,,,,,,,,,,,,,,,,,,,,,,,,,,,,,,,,,,,,,,,,,,,,,,,,,,,,,,,,,,,,,,,,,,,,,,,,,,,,,,,,,,,,,,,,,,,,,,,,,,,,,,,,,,,,,,,,,,,,,,,,,,,,,,,,,,,,,,,,,,,,,,,,,,,,,,,,,,,,,,,,,,,,,,,,,,,,,,,,,,,,,,,,,,,,,,,,,,,,,,,,,,,,,,,,,,,,,,,,,,,,,,,,,,,,,,,,,,,,,,,,,,,,,,,,,,,,,,,,,,,,,,,,,,,,,,,,,,,,,,,,,,,,,,,,,,,,,,,,,,,,,,,,,,,,,,,,,,,,,,,,,,,,,,,,,,,,,,,,,,,,,,,,,,,,,,,,,,,,,,,,,,,,,,,,,,,,,,,,,,,,,,,,,,,,,,,,,,,,,,,,,,,,,,,,,,,,,,,,,,,,,,,,,,,,,,,,,,,,,,,,,,,,,,,,,,,,,,,,,,,,,,,,,,,,,,,,,,,,,,,,,,,,,,,,,,,,,,,,,,,,,,,,,,,,,,,,,,,,,,,,,,,,,,,,,,,,,,,,,,,,,,,,,,,,,,,,,,,,,,,,,,,,,,,,,,,,,,,,,,,,,,,,,,,,,,,,,,,,,,,,,,,,,,,,,,,,,,,,,,,,,,,,,,,,,,,,,,,,,,,,,,,,,,,,,,,,,,,,,,,,,,,,,,,,,,,,,,,,,,,,,,,,,,,,,,,,,,,,,,,,,,,,,,,,,,,,,,,,,,,,,,,,,,,,,,,,,,,,,,,,,,,,,,,,,,,,,,,,,,,,,,,,,,,,,,,,,,,,,,,,,,,,,,,,,,,,,,,,,,,,,,,,,,,,,,,,,,,,,,,,,,,,,,,,,,,,,,,,,,,,,,,,,,,,,,,,,,,,,,,,,,,,,,,,,,,,,,,,,,,,,,,,,,,,,,,,,,,,,,,,,,,,,,,,,,,,,,,,,,,,,,,,,,,,,,,,,,,,,,,,,,,,,,,,,,,,,,,,,,,,,,,,,,,,,,,,,,,,,,,,,,,,,,,,,,,,,,,,,,,,,,,,,,,,,,,,,,,,,,,,,,,,,,,,,,,,,,,,,,,,,,,,,,,,,,,,,,,,,,,,,,,,,,,,,,,,,,,,,,,,,,,,,,,,,,,,,,,,,,,,,,,,,,,,,,,,,,,,,,,,,,,,,,,,,,,,,,,,,,,,,,,,,,,,,,,,,,,,,,,,,,,,,,,,,,,,,,,,,,,,,,,,,,,,,,,,,,,,,,,,,,,,,,,,,,,,,,,,,,,,,,,,,,,,,,,,,,,,,,,,,,,,,,,,,,,,,,,,,,,,,,,,,,,,,,,,,,,,,,,,,,,,,,,,,,,,,,,,,,,,,,,,,,,,,,,,,,,,,,,,,,,,,,,,,,,,,,,,,,,,,,,,,,,,,,,,,,,,,,,,,,,,,,,,,,,,,,,,,,,,,,,,,,,,,,,,,,,,,,,,,,,,,,,,,,,,,,,,,,,,,,,,,,,,,,,,,,,,,,,,,,,,,,,,,,,,,,,,,,,,,,,,,,,,,,,,,,,,,,,,,,,,,,,,,,,,,,,,,,,,,,,,,,,,,,,,,,,,,,,,,,,,,,,,,,,,,,,,,,,,,,,,,,,,,,,,,,,,,,,,,,,,,,,,,,,,,,,,,,,,,,,,,,,,,,,,,,,,,,,,,,,,,,,,,,,,,,,,,,,,,,,,,,,,,,,,,,,,,,,,,,,,,,,,,,,,,,,,,,,,,,,,,,,,,,,,,,,,,,,,,,,,,,,,,,,,,,,,,,,,,,,,,,,,,,,,,,,,,,,,,,,,,,,,,,,,,,,,,,,,,,,,,,,,,,,,,,,,,,,,,,,,,,,,,,,,,,,,,,,,,,,,,,,,,,,,,,,,,,,,,,,,,,,,,,,,,,,,,,,,,,,,,,,,,,,,,,,,,,,,,,,,,,,,,,,,,,,,,,,,,,,,,,,,,,,,,,,,,,,,,,,,,,,,,,,,,,,,,,,,,,,,,,,,,,,,,,,,,,,,,,,,,,,,,,,,,,,,,,,,,,,,,,,,,,,,,,,,,,,,,,,,,,,,,,,,,,,,,,,,,,,,,,,,,,,,,,,,,,,,,,,,,,,,,,,,,,,,,,,,,,,,,,,,,,,,,,,,,,,,,,,,,,,,,,,,,,,,,,,,,,,,,,,,,,,,,,,,,,,,,,,,,,,,,,,,,,,,,,,,,,,,,,,,,,,,,,,,,,,,,,,,,,,,,,,,,,,,,,,,,,,,,,,,,,,,,,,,,,,,,,,,,,,,,,,,,,,,,,,,,,,,,,,,,,,,,,,,,,,,,,,,,,,,,,,,,,,,,,,,,,,,,,,,,,,,,,,,,,,,,,,,,,,,,,,,,,,,,,,,,,,,,,,,,,,,,,,,,,,,,,,,,,,,,,,,,,,,,,,,,,,,,,,,,,,,,,,,,,,,,,,,,,,,,,,,,,,,,,,,,,,,,,,,,,,,,,,,,,,,,,,,,,,,,,,,,,,,,,,,,,,,,,,,,,,,,,,,,,,,,,,,,,,,,,,,,,,,,,,,,,,,,,,,,,,,,,,,,,,,,,,,,,,,,,,,,,,,,,,,,,,,,,,,,,,,,,,,,,,,,,,,,,,,,,,,,,,,,,,,,,,,,,,,,,,,,,,,,,,,,,,,,,,,,,,,,,,,,,,,,,,,,,,,,,,,,,,,,,,,,,,,,,,,,,,,,,,,,,,,,,,,,,,,,,,,,,,,,,,,,,,,,,,,,,,,,,,,,,,,,,,,,,,,,,,,,,,,,,,,,,,,,,,,,,,,,,,,,,,,,,,,,,,,,,,,,,,,,,,,,,,,,,,,,,,,,,,,,,,,,,,,,,,,,,,,,,,,,,,,,,,,,,,,,,,,,,,,,,,,,,,,,,,,,,,,,,,,,,,,,,,,,,,,,,,,,,,,,,,,,,,,,,,,,,,,,,,,,,,,,,,,,,,,,,,,,,,,,,,,,,,,,,,,,,,,,,,,,,,,,,,,,,,,,,,,,,,,,,,,,,,,,,,,,,,,,,,,,,,,,,,,,,,,,,,,,,,,,,,,,,,,,,,,,,,,,,,,,,,,,,,,,,,,,,,,,,,,,,,,,,,,,,,,,,,,,,,,,,,,,,,,,,,,,,,,,,,,,,,,,,,,,,,,,,,,,,,,,,,,,,,,,,,,,,,,,,,,,,,,,,,,,,,,,,,,,,,,,,,,,,,,,,,,,,,,,,,,,,,,,,,,,,,,,,,,,,,,,,,,,,,,,,,,,,,,,,,,,,,,,,,,,,,,,,,,,,,,,,,,,,,,,,,,,,,,,,,,,,,,,,,,,,,,,,,,,,,,,,,,,,,,,,,,,,,,,,,,,,,,,,,,,,,,,,,,,,,,,,,,,,,,,,,,,,,,,,,,,,,,,,,,,,,,,,,,,,,,,,,,,,,,,,,,,,,,,,,,,,,,,,,,,,,,,,,,,,,,,,,,,,,,,,,,,,,,,,,,,,,,,,,,,,,,,,,,,,,,,,,,,,,,,,,,,,,,,,,,,,,,,,,,,,,,,,,,,,,,,,,,,,,,,,,,,,,,,,,,,,,,,,,,,,,,,,,,,,,,,,,,,,,,,,,,,,,,,,,,,,,,,,,,,,,,,,,,,,,,,,,,,,,,,,,,,,,,,,,,,,,,,,,,,,,,,,,,,,,,,,,,,,,,,,,,,,,,,,,,,,,,,,,,,,,,,,,,,,,,,,}",
                    "MostRecentExpectedUnitErrors": null,
                    "Units": {
                      "$id": "284",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DC per flight RAB Real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8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86",
                          "$type": "ModelMaker.DimensionedArrayValues, ModelMaker",
                          "Elements": {
                            "$type": "ModelMakerEngine.MMElements, ModelMakerEngine",
                            "$values": []
                          },
                          "Values": {
                            "$type": "System.Collections.Generic.List`1[[System.Object, mscorlib]], mscorlib",
                            "$values": [
                              "",
                              "5.70114857949546",
                              "5.74209395954318",
                              "5.29802594279497",
                              "7.0428264312435",
                              "6.28444963038539",
                              "7.64512845153042",
                              "7.22185935413902",
                              "8.46973519697264",
                              "8.20030310144033",
                              "8.6039142479509",
                              ""
                            ]
                          }
                        }
                      ]
                    },
                    "NonPrimaryInput": false,
                    "Max": "NaN",
                    "Min": "NaN",
                    "IsBalanceButNotCorkscrew": false,
                    "IsEditable": true,
                    "IsConstant": false,
                    "UniqueID": "84db20e6-05de-461b-8562-b66a6ff4a1e7",
                    "Dimensions": {
                      "$type": "ModelMakerEngine.MMDimensions, ModelMakerEngine",
                      "$values": []
                    },
                    "EquationOBXInternal": "{,5.70114857949546,5.74209395954318,5.29802594279497,7.0428264312435,6.28444963038539,7.64512845153042,7.22185935413902,8.46973519697264,8.20030310144033,8.6039142479509,}",
                    "NameOfGroup": "Unallocated",
                    "EquationToParse": "{,5.70114857949546,5.74209395954318,5.29802594279497,7.0428264312435,6.28444963038539,7.64512845153042,7.22185935413902,8.46973519697264,8.20030310144033,8.6039142479509,}",
                    "MostRecentExpectedUnitErrors": null,
                    "Units": {
                      "$id": "287",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flight RAB nominal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88",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89",
                          "$type": "ModelMaker.DimensionedArrayValues, ModelMaker",
                          "Elements": {
                            "$type": "ModelMakerEngine.MMElements, ModelMakerEngine",
                            "$values": []
                          },
                          "Values": {
                            "$type": "System.Collections.Generic.List`1[[System.Object, mscorlib]], mscorlib",
                            "$values": [
                              null,
                              10.925490946295126,
                              11.003957306672559,
                              7.9180402269123045,
                              10.47904208811187,
                              7.335294030292296,
                              9.2618620752093523,
                              7.1127376389337265,
                              8.9194160445491555,
                              7.2325730835669733,
                              7.2933626676370249,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5cacb350-9593-4e2e-b60c-af454610f18e",
                    "Dimensions": {
                      "$type": "ModelMakerEngine.MMDimensions, ModelMakerEngine",
                      "$values": []
                    },
                    "EquationOBXInternal": "{,10.9254909462951,11.0039573066726,7.9180402269123,10.4790420881119,7.3352940302923,9.26186207520935,7.11273763893373,8.91941604454916,7.23257308356697,7.29336266763702,,,,,,,,,,,,,,,,,,,,,,,,,,,,,,,,,,,,,,,,,,,,,,,,,,,,,,,,,,,,,,,,,,,,,,,,,,,,,,,,,,,,,,,,,,,,,,,,,,,,,,,,,,,,,,,,,,,,,,,,,,,,,,,,,,,,,,,,,,,,,,,,,,,,,,,,,,,,,,,,,,,,,,,,,,,,,,,,,,,,,,,,,,,,,,,,,,,,,,,,,,,,,,,,,,,,,,,,,,,,,,,,,,,,,,,,,,,,,,,,,,,,,,,,,,,,,,,,,,,,,,,,,,,,,,,,,,,,,,,,,,,,,,,,,,,,,,,,,,,,,,,,,,,,,,,,,,,,,,,,,,,,,,,,,,,,,,,,,,,,,,,,,,,,,,,,,,,,,,,,,,,,,,,,,,,,,,,,,,,,,,,,,,,,,,,,,,,,,,,,,,,,,,,,,,,,,,,,,,,,,,,,,,,,,,,,,,,,,,,,,,,,,,,,,,,,,,,,,,,,,,,,,,,,,,,,,,,,,,,,,,,,,,,,,,,,,,,,,,,,,,,,,,,,,,,,,,,,,,,,,,,,,,,,,,,,,,,,,,,,,,,,,,,,,,,,,,,,,,,,,,,,,,,,,,,,,,,,,,,,,,,,,,,,,,,,,,,,,,,,,,,,,,,,,,,,,,,,,,,,,,,,,,,,,,,,,,,,,,,,,,,,,,,,,,,,,,,,,,,,,,,,,,,,,,,,,,,,,,,,,,,,,,,,,,,,,,,,,,,,,,,,,,,,,,,,,,,,,,,,,,,,,,,,,,,,,,,,,,,,,,,,,,,,,,,,,,,,,,,,,,,,,,,,,,,,,,,,,,,,,,,,,,,,,,,,,,,,,,,,,,,,,,,,,,,,,,,,,,,,,,,,,,,,,,,,,,,,,,,,,,,,,,,,,,,,,,,,,,,,,,,,,,,,,,,,,,,,,,,,,,,,,,,,,,,,,,,,,,,,,,,,,,,,,,,,,,,,,,,,,,,,,,,,,,,,,,,,,,,,,,,,,,,,,,,,,,,,,,,,,,,,,,,,,,,,,,,,,,,,,,,,,,,,,,,,,,,,,,,,,,,,,,,,,,,,,,,,,,,,,,,,,,,,,,,,,,,,,,,,,,,,,,,,,,,,,,,,,,,,,,,,,,,,,,,,,,,,,,,,,,,,,,,,,,,,,,,,,,,,,,,,,,,,,,,,,,,,,,,,,,,,,,,,,,,,,,,,,,,,,,,,,,,,,,,,,,,,,,,,,,,,,,,,,,,,,,,,,,,,,,,,,,,,,,,,,,,,,,,,,,,,,,,,,,,,,,,,,,,,,,,,,,,,,,,,,,,,,,,,,,,,,,,,,,,,,,,,,,,,,,,,,,,,,,,,,,,,,,,,,,,,,,,,,,,,,,,,,,,,,,,,,,,,,,,,,,,,,,,,,,,,,,,,,,,,,,,,,,,,,,,,,,,,,,,,,,,,,,,,,,,,,,,,,,,,,,,,,,,,,,,,,,,,,,,,,,,,,,,,,,,,,,,,,,,,,,,,,,,,,,,,,,,,,,,,,,,,,,,,,,,,,,,,,,,,,,,,,,,,,,,,,,,,,,,,,,,,,,,,,,,,,,,,,,,,,,,,,,,,,,,,,,,,,,,,,,,,,,,,,,,,,,,,,,,,,,,,,,,,,,,,,,,,,,,,,,,,,,,,,,,,,,,,,,,,,,,,,,,,,,,,,,,,,,,,,,,,,,,,,,,,,,,,,,,,,,,,,,,,,,,,,,,,,,,,,,,,,,,,,,,,,,,,,,,,,,,,,,,,,,,,,,,,,,,,,,,,,,,,,,,,,,,,,,,,,,,,,,,,,,,,,,,,,,,,,,,,,,,,,,,,,,,,,,,,,,,,,,,,,,,,,,,,,,,,,,,,,,,,,,,,,,,,,,,,,,,,,,,,,,,,,,,,,,,,,,,,,,,,,,,,,,,,,,,,,,,,,,,,,,,,,,,,,,,,,,,,,,,,,,,,,,,,,,,,,,,,,,,,,,,,,,,,,,,,,,,,,,,,,,,,,,,,,,,,,,,,,,,,,,,,,,,,,,,,,,,,,,,,,,,,,,,,,,,,,,,,,,,,,,,,,,,,,,,,,,,,,,,,,,,,,,,,,,,,,,,,,,,,,,,,,,,,,,,,,,,,,,,,,,,,,,,,,,,,,,,,,,,,,,,,,,,,,,,,,,,,,,,,,,,,,,,,,,,,,,,,,,,,,,,,,,,,,,,,,,,,,,,,,,,,,,,,,,,,,,,,,,,,,,,,,,,,,,,,,,,,,,,,,,,,,,,,,,,,,,,,,,,,,,,,,,,,,,,,,,,,,,,,,,,,,,,,,,,,,,,,,,,,,,,,,,,,,,,,,,,,,,,,,,,,,,,,,,,,,,,,,,,,,,,,,,,,,,,,,,,,,,,,,,,,,,,,,,,,,,,,,,,,,,,,,,,,,,,,,,,,,,,,,,,,,,,,,,,,,,,,,,,,,,,,,,,,,,,,,,,,,,,,,,,,,,,,,,,,,,,,,,,,,,,,,,,,,,,,,,,,,,,,,,,,,,,,,,,,,,,,,,,,,,,,,,,,,,,,,,,,,,,,,,,,,,,,,,,,,,,,,,,,,,,,,,,,,,,,,,,,,,,,,,,,,,,,,,,,,,,,,,,,,,,,,,,,,,,,,,,,,,,,,,,,,,,,,,,,,,,,,,,,,,,,,,,,,,,,,,,,,,,,,,,,,,,,,,,,,,,,,,,,,,,,,,,,,,,,,,,,,,,,,,,,,,,,,,,,,,,,,,,,,,,,,,,,,,,,,,,,,,,,,,,,,,,,,,,,,,,,,,,,,,,,,,,,,,,,,,,,,,,,,,,,,,,,,,,,,,,,,,,,,,,,,,,,,,,,,,,,,,,,,,,,,,,,,,,,,,,,,,,,,,,,,,,,,,,,,,,,,,,,,,,,,,,,,,,,,,,,,,,,,,,,,,,,,,,,,,,,,,,,,,,,,,,,,,,,,,,,,,,,,,,,,,,,,,,,,,,,,,,,,,,,,,,,,,,,,,,,,,,,,,,,,,,,,,,,,,,,,,,,,,,,,,,,,,,,,,,,,,,,,,,,,,,,,,,,,,,,,,,,,,,,,,,,,,,,,,,,,,,,,,,,,,,,,,,,,,,,,,,,,,,,,,,,,,,,,,,,,,,,,,,,,,,,,,,,,,,,,,,,,,,,,,,,,,,,,,,,,,,,,,,,,,,,,,,,,,,,,,,,,,,,,,,,,,,,,,,,,,,,,,,,,,,,,,,,,,,,,,,,,,,,,,,,,,,,,,,,,,,,,,,,,,,,,,,,,,,,,,,,,,,,,,,,,,,,,,,,,,,,,,,,,,,,,,,,,,,,,,,,,,,,,,,,,,,,,,,,,,,,,,,,,,,,,,,,,,,,,,,,,,,,,,,,,,,,,,,,,,,,,,,,,,,,,,,,,,,,,,,,,,,,,,,,,,,,,,,,,,,,,,,,,,,,,,,,,,,,,,,,,,,,,,,,,,,,,,,,,,,,,,,,,,,,,,,,,,,,,,,,,,,,,,,,,,,,,,,,,,,,,,,,,,,,,,,,,,,,,,,,,,,,,,,,,,,,,,,,,,,,,,,,,,,,,,,,,,,,,,,,,,,,,,,,,,,,,,,,,,,,,,,,,,,,,,,,,,,,,,,,,,,,,,,,,,,,,,,,,,,,,,,,,,,,,,,,,,,,,,,,,,,,,,,,,,,,,,,,,,,,,,,,,,,,,,,,,,,,,,,,,,,,,,,,,,,,,,,,,,,,,,,,,,,,,,,,,,,,,,,,,,,,,,,,,,,,,,,,,,,,,,,,,,,,,,,,,,,,,,,,,,,,,,,,,,,,,,,,,,,,,,,,,,,,,,,,,,,,,,,,,,,,,,,,,,,,,,,,,,,,,,,,,,,,,,,,,,,,,,,,,,,,,,,,,,,,,,,,,,,,,,,,,,,,,,,,,,,,,,,,,,,,,,,,,,,,,,,,,,,,,,,,,,,,,,,,,,,,,,,,,,,,,,,,,,,,,,,,,,,,,,,,,,,,,,,,,,,,,,,,,,,,,,,,,,,,,,,,,,,,,,,,,,,,,,,,,,,,,,,,,,,,,,,,,,,,,,,,,,,,,,,,,,,,,,,,,,,,,,,,,,,,,,,,,,,,,,,,,,,,,,,,,,,,,,,,,,,,,,,,,,,,,,,,,,,,,,,,,,,,,,,,,,,,,,,,,,,,,,,,,,,,,,,,,,,,,,,,,,,,,,,,,,,,,,,,,,,,,,,,,,,,,,,,,,,,,,,,,,,,,,,,,,,,,,,,,,,,,,,,,,,,,,,,,,,,,,,,,,,,,,,,,,,,,,,,,,,,,,,,,,,,,,,,,,,,,,,,,,,,,,,,,,,,,,,,,,,,,,,,,,,,,,,,,,,,,,,,,,,,,,,,,,,,,,,,,,,,,,,,,,,,,,,,,,,,,,,,,,,,,,,,,,,,,,,,,,,,,,,,,,,,,,,,,,,,,,,,,,,,,,,,,,,,,,,,,,,,,,,,,,,,,,,,,,,,,,,,,,,,,,,,,,,,,,,,,,,,,,,,,,,,,,,,,,,,,,,,,,,,,,,,,,,,,,,,,,,,,,,,,,,,,,,,,,,,,,,,,,,,,,,,,,,,,,,,,,,,,,,,,,,,,,,,,,,,,,,,,,,,,,,,,,,,,,,,,,,,,,,,,,,,,,,,,,,,,,,,,,,,,,,,,,,,,,,,,,,,,,,,,,,,,,,,,,,,,,,,,,,,,,,,,,,,,,,,,,,,,,,,,,,,,,,,,,,,,,,,,,,,,,,,,,,,,,,,,,,,,,,,,,,,,,,,,,,,,,,,,,,,,,,,,,,,,,,,,,,,,,,,,,,,,,,,,,,,,,,,,,,,,,,,,,,,,,,,,,,,,,,,,,,,,,,,,,,,,,,,,,,,,,,,,,,,,,,,,,,,,,,,,,,,,,,,,,,,,,,,,,,,,,,,,,,,,,,,,,,,,,,,,,,,,,,,,,,,,,,,,,,,,,,,,,,,,,,,,,,,,,,,,,,,,,,,,,,,,,,,,,,,,,,,,,,,,,,,,,,,,,,,,,,,,,,,,,,,,,,,,,,,,,,,,,,,,,,,,,,,,,,,,,,,,,,,,,,,,,,,,,,,,,,,,,,,,,,,,,,,,,,,,,,,,,,,,,,,,,,,,,,,,,,,,,,,,,,,,,,,,,,,,,,,,,,,,,,,,,,,,,,,,,,,,,,,,,,,,,,,,,,,,,,,,,,,,,,,,,,,,,,,,,,,,,,,,,,,,,,,,,,,,,,,,,,,,,,,,,,,,,,,,,,,,,,,,,,,,,,,,,,,,,,,,,,,,,,,,,,,,,,,,,,,,,,,,,,,,,,,,,,,,,,,,,,,,,,,,,,,,,,,,,,,,,,,,,,,,,,,,,,,,,,,,,,,,,,,,,,,,,,,,,,,,,,,,,,,,,,,,,,,,,,,,,,,,,,,,,,,,,,,,,,,,,,,,,,,,,,,,,,,,,,,,,,,,,,,,,,,,,,,,,,,,,,,,,,,,,,,,,,,,,,,,,,,,,,,,,,,,,,,,,,,,,,,,,,,,,,,,,,,,,,,,,,,,,,,,,,,,,,,,,,,,,,,,,,,,,,,,,,,,,,,,,,,,,,,,,,,,,,,,,,,,,,,,,,,,,,,,,,,,,,,,,,,,,,,,,,,,,,,,,,,,,,,,,,,,,,,,,,,,,,,,,,,,,,,,,,,,,,,,,,,,,,,,,,,,,,,,,,,,,,,,,,,,,,,,,,,,,,,,,,,,,,,,,,,,,,,,,,,,,,,,,,,,,,,,,,,,,,,,,,,,,,,,,,,,,,,,,,,,,,,,,,,,,,,,,,,,,,,,,,,,,,,,,,,,,,,,,,,,,,,,,,,,,,,,,,,,,,,,,,,,,,,,,,,,,,,,,,,,,,,,,,,,,,,,,,,,,,,,,,,,,,,,,,,,,,,,,,,,,,,,,,,,,,,,,,,,,,,,,,,,,,,,,,,,,,,,,,,,,,,,,,,,,,,,,,,,,,,,,,,,,,,,,,,,,,,,,,,,,,,,,,,,,,,,,,,,,,,,,,,,,,,,,,,,,,,,,,,,,,,,,,,,,,,,,,,,,,,,,,,,,,,,,,,,,,,,,,,,,,,,,,,,,,,,,,,,,,,,,,,,,,,,,,,,,,,,,,,,,,,,,,,,,,,,,,,,,,,,,,,,,,,,,,,,,,,,,,,,,,,,,,,,,,,,,,,,,,,,,,,,,,,,,,,,,,,,,,,,,,,,,,,,,,,,,,,,,,,,,,,,,,,,,,,,,,,,,,,,,,,,,,,,,,,,,,,,,,,,,,,,,,,,,,,,,,,,,,,,,,,,,,,,,,,,,,,,,,,,,,,,,,,,,,,,,,,,,,,,,,,,,,,,,,,,,,,,,,,,,,,,,,,,,,,,,,,,,,,,,,,,,,,,,,,,,,,,,,,,,,,,,,,,,,,,,,,,,,,,,,,,,,,,,,,,,,,,,,,,,,,,,,,,,,,,,,,,,,,,,,,,,,,,,,,,,,,,,,,,,,,,,,,,,,,,,,,,,,,,,,,,,,,,,,,,,,,,,,,,,,,,,,,,,,,,,,,,,,,,,,,,,,,,,,,,,,,,,,,,,,,,,,,,,,,,,,,,,,,,,,,,,,,,,,,,,,,,,,,,,,,,,,,,,,,,,,,,,,,,,,,,,,,,,,,,,,,,,,,,,,,,,,,,,,,,,,,,,,,,,,,,,,,,,,,,,,,,,,,,,,,,,,,,,,,,,,,,,,,,,,,,,,,,,,,,,,,,,,,,,,,,,,,,,,,,,,,,,,,,,,,,,,,,,,,,,,,,,,,,,,,,,,,,,,,,,,,,,,,,,,,,,,,,,,,,,,,,,,,,,,,,,,,,,,,,,,,,,,,,,,,,,,,,,,,,,,,,,,,,,,,,,,,,,,,,,,,,,,,,,,,,,,,,,,,,,,,,,,,,,,,,,,,,,,,,,,,,,,,,,,,,,,,,,,,,,,,,,,,,,,,,,,,,,,,,,,,,,,,,,,,,,,,,,,,,,,,,,,,,,,,,,,,,,,,,,,,,,,,,,,,,,,,,,,,,,,,,,,,,,,,,,,,,,,,,,,,,,,,,,,,,,,,,,,,,,,,,,,,,,,,,,,,,,,,,,,,,,,,,,,,,,,,,,,,,,,,,,,,,,,,,,,,,,,,,,,,,,,,,,,,,,,,,,,,,,,,,,,,,,,,,,,,,,,,,,,,,,,,,,,,,,,,,,,,,,,,,,,,,,,,,,,,,,,,,,,,,,,,,,,,,,,,,,,,,,,,,,,,,,,,,,,,,,,,,,,,,,,,,,,,,,,,,,,,,,,,,,,,,,,,,,,,,,,,,,,,,,,,,,,,,,,,,,,,,,,,,,,,,,,,,,,,,,,,,,,,,,,,,,,,,,,,,,,,,,,,,,,,,,,,,,,,,,,,,,,,,,,,,,,,,,,,,,,,,,,,,,,,,,,,,,,,,,,,,,,,,,,,,,,,,,,,,,,,,,,,,,,,,,,,,,,,,,,,,,,,,,,,,,,,,,,,,,,,,,,,,,,,,,,,,,,,,,,,,,,,,,,,,,,,,,,,,,,,,,,,,,,,,,,,,,,,,,,,,,,,,,,,,,,,,,,,,,,,,,,,,,,,,,,,,,,,,,,,,,,,,,,,,,,,,,,,,,,,,,,,,,,,,,,,,,,,,,,,,,,,,,,,,,,,,,,,,,,,,,,,,,,,,,,,,,,,,,,,,,,,,,,,,,,,,,,,,,,,,,,,,,,,,,,,,,,,,,,,,,,,,,,,,,,,,,,,,,,,,,,,,,,,,,,,,,,,,,,,,,,,,,,,,,,,,,,,,,,,,,,,,,,,,,,,,,,,,,,,,,,,,,,,,,,,,,,,,,,,,,,,,,,,,,,,,,,,,,,,,,,,,,,,,,,,,,,,,,,,,,,,,,,,,,,,,,,,,,,,,,,,,,,,,,,,,,,,,,,,,,,,,,,,,,,,,,,,,,,,,,,,,,,,,,,,,,,,,,,,,,,,,,,,,,,,,,,,,,,,,,,,,,,,,,,,,,,,,,,,,,,,,,,,,,,,,,,,,,,,,,,,,,,,,,,,,,,,,,,,,,,,,,,,,,,,,,,,,,,,,,,,,,,,,,,,,,,,,,,,,,,,,,,,,,,,,,,,,,,,,,,,,,,,,,,,,,,,,,,,,,,,,,,,,,,,,,,,,,,,,,,,,,,,,,,,,,,,,,,,,,,,,,,,,,,,,,,,,,,,,,,,,,,,,,,,,,,,,,,,,,,,,,,,,,,,,,,,,,,,,,,,,,,,,,,,,,,,,,,,,,,,,,,,,,,,,,,,,,,,,,,,,,,,,,,,,,,,,,,,,,,,,,,,,,,,,,,,,,,,,,,,,,,,,,,,,,,,,,,,,,,,,,,,,,,,,,,,,,,,,,,,,,,,,,,,,,,,,,,,,,,,,,,,,,,,,,,,,,,,,,,,,,,,,,,,,,,,,,,,,,,,,,,,,,,,,,,,,,,,,,,,,,,,,,,,,,,,,,,,,,,,,,,,,,,,,,,,,,,,,,,,,,,,,,,,,,,,,,,,,,,,,,,,,,,,,,,,,,,,,,,,,,,,,,,,,,,,,,,,,,,,,,,,,,,,,,,,,,,,,,,,,,,,,,,,,,,,,,,,,,,,,,,,,,,,,,,,,,,,,,,,,,,,,,,,,,,,,,,,,,,,,,,,,,,,,,,,,,,,,,,,,,,,,,,,,,,,,,,,,,,,,,,,,,,,,,,,,,,,,,,,,,,,,,,,,,,,,,,,,,,,,,,,,,,,,,,,,,,,,,,,,,,,,,,,,,,,,,,,,,,,,,,,,,,,,,,,,,,,,,,,,,,,,,,,,,,,,,,,,,,,,,,,,,,,,,,,,,,,,,,,,,,,,,,,,,,,,,,,,,,,,,,,,,,,,,,,,,,,,,,,,,,,,,,,,,,,,,,,,,,,,,,,,,,,,,,,,,,,,,,,,,,,,,,,,,,,,,,,,,,,,,,,,,,,,,,,,,,,,,,,,,,,,,,,,,,,,,,,,,,,,,,,,,,,,,,,,,,,,,,,,,,,,,,,,,,,,,,,,,,,,,,,,,,,,,,,,,,,,,,,,,,,,,,,,,,,,,,,,,,,,,,,,,,,,,,,,,,,,,,,,,,,,,,,,,,,,,,,,,,,,,,,,,,,,,,,,,,,,,,,,,,,,,,,,,,,,,,,,,,,,,,,,,,,,,,,,,,,,,,,,,,,,,,,,,,,,,,,,,,,,,,,,,,,,,,,,,,,,,,,,,,,,,,,,,,,,,,,,,,,,,,,,,,,,,,,,,,,,,,,,,,,,,,,,,,,,,,,,,,,,,,,,,,,,,,,,,,,,,,,,,,,,,,,,,,,,,,,,,,,,,,,,,,,,,,,,,,,,,,,,,,,,,,,,,,,,,,,,,,,,,,,,,,,,,,,,,,,,,,,,,,,,,,,,,,,,,,,,,,,,,,,,,,,,,,,,,,,,,,,,,,,,,,,,,,,,,,,,,,,,,,,,,,,,,,,,,,,,,,,,,,,,,,,,,,,,,,,,,,,,,,,,,,,,,,,,,,,,,,,,,,,,,,,,,,,,,,,,,,,,,,,,,,,,,,,,,,,,,,,,,,,,,,,,,,,,,,,,,,,,,,,,,,,,,,,,,,,,,,,,,,,,,,,,,,,,,,,,,,,,,,,,,,,,,,,,,,,,,,,,,,,,,,,,,,,,,,,,,,,,,,,,,,,,,,,,,,,,,,,,,,,,,,,,,,,,,,,,,,,,,,,,,,,,,,,,,,,,,,,,,,,,,,,,,,,,,,,,,,,,,,,,,,,,,,,,,,,,,,,,,,,,,,,,,,,,,,,,,,,,,,,,,,,,,,,,,,,,,,,,,,,,,,,,,,,,,,,,,,,,,,,,,,,,,,,,,,,,,,,,,,,,,,,,,,,,,,,,,,,,,,,,,,,,,,,,,,,,,,,,,,,,,,,,,,,,,,,,,,,,,,,,,,,,,,,,,,,,,,,,,,,,,,,,,,,,,,,,,,,,,,,,,,,,,,,,,,,,,,,,,,,,,,,,,,,,,,,,,,,,,,,,,,,,,,,,,,,,,,,,,,,,,,,,,,,,,,,,,,,,,,,,,,,,,,,,,,,,,,,,,,,,,,,,,,,,,,,,,,,,,,,,,,,,,,,,,,,,,,,,,,,,,,,,,,,,,,,,,,,,,,,,,,,,,,,,,,,,,,,,,,,,,,,,,,,,,,,,,,,,,,,,,,,,,,,,,,,,,,,,,,,,,,,,,,,,,,,,,,,,,,,,,,,,,,,,,,,,,,,,,,,,,,,,,,,,,,,,,,,,,,,,,,,,,,,,,,,,,,,,,,,,,,,,,,,,,,,,,,,,,,,,,,,,,,,,,,,,,,,,,,,,,,,,,,,,,,,,,,,,,,,,,,,,,,,,,,,,,,,,,,,,,,,,,,,,,,,,,,,,,,,,,,,,,,,,,,,,,,,,,,,,,,,,,,,,,,,,,,,,,,,,,,,,,,,,,,,,,,,,,,,,,,,,,,,,,,,,,,,,,,,,,,,,,,,,,,,,,,,,,,,,,,,,,,,,,,,,,,,,,,,,,,,,,,,,,,,,,,,,,,,,,,,,,,,,,,,,,,,,,,,,,,,,,,,,,,,,,,,,,,,,,,,,,,,,,,,,,,,,,,,,,,,,,,,,,,,,,,,,,,,,,,,,,,,,,,,,,,,,,,,,,,,,,,,,,,,,,,,,,,,,,,,,,,,,,,,,,,,,,,,,,,,,,,,,,,,,,,,,,,,,,,,,,,,,,,,,,,,,,,,,,,,,,,,,,,,,,,,,,,,,,,,,,,,,,,,,,,,,,,,,,,,,,,,,,,,,,,,,,,,,,,,,,,,,,,,,,,,,,,,,,,,,,,,,,,,,,,,,,,,,,,,,,,,,,,,,,,,,,,,,,,,,,,,,,,,,,,,,,,,,,,,,,,,,,,,,,,,,,,,,,,,,,,,,,,,,,,,,,,,,,,,,,,,,,,,,,,,,,,,,,,,,,,,,,,,,,,,,,,,,,,,,,,,,,,,,,,,,,,,,,,,,,,,,,,,,,,,,,,,,,,,,,,,,,,,,,,,,,,,,,,,,,,,,,,,,,,,,,,,,,,,,,,,,,,,,,,,,,,,,,,,,,,,,,,,,,,,,,,,,,,,,,,,,,,,,,,,,,,,,,,,,,,,,,,,,,,,,,,,,,,,,,,,,,,,,,,,,,,,,,,,,,,,,,,,,,,,,,,,,,,,,,,,,,,,,,,,,,,,,,,,,,,,,,,,,,,,,,,,,,,,,,,,,,,,,,,,,,,,,,,,,,,,,,,,,,,,,,,,,,,,,,,,,,,,,,,,,,,,,,,,,,,,,,,,,,,,,,,,,,,,,,,,,,,,,,,,,,,,,,,,,,,,,,,,,,,,,,,,,,,,,,,,,,,,,,,,,,,,,,,,,,,,,,,,,,,,,,,,,,,,,,,,,,,,,,,,,,,,,,,,,,,,,,,,,,,,,,,,,,,,,,,,,,,,,,,,,,,,,,,,,,,,,,,,,,,,,,,,,,,,,,,,,,,,,,,,,,,,,,,,,,,,,,,,,,,,,,,,,,,,,,,,,,,,,,,,,,,,,,,,,,,,,,,,,,,,,,,,,,,,,,,,,,,,,,,,,,,,,,,,,,,,,,,,,,,,,,,,,,,,,,,,,,,,,,,,,,,,,,,,,,,,,,,,,,,,,,,,,,,,,,,,,,,,,,,,,,,,,,,,,,,,,,,,,,,,,,,,,,,,,,,,,,,,,,,,,,,,,,,,,,,,,,,,,,,,,,,,,,,,,,,,,,,,,,,,,,,,,,,,,,,,,,,,,,,,,,,,,,,,,,,,,,,,,,,,,,,,,,,,,,,,,,,,,,,,,,,,,,,,,,,,,,,,,,,,,,,,,,,,,,,,,,,,,,,,,,,,,,,,,,,,,,,,,,,,,,,,,,,,,,,,,,,,,,,,,,,,,,,,,,,,,,,,,,,,,,,,,,,,,,,,,,,,,,,,,,,,,,,,,,,,,,,,,,,,,,,,,,,,,,,,,,,,,,,,,,,,,,,,,,,,,,,,,,,,,,,,,,,,,,,,,,,,,,,,,,,,,,,,,,,,,,,,,,,,,,,,,,,,,,,,,,,,,,,,,,,,,,,,,,,,,,,,,,,,,,,,,,,,,,,,,,,,,,,,,,,,,,,,,,,,,,,,,,,,,,,,,,,,,,,,,,,,,,,,,,,,,,,,,,,,,,,,,,,,,,,,,,,,,,,,,,,,,,,,,,,,,,,,,,,,,,,,,,,,,,,,,,,,,,,,,,,,,,,,,,,,,,,,,,,,,,,,,,,,,,,,,,,,,,,,,,,,,,,,,,,,,,,,,,,,,,,,,,,,,,,,,,,,,,,,,,,,,,,,,,,,,,,,,,,,,,,,,,,,,,,,,,,,,,,,,,,,,,,,,,,,,,,,,,,,,,,,,,,,,,,,,,,,,,,,,,,,,,,,,,,,,,,,,,,,,,,,,,,,,,,,,,,,,,,,,,,,,,,,,,,,,,,,,,,,,,,,,,,,,,,,,,,,,,,,,,,,,,,,,,,,,,,,,,,,,,,,,,,,,,,,,,,,,,,,,,,,,,,,,,,,,,,,,,,,,,,,,,,,,,,,,,,,,,,,,,,,,,,,,,,,,,,,,,,,,,,,,,,,,,,,,,,,,,,,,,,,,,,,,,,,,,,,,,,,,,,,,,,,,,,,,,,,,,,,,,,,,,,,,,,,,,,,,,,,,,,,,,,,,,,,,,,,,,,,,,,,,,,,,,,,,,,,,,,,,,,,,,,,,,,,,,,,,,,,,,,,,,,,,,,,,,,,,,,,,,,,,,,,,,,,,,,,,,,,,,,,,,,,,,,,,,,,,,,,,,,,,,,,,,,,,,,,,,,,,,,,,,,,,,,,,,,,,,,,,,,,,,,,,,,,,,,,,,,,,,,,,,,,,,,,,,,,,,,,,,,,,,,,,,,,,,,,,,,,,,,,,,,,,,,,,,,,,,,,,,,,,,,,,,,,,,,,,,,,,,,,,,,,,,,,,,,,,,,,,,,,,,,,,,,,,,,,,,,,,,,,,,,,,,,,,,,,,,,,,,,,,,,,,,,,,,,,,,,,,,,,,,,,,,,,,,,,,,,,,,,,,,,,,,,,,,,,,,,,,,,,,,,,,,,,,,,,,,,,,,,,,,,,,,,,,,,,,,,,,,,,,,,,,,,,,,,,,,,,,,,,,,,,,,,,,,,,,,,,,,,,,,,,,,,,,,,,,,,,,,,,,,,,,,,,,,,,,,,,,,,,,,,,,,,,,,,,,,,,,,,,,,,,,,,,,,,,,,,,,,,,,,,,,,,,,,,,,,,,,,,,,,,,,,,,,,,,,,,,,,,,,,,,,,,,,,,,,,,,,,,,,,,,,,,,,,,,,,,,,,,,,,,,,,,,,,,,,,,,,,,,,,,,,,,,,,,,,,,,,,,,,,,,,,,,,,,,,,,,,,,,,,,,,,,,,,,,,,,,,,,,,,,,,,,,,,,,,,,,,,,,,,,,,,,,,,,,,,,,,,,,,,,,,,,,,,,,,,,,,,,,,,,,,,,,,,,,,,,,,,,,,,,,,,,,,,,,,,,,,,,,,,,,,,,,,,,,,,,,,,,,,,,,,,,,,,,,,,,,,,,,,,,,,,,,,,,,,,,,,,,,,,,,,,,,,,,,,,,,,,,,,,,,,,,,,,,,,,,,,,,,,,,,,,,,,,,,,,,,,,,,,,,,,,,,,,,,,,,,,,,,,,,,,,,,,,,,,,,,,,,,,,,,,,,,,,,,,,,,,,,,,,,,,,,,,,,,,,,,,,,,,,,,,,,,,,,,,,,,,,,,,,,,,,,,,,,,,,,,,,,,,,,,,,,,,,,,,,,,,,,,,,,,,,,,,,,,,,,,,,,,,,,,,,,,,,,,,,,,,,,,,,,,,,,,,,,,,,,,,,,,,,,,,,,,,,,,,,,,,,,,,,,,,,,,,,,,,,,,,,,,,,,,,,,,,,,,,,,,,,,,,,,,,,,,,,,,,,,,,,,,,,,,,,,,,,,,,,,,,,,,,,,,,,,,,,,,,,,,,,,,,,,,,,,,,,,,,,,,,,,,,,,,,,,,,,,,,,,,,,,,,,,,,,,,,,,,,,,,,,,,,,,,,,,,,,,,,,,,,,,,,,,,,,,,,,,,,,,,,,,,,,,,,,,,,,,,,,,,,,,,,,,,,,,,,,,,,,,,,,,,,,,,,,,,,,,,,,,,,,,,,,,,,,,,,,,,,,,,,,,,,,,,,,,,,,,,,,,,,,,,,,,,,,,,,,,,,,,,,,,,,,,,,,,,,,,,,,,,,,,,,,,,,,,,,,,,,,,,,,,,,,,,,,,,,,,,,,,,,,,,,,,,,,,,,,,,,,,,,,,,,,,,,,,,,,,,,,,,,,,,,,,,,,,,,,,,,,,,,,,,,,,,,,,,,,,,,,,,,,,,,,,,,,,,,,,,,,,,,,,,,,,,,,,,,,,,,,,,,,,,,,,,,,,,,,,,,,,,,,,,,,,,,,,,,,,,,,,,,,,,,,,,,,,,,,,,,,,,,,,,,,,,,,,,,,,,,,,,,,,,,,,,,,,,,,,,,,,,,,,,,,,,,,,,,,,,,,,,,,,,,,,,,,,,,,,,,,,,,,,,,,,,,,,,,,,,,,,,,,,,,,,,,,,,,,,,,,,,,,,,,,,,,,,,,,,,,,,,,,,,,,,,,,,,,,,,,,,,,,,,,,,,,,,,,,,,,,,,,,,,,,,,,,,,,,,,,,,,,,,,,,,,,,,,,,,,,,,,,,,,,,,,,,,,,,,,,,,,,,,,,,,,,,,,,,,,,,,,,,,,,,,,,,,,,,,,,,,,,,,,,,,,,,,,,,,,,,,,,,,,,,,,,,,,,,,,,,,,,,,,,,,,,,,,,,,,,,,,,,,,,,,,,,,,,,,,,,,,,,,,,,,,,,,,,,,,,,,,,,,,,,,,,,,,,,,,,,,,,,,,,,,,,,,,,,,,,,,,,,,,,,,,,,,,,,,,,,,,,,,,,,,,,,,,,,,,,,,,,,,,,,,,,,,,,,,,,,,,,,,,,,,,,,,,,,,,,,,,,,,,,,,,,,,,,,,,,,,,,,,,,,,,,,,,,,,,,,,,,,,,,,,,,,,,,,,,,,,,,,,,,,,,,,,,,,,,,,,,,,,,,,,,,,,,,,,,,,,,,,,,,,,,,,,,,,,,,,,,,,,,,,,,,,,,,,,,,,,,,,,,,,,,,,,,,,,,,,,,,,,,,,,,,,,,,,,,,,,,,,,,,,,,,,,,,,,,,,,,,,,,,,,,,,,,,,,,,,,,,,,,,,,,,,,,,,,,,,,,,,,,,,,,,,,,,,,,,,,,,,,,,,,,,,,,,,,,,,,,,,,,,,,,,,,,,,,,,,,,,,,,,,,,,,,,,,,,,,,,,,,,,,,,,,,,,,,,,,,,,,,,,,,,,,,,,,,,,,,,,,,,,,,,,,,,,,,,,,,,,,,,,,,,,,,,,,,,,,,,,,,,,,,,,,,,,,,,,,,,,,,,,,,,,,,,,,,,,,,,,,,,,,,,,,,,,,,,,,,,,,,,,,,,,,,,,,,,,,,,,,,,,,,,,,,,,,,,,,,,,,,,,,,,,,,,,,,,,,,,,,,,,,,,,,,,,,,,,,,,,,,,,,,,,,,,,,,,,,,,,,,,,,,,,,,,,,,,,,,,,,,,,,,,,,,,,,,,,,,,,,,,,,,,,,,,,,,,,,,,,,,,,,,,,,,,,,,,,,,,,,,,,,,,,,,,,,,,,,,,,,,,,,,,,,,,,,,,,,,,,,,,,,,,,,,,,,,,,,,,,,,,,,,,,,,,,,,,,,,,,,,,,,,,,,,,,,,,,,,,,,,,,,,,,,,,,,,,,,,,,,,,,,,,,,,,,,,,,,,,,,,,,,,,,,,,,,,,,,,,,,,,,,,,,,,,,,,,,,,,,,,,,,,,,,,,,,,,,,,,,,,,,,,,,,,,,,,,,,,,,,,,,,,,,,,,,,,,,,,,,,,,,,,,,,,,,,,,,,,,,,,,,,,,,,,,,,,,,,,,,,,,,,,,,,,,,,,,,,,,,,,,,,,,,,,,,,,,,,,,,,,,,,,,,,,,,,,,,,,,,,,,,,,,,,,,,,,,,,,,,,,,,,,,,,,,,,,,,,,,,,,,,,,,,,,,,,,,,,,,,,,,,,,,,,,,,,,,,,,,,,,,,,,,,,,,,,,,,,,,,,,,,,,,,,,,,,,,,,,,,,,,,,,,,,,,,,,,,,,,,,,,,,,,,,,,,,,,,,,,,,,,,,,,,,,,,,,,,,,,,,,,,,,,,,,,,,,,,,,,,,,,,,,,,,,,,,,,,,,,,,,,,,,,,,,,,,,,,,,,,,,,,,,,,,,,,,,,,,,,,,,,,,,,,,,,,,,,,,,,,,,,,,,,,,,,,,,,,,,,,,,,,,,,,,,,,,,,,,,,,,,,,,,,,,,,,,,,,,,,,,,,,,,,,,,,,,,,,,,,,,,,,,,,,,,,,,,,,,,,,,,,,,,,,,,,,,,,,,,,,,,,,,,,,,,,,,,,,,,,,,,,,,,,,,,,,,,,,,,,,,,,,,,,,,,,,,,,,,,,,,,,,,,,,,,,,,,,,,,,,,,,,,,,,,,,,,,,,,,,,,,,,,,,,,,,,,,,,,,,,,,,,,,,,,,,,,,,,,,,,,,,,,,,,,,,,,,,,,,,,,,,,,,,,,,,,,,,,,,,,,,,,,,,,,,,,,,,,,,,,,,,,,,,,,,,,,,,,,,,,,,,,,,,,,,,,,,,,,,,,,,,,,,,,,,,,,,,,,,,,,,,,,,,,,,,,,,,,,,,,,,,,,,,,,,,,,,,,,,,,,,,,,,,,,,,,,,,,,,,,,,,,,,,,,,,,,,,,,,,,,,,,,,,,,,,,,,,,,,,,,,,,,,,,,,,,,,,,,,,,,,,,,,,,,,,,,,,,,,,,,,,,,,,,,,,,,,,,,,,,,,,,,,,,,,,,,,,,,,,,,,,,,,,,,,,,,,,,,,,,,,,,,,,,,,,,,,,,,,,,,,,,,,,,,,,,,,,,,,,,,,,,,,,,,,,,,,,,,,,,,,,,,,,,,,,,,,,,,,,,,,,,,,,,,,,,,,,,,,,,,,,,,,,,,,,,,,,,,,,,,,,,,,,,,,,,,,,,,,,,,,,,,,,,,,,,,,,,,,,,,,,,,,,,,,,,,,,,,,,,,,,,,,,,,,,,,,,,,,,,,,,,,,,,,,,,,,,,,,,,,,,,,,,,,,,,,,,,,,,,,,,,,,,,,,,,,,,,,,,,,,,,,,,,,,,,,,,,,,,,,,,,,,,,,,,,,,,,,,,,,,,,,,,,,,,,,,,,,,,,,,,,,,,,,,,,,,,,,,,,,,,,,,,,,,,,,,,,,,,,,}",
                    "NameOfGroup": "Unallocated",
                    "EquationToParse": "{,10.9254909462951,11.0039573066726,7.9180402269123,10.4790420881119,7.3352940302923,9.26186207520935,7.11273763893373,8.91941604454916,7.23257308356697,7.29336266763702,,,,,,,,,,,,,,,,,,,,,,,,,,,,,,,,,,,,,,,,,,,,,,,,,,,,,,,,,,,,,,,,,,,,,,,,,,,,,,,,,,,,,,,,,,,,,,,,,,,,,,,,,,,,,,,,,,,,,,,,,,,,,,,,,,,,,,,,,,,,,,,,,,,,,,,,,,,,,,,,,,,,,,,,,,,,,,,,,,,,,,,,,,,,,,,,,,,,,,,,,,,,,,,,,,,,,,,,,,,,,,,,,,,,,,,,,,,,,,,,,,,,,,,,,,,,,,,,,,,,,,,,,,,,,,,,,,,,,,,,,,,,,,,,,,,,,,,,,,,,,,,,,,,,,,,,,,,,,,,,,,,,,,,,,,,,,,,,,,,,,,,,,,,,,,,,,,,,,,,,,,,,,,,,,,,,,,,,,,,,,,,,,,,,,,,,,,,,,,,,,,,,,,,,,,,,,,,,,,,,,,,,,,,,,,,,,,,,,,,,,,,,,,,,,,,,,,,,,,,,,,,,,,,,,,,,,,,,,,,,,,,,,,,,,,,,,,,,,,,,,,,,,,,,,,,,,,,,,,,,,,,,,,,,,,,,,,,,,,,,,,,,,,,,,,,,,,,,,,,,,,,,,,,,,,,,,,,,,,,,,,,,,,,,,,,,,,,,,,,,,,,,,,,,,,,,,,,,,,,,,,,,,,,,,,,,,,,,,,,,,,,,,,,,,,,,,,,,,,,,,,,,,,,,,,,,,,,,,,,,,,,,,,,,,,,,,,,,,,,,,,,,,,,,,,,,,,,,,,,,,,,,,,,,,,,,,,,,,,,,,,,,,,,,,,,,,,,,,,,,,,,,,,,,,,,,,,,,,,,,,,,,,,,,,,,,,,,,,,,,,,,,,,,,,,,,,,,,,,,,,,,,,,,,,,,,,,,,,,,,,,,,,,,,,,,,,,,,,,,,,,,,,,,,,,,,,,,,,,,,,,,,,,,,,,,,,,,,,,,,,,,,,,,,,,,,,,,,,,,,,,,,,,,,,,,,,,,,,,,,,,,,,,,,,,,,,,,,,,,,,,,,,,,,,,,,,,,,,,,,,,,,,,,,,,,,,,,,,,,,,,,,,,,,,,,,,,,,,,,,,,,,,,,,,,,,,,,,,,,,,,,,,,,,,,,,,,,,,,,,,,,,,,,,,,,,,,,,,,,,,,,,,,,,,,,,,,,,,,,,,,,,,,,,,,,,,,,,,,,,,,,,,,,,,,,,,,,,,,,,,,,,,,,,,,,,,,,,,,,,,,,,,,,,,,,,,,,,,,,,,,,,,,,,,,,,,,,,,,,,,,,,,,,,,,,,,,,,,,,,,,,,,,,,,,,,,,,,,,,,,,,,,,,,,,,,,,,,,,,,,,,,,,,,,,,,,,,,,,,,,,,,,,,,,,,,,,,,,,,,,,,,,,,,,,,,,,,,,,,,,,,,,,,,,,,,,,,,,,,,,,,,,,,,,,,,,,,,,,,,,,,,,,,,,,,,,,,,,,,,,,,,,,,,,,,,,,,,,,,,,,,,,,,,,,,,,,,,,,,,,,,,,,,,,,,,,,,,,,,,,,,,,,,,,,,,,,,,,,,,,,,,,,,,,,,,,,,,,,,,,,,,,,,,,,,,,,,,,,,,,,,,,,,,,,,,,,,,,,,,,,,,,,,,,,,,,,,,,,,,,,,,,,,,,,,,,,,,,,,,,,,,,,,,,,,,,,,,,,,,,,,,,,,,,,,,,,,,,,,,,,,,,,,,,,,,,,,,,,,,,,,,,,,,,,,,,,,,,,,,,,,,,,,,,,,,,,,,,,,,,,,,,,,,,,,,,,,,,,,,,,,,,,,,,,,,,,,,,,,,,,,,,,,,,,,,,,,,,,,,,,,,,,,,,,,,,,,,,,,,,,,,,,,,,,,,,,,,,,,,,,,,,,,,,,,,,,,,,,,,,,,,,,,,,,,,,,,,,,,,,,,,,,,,,,,,,,,,,,,,,,,,,,,,,,,,,,,,,,,,,,,,,,,,,,,,,,,,,,,,,,,,,,,,,,,,,,,,,,,,,,,,,,,,,,,,,,,,,,,,,,,,,,,,,,,,,,,,,,,,,,,,,,,,,,,,,,,,,,,,,,,,,,,,,,,,,,,,,,,,,,,,,,,,,,,,,,,,,,,,,,,,,,,,,,,,,,,,,,,,,,,,,,,,,,,,,,,,,,,,,,,,,,,,,,,,,,,,,,,,,,,,,,,,,,,,,,,,,,,,,,,,,,,,,,,,,,,,,,,,,,,,,,,,,,,,,,,,,,,,,,,,,,,,,,,,,,,,,,,,,,,,,,,,,,,,,,,,,,,,,,,,,,,,,,,,,,,,,,,,,,,,,,,,,,,,,,,,,,,,,,,,,,,,,,,,,,,,,,,,,,,,,,,,,,,,,,,,,,,,,,,,,,,,,,,,,,,,,,,,,,,,,,,,,,,,,,,,,,,,,,,,,,,,,,,,,,,,,,,,,,,,,,,,,,,,,,,,,,,,,,,,,,,,,,,,,,,,,,,,,,,,,,,,,,,,,,,,,,,,,,,,,,,,,,,,,,,,,,,,,,,,,,,,,,,,,,,,,,,,,,,,,,,,,,,,,,,,,,,,,,,,,,,,,,,,,,,,,,,,,,,,,,,,,,,,,,,,,,,,,,,,,,,,,,,,,,,,,,,,,,,,,,,,,,,,,,,,,,,,,,,,,,,,,,,,,,,,,,,,,,,,,,,,,,,,,,,,,,,,,,,,,,,,,,,,,,,,,,,,,,,,,,,,,,,,,,,,,,,,,,,,,,,,,,,,,,,,,,,,,,,,,,,,,,,,,,,,,,,,,,,,,,,,,,,,,,,,,,,,,,,,,,,,,,,,,,,,,,,,,,,,,,,,,,,,,,,,,,,,,,,,,,,,,,,,,,,,,,,,,,,,,,,,,,,,,,,,,,,,,,,,,,,,,,,,,,,,,,,,,,,,,,,,,,,,,,,,,,,,,,,,,,,,,,,,,,,,,,,,,,,,,,,,,,,,,,,,,,,,,,,,,,,,,,,,,,,,,,,,,,,,,,,,,,,,,,,,,,,,,,,,,,,,,,,,,,,,,,,,,,,,,,,,,,,,,,,,,,,,,,,,,,,,,,,,,,,,,,,,,,,,,,,,,,,,,,,,,,,,,,,,,,,,,,,,,,,,,,,,,,,,,,,,,,,,,,,,,,,,,,,,,,,,,,,,,,,,,,,,,,,,,,,,,,,,,,,,,,,,,,,,,,,,,,,,,,,,,,,,,,,,,,,,,,,,,,,,,,,,,,,,,,,,,,,,,,,,,,,,,,,,,,,,,,,,,,,,,,,,,,,,,,,,,,,,,,,,,,,,,,,,,,,,,,,,,,,,,,,,,,,,,,,,,,,,,,,,,,,,,,,,,,,,,,,,,,,,,,,,,,,,,,,,,,,,,,,,,,,,,,,,,,,,,,,,,,,,,,,,,,,,,,,,,,,,,,,,,,,,,,,,,,,,,,,,,,,,,,,,,,,,,,,,,,,,,,,,,,,,,,,,,,,,,,,,,,,,,,,,,,,,,,,,,,,,,,,,,,,,,,,,,,,,,,,,,,,,,,,,,,,,,,,,,,,,,,,,,,,,,,,,,,,,,,,,,,,,,,,,,,,,,,,,,,,,,,,,,,,,,,,,,,,,,,,,,,,,,,,,,,,,,,,,,,,,,,,,,,,,,,,,,,,,,,,,,,,,,,,,,,,,,,,,,,,,,,,,,,,,,,,,,,,,,,,,,,,,,,,,,,,,,,,,,,,,,,,,,,,,,,,,,,,,,,,,,,,,,,,,,,,,,,,,,,,,,,,,,,,,,,,,,,,,,,,,,,,,,,,,,,,,,,,,,,,,,,,,,,,,,,,,,,,,,,,,,,,,,,,,,,,,,,,,,,,,,,,,,,,,,,,,,,,,,,,,,,,,,,,,,,,,,,,,,,,,,,,,,,,,,,,,,,,,,,,,,,,,,,,,,,,,,,,,,,,,,,,,,,,,,,,,,,,,,,,,,,,,,,,,,,,,,,,,,,,,,,,,,,,,,,,,,,,,,,,,,,,,,,,,,,,,,,,,,,,,,,,,,,,,,,,,,,,,,,,,,,,,,,,,,,,,,,,,,,,,,,,,,,,,,,,,,,,,,,,,,,,,,,,,,,,,,,,,,,,,,,,,,,,,,,,,,,,,,,,,,,,,,,,,,,,,,,,,,,,,,,,,,,,,,,,,,,,,,,,,,,,,,,,,,,,,,,,,,,,,,,,,,,,,,,,,,,,,,,,,,,,,,,,,,,,,,,,,,,,,,,,,,,,,,,,,,,,,,,,,,,,,,,,,,,,,,,,,,,,,,,,,,,,,,,,,,,,,,,,,,,,,,,,,,,,,,,,,,,,,,,,,,,,,,,,,,,,,,,,,,,,,,,,,,,,,,,,,,,,,,,,,,,,,,,,,,,,,,,,,,,,,,,,,,,,,,,,,,,,,,,,,,,,,,,,,,,,,,,,,,,,,,,,,,,,,,,,,,,,,,,,,,,,,,,,,,,,,,,,,,,,,,,,,,,,,,,,,,,,,,,,,,,,,,,,,,,,,,,,,,,,,,,,,,,,,,,,,,,,,,,,,,,,,,,,,,,,,,,,,,,,,,,,,,,,,,,,,,,,,,,,,,,,,,,,,,,,,,,,,,,,,,,,,,,,,,,,,,,,,,,,,,,,,,,,,,,,,,,,,,,,,,,,,,,,,,,,,,,,,,,,,,,,,,,,,,,,,,,,,,,,,,,,,,,,,,,,,,,,,,,,,,,,,,,,,,,,,,,,,,,,,,,,,,,,,,,,,,,,,,,,,,,,,,,,,,,,,,,,,,,,,,,,,,,,,,,,,,,,,,,,,,,,,,,,,,,,,,,,,,,,,,,,,,,,,,,,,,,,,,,,,,,,,,,,,,,,,,,,,,,,,,,,,,,,,,,,,,,,,,,,,,,,,,,,,,,,,,,,,,,,,,,,,,,,,,,,,,,,,,,,,,,,,,,,,,,,,,,,,,,,,,,,,,,,,,,,,,,,,,,,,,,,,,,,,,,,,,,,,,,,,,,,,,,,,,,,,,,,,,,,,,,,,,,,,,,,,,,,,,,,,,,,,,,,,,,,,,,,,,,,,,,,,,,,,,,,,,,,,,,,,,,,,,,,,,,,,,,,,,,,,,,,,,,,,,,,,,,,,,,,,,,,,,,,,,,,,,,,,,,,,,,,,,,,,,,,,,,,,,,,,,,,,,,,,,,,,,,,,,,,,,,,,,,,,,,,,,,,,,,,,,,,,,,,,,,,,,,,,,,,,,,,,,,,,,,,,,,,,,,,,,,,,,,,,,,,,,,,,,,,,,,,,,,,,,,,,,,,,,,,,,,,,,,,,,,,,,,,,,,,,,,,,,,,,,,,,,,,,,,,,,,,,,,,,,,,,,,,,,,,,,,,,,,,,,,,,,,,,,,,,,,,,,,,,,,,,,,,,,,,,,,,,,,,,,,,,,,,,,,,,,,,,,,,,,,,,,,,,,,,,,,,,,,,,,,,,,,,,,,,,,,,,,,,,,,,,,,,,,,,,,,,,,,,,,,,,,,,,,,,,,,,,,,,,,,,,,,,,,,,,,,,,,,,,,,,,,,,,,,,,,,,,,,,,,,,,,,,,,,,,,,,,,,,,,,,,,,,,,,,,,,,,,,,,,,,,,,,,,,,,,,,,,,,,,,,,,,,,,,,,,,,,,,,,,,,,,,,,,,,,,,,,,,,,,,,,,,,,,,,,,,,,,,,,,,,,,,,,,,,,,,,,,,,,,,,,,,,,,,,,,,,,,,,,,,,,,,,,,,,,,,,,,,,,,,,,,,,,,,,,,,,,,,,,,,,,,,,,,,,,,,,,,,,,,,,,,,,,,,,,,,,,,,,,,,,,,,,,,,,,,,,,,,,,,,,,,,,,,,,,,,,,,,,,,,,,,,,,,,,,,,,,,,,,,,,,,,,,,,,,,,,,,,,,,,,,,,,,,,,,,,,,,,,,,,,,,,,,,,,,,,,,,,,,,,,,,,,,,,,,,,,,,,,,,,,,,,,,,,,,,,,,,,,,,,,,,,,,,,,,,,,,,,,,,,,,,,,,,,,,,,,,,,,,,,,,,,,,,,,,,,,,,,,,,,,,,,,,,,,,,,,,,,,,,,,,,,,,,,,,,,,,,,,,,,,,,,,,,,,,,,,,,,,,,,,,,,,,,,,,,,,,,,,,,,,,,,,,,,,,,,,,,,,,,,,,,,,,,,,,,,,,,,,,,,,,,,,,,,,,,,,,,,,,,,,,,,,,,,,,,,,,,,,,,,,,,,,,,,,,,,,,,,,,,,,,,,,,,,,,,,,,,,,,,,,,,,,,,,,,,,,,,,,,,,,,,,,,,,,,,,,,,,,,,,,,,,,,,,,,,,,,,,,,,,,,,,,,,,,,,,,,,,,,,,,,,,,,,,,,,,,,,,,,,,,,,,,,,,,,,,,,,,,,,,,,,,,,,,,,,,,,,,,,,,,,,,,,,,,,,,,,,,,,,,,,,,,,,,,,,,,,,,,,,,,,,,,,,,,,,,,,,,,,,,,,,,,,,,,,,,,,,,,,,,,,,,,,,,,,,,,,,,,,,,,,,,,,,,,,,,,,,,,,,,,,,,,,,,,,,,,,,,,,,,,,,,,,,,,,,,,,,,,,,,,,,,,,,,,,,,,,,,,,,,,,,,,,,,,,,,,,,,,,,,,,,,,,,,,,,,,,,,,,,,,,,,,,,,,,,,,,,,,,,,,,,,,,,,,,,,,,,,,,,,,,,,,,,,,,,,,,,,,,,,,,,,,,,,,,,,,,,,,,,,,,,,,,,,,,,,,,,,,,,,,,,,,,,,,,,,,,,,,,,,,,,,,,,,,,,,,,,,,,,,,,,,,,,,,,,,,,,,,,,,,,,,,,,,,,,,,,,,,,,,,,,,,,,,,,,,,,,,,,,,,,,,,,,,,,,,,,,,,,,,,,,,,,,,,,,,,,,,,,,,,,,,,,,,,,,,,,,,,,,,,,,,,,,,,,,,,,,,,,,,,,,,,,,,,,,,,,,,,,,,,,,,,,,,,,,,,,,,,,,,,,,,,,,,,,,,,,,,,,,,,,,,,,,,,,,,,,,,,,,,,,,,,,,,,,,,,,,,,,,,,,,,,,,,,,,,,,,,,,,,,,,,,,,,,,,,,,,,,,,,,,,,,,,,,,,,,,,,,,,,,,,,,,,,,,,,,,,,,,,,,,,,,,,,,,,,,,,,,,,,,,,,,,,,,,,,,,,,,,,,,,,,,,,,,,,,,,,,,,,,,,,,,,,,,,,,,,,,,,,,,,,,,,,,,,,,,,,,,,,,,,,,,,,,,,,,,,,,,,,,,,,,,,,,,,,,,,,,,,,,,,,,,,,,,,,,,,,,,,,,,,,,,,,,,,,,,,,,,,,,,,,,,,,,,,,,,,,,,,,,,,,,,,,,,,,,,,,,,,,,,,,,,,,,,,,,,,,,,,,,,,,,,,,,,,,,,,,,,,,,,,,,,,,,,,,,,,,,,,,,,,,,,,,,,,,,,,,,,,,,,,,,,,,,,,,,,,,,,,,,,,,,,,,,,,,,,,,,,,,,,,,,,,,,,,,,,,,,,,,,,,,,,,,,,,,,,,,,,,,,,,,,,,,,,,,,,,,,,,,,,,,,,,,,,,,,,,,,,,,,,,,,,,,,,,,,,,,,,,,,,,,,,,,,,,,,,,,,,,,,,,,,,,,,,,,,,,,,,,,,,,,,,,,,,,,,,,,,,,,,,,,,,,,,,,,,,,,,,,,,,,,,,,,,,,,,,,,,,,,,,,,,,,,,,,,,,,,,,,,,,,,,,,,,,,,,,,,,,,,,,,,,,,,,,,,,,,,,,,,,,,,,,,,,,,,,,,,,,,,,,,,,,,,,,,,,,,,,,,,,,,,,,,,,,,,,,,,,,,,,,,,,,,,,,,,,,,,,,,,,,,,,,,,,,,,,,,,,,,,,,,,,,,,,,,,,,,,,,,,,,,,,,,,,,,,,,,,,,,,,,,,,,,,,,,,,,,,,,,,,,,,,,,,,,,,,,,,,,,,,,,,,,,,,,,,,,,,,,,,,,,,,,,,,,,,,,,,,,,,,,,,,,,,,,,,,,,,,,,,,,,,,,,,,,,,,,,,,,,,,,,,,,,,,,,,,,,,,,,,,,,,,,,,,,,,,,,,,,,,,,,,,,,,,,,,,,,,,,,,,,,,,,,,,,,,,,,,,,,,,,,,,,,,,,,,,,,,,,,,,,,,,,,,,,,,,,,,,,,,,,,,,,,,,,,,,,,,,,,,,,,,,,,,,,,,,,,,,,,,,,,,,,,,,,,,,,,,,,,,,,,,,,,,,,,,,,,,,,,,,,,,,,,,,,,,,,,,,,,,,,,,,,,,,,,,,,,,,,,,,,,,,,,,,,,,,,,,,,,,,,,,,,,,,,,,,,,,,,,,,,,,,,,,,,,,,,,,,,,,,,,,,,,,,,,,,,,,,,,,,,,,,,,,,,,,,,,,,,,,,,,,,,,,,,,,,,,,,,,,,,,,,,,,,,,,,,,,,,,,,,,,,,,,,,,,,,,,,,,,,,,,,,,,,,,,,,,,,,,,,,,,,,,,,,,,,,,,,,,,,,,,,,,,,,,,,,,,,,,,,,,,,,,,,,,,,,,,,,,,,,,,,,,,,,,,,,,,,,,,,,,,,,,,,,,,,,,,,,,,,,,,,,,,,,,,,,,,,,,,,,,,,,,,,,,,,,,,,,,,,,,,,,,,,,,,,,,,,,,,,,,,,,,,,,,,,,,,,,,,,,,,,,,,,,,,,,,,,,,,,,,,,,,,,,,,,,,,,,,,,,,,,,,,,,,,,,,,,,,,,,,,,,,,,,,,,,,,,,,,,,,,,,,,,,,,,,,,,,,,,,,,,,,,,,,,,,,,,,,,,,,,,,,,,,,,,,,,,,,,,,,,,,,,,,,,,,,,,,,,,,,,,,,,,,,,,,,,,,,,,,,,,,,,,,,,,,,,,,,,,,,,,,,,,,,,,,,,,,,,,,,,,,,,,,,,,,,,,,,,,,,,,,,,,,,,,,,,,,,,,,,,,,,,,,,,,,,,,,,,,,,,,,,,,,,,,,,,,,,,,,,,,,,,,,,,,,,,,,,,,,,,,,,,,,,,,,,,,,,,,,,,,,,,,,,,,,,,,,,,,,,,,,,,,,,,,,,,,,,,,,,,,,,,,,,,,,,,,,,,,,,,,,,,,,,,,,,,,,,,,,,,,,,,,,,,,,,,,,,,,,,,,,,,,,,,,,,,,,,,,,,,,,,,,,,,,,,,,,,,,,,,,,,,,,,,,,,,,,,,,,,,,,,,,,,,,,,,,,,,,,,,,,,,,,,,,,,,,,,,,,,,,,,,,,,,,,,,,,,,,,,,,,,,,,,,,,,,,,,,,,,,,,,,,,,,,,,,,,,,,,,,,,,,,,,,,,,,,,,,,,,,,,,,,,,,,,,,,,,,,,,,,,,,,,,,,,,,,,,,,,,,,,,,,,,,,,,,,,,,,,,,,,,,,,,,,,,,,,,,,,,,,,,,,,,,,,,,,,,,,,,,,,,,,,,,,,,,,,,,,,,,,,,,,,,,,,,,,,,,,,,,,,,,,,,,,,,,,,,,,,,,,,,,,,,,,,,,,,,,,,,,,,,,,,,,,,,,,,,,,,,,,,,,,,,,,,,,,,,,,,,,,,,,,,,,,,,,,,,,,,,,,,,,,,,,,,,,,,,,,,,,,,,,,,,,,,,,,,,,,,,,,,,,,,,,,,,,,,,,,,,,,,,,,,,,,,,,,,,,,,,,,,,,,,,,,,,,,,,,,,,,,,,,,,,,,,,,,,,,,,,,,,,,,,,,,,,,,,,,,,,,,,,,,,,,,,,,,,,,,,,,,,,,,,,,,,,,,,,,,,,,,,,,,,,,,,,,,,,,,,,,,,,,,,,,,,,,,,,,,,,,,,,,,,,,,,,,,,,,,,,,,,,,,,,,,,,,,,,,,,,,,,,,,,,,,,,,,,,,,,,,,,,,,,,,,,,,,,,,,,,,,,,,,,,,,,,,,,,,,,,,,,,,,,,,,,,,,,,,,,,,,,,,,,,,,,,,,,,,,,,,,,,,,,,,,,,,,,,,,,,,,,,,,,,,,,,,,,,,,,,,,,,,,,,,,,,,,,,,,,,,,,,,,,,,,,,,,,,,,,,,,,,,,,,,,,,,,,,,,,,,,,,,,,,,,,,,,,,,,,,,,,,,,,,,,,,,,,,,,,,,,,,,,,,,,,,,,,,,,,,,,,,,,,,,,,,,,,,,,,,,,,,,,,,,,,,,,,,,,,,,,,,,,,,,,,,,,,,,,,,,,,,,,,,,,,,,,,,,,,,,,,,,,,,,,,,,,,,,,,,,,,,,,,,,,,,,,,,,,,,,,,,,,,,,,,,,,,,,,,,,,,,,,,,,,,,,,,,,,,,,,,,,,,,,,,,,,,,,,,,,,,,,,,,,,,,,,,,,,,,,,,,,,,,,,,,,,,,,,,,,,,,,,,,,,,,,,,,,,,,,,,,,,,,,,,,,,,,,,,,,,,,,,,,,,,,,,,,,,,,,,,,,,,,,,,,,,,,,,,,,,,,,,,,,,,,,,,,,,,,,,,,,,,,,,,,,,,,,,,,,,,,,,,,,,,,,,,,,,,,,,,,,,,,,,,,,,,,,,,,,,,,,,,,,,,,,,,,,,,,,,,,,,,,,,,,,,,,,,,,,,,,,,,,,,,,,,,,,,,,,,,,,,,,,,,,,,,,,,,,,,,,,,,,,,,,,,,,,,,,,,,,,,,,,,,,,,,,,,,,,,,,,,,,,,,,,,,,,,,,,,,,,,,,,,,,,,,,,,,,,,,,,,,,,,,,,,,,,,,,,,,,,,,,,,,,,,,,,,,,,,,,,,,,,,,,,,,,,,,,,,,,,,,,,,,,,,,,,,,,,,,,,,,,,,,,,,,,,,,,,,,,,,,,,,,,,,,,,,,,,,,,,,,,,,,,,,,,,,,,,,,,,,,,,,,,,,,,,,,,,,,,,,,,,,,,,,,,,,,,,,,,,,,,,,,,,,,,,,,,,,,,,,,,,,,,,,,,,,,,,,,,,,,,,,,,,,,,,,,,,,,,,,,,,,,,,,,,,,,,,,,,,,,,,,,,,,,,,,,,,,,,,,,,,,,,,,,,,,,,,,,,,,,,,,,,,,,,,,,,,,,,,,,,,,,,,,,,,,,,,,,,,,,,,,,,,,,,,,,,,,,,,,,,,,,,,,,,,,,,,,,,,,,,,,,,,,,,,,,,,,,,,,,,,,,,,,,,,,,,,,,,,,,,,,,,,,,,,,,,,,,,,,,,,,,,,,,,,,,,,,,,,,,,,,,,,,,,,,,,,,,,,,,,,,,,,,,,,,,,,,,,,,,,,,,,,,,,,,,,,,,,,,,,,,,,,,,,,,,,,,,,,,,,,,,,,,,,,,,,,,,,,,,,,,,,,,,,,,,,,,,,,,,,,,,,,,,,,,,,,,,,,,,,,,,,,,,,,,,,,,,,,,,,,,,,,,,,,,,,,,,,,,,,,,,,,,,,,,,,,,,,,,,,,,,,,,,,,,,,,,,,,,,,,,,,,,,,,,,,,,,,,,,,,,,,,,,,,,,,,,,,,,,,,,,,,,,,,,,,,,,,,,,,,,,,,,,,,,,,,,,,,,,,,,,,,,,,,,,,,,,,,,,,,,,,,,,,,,,,,,,,,,,,,,,,,,,,,,,,,,,,,,,,,,,,,,,,,,,,,,,,,,,,,,,,,,,,,,,,,,,,,,,,,,,,,,,,,,,,,,,,,,,,,,,,,,,,,,,,,,,,,,,,,,,,,,,,,,,,,,,,,,,,,,,,,,,,,,,,,,,,,,,,,,,,,,,,,,,,,,,,,,,,,,,,,,,,,,,,,,,,,,,,,,,,,,,,,,,,,,,,,,,,,,,,,,,,,,,,,,,,,,,,,,,,,,,,,,,,,,,,,,,,,,,,,,,,,,,,,,,,,,,,,,,,,,,,,,,,,,,,,,,,,,,,,,,,,,,,,,,,,,,,,,,,,,,,,,,,,,,,,,,,,,,,,,,,,,,,,,,,,,,,,,,,,,,,,,,,,,,,,,,,,,,,,,,,,,,,,,,,,,,,,,,,,,,,,,,,,,,,,,,,,,,,,,,,,,,,,,,,,,,,,,,,,,,,,,,,,,,,,,,,,,,,,,,,,,,,,,,,,,,,,,,,,,,,,,,,,,,,,,,,,,,,,,,,,,,,,,,,,,,,,,,,,,,,,,,,,,,,,,,,,,,,,,,,,,,,,,,,,,,,,,,,,,,,,,,,,,,,,,,,,,,,,,,,,,,,,,,,,,,,,,,,,,,,,,,,,,,,,,,,,,,,,,,,,,,,,,,,,,,,,,,,,,,,,,,,,,,,,,,,,,,,,,,,,,,,,,,,,,,,,,,,,,,,,,,,,,,,,,,,,,,,,,,,,,,,,,,,,,,,,,,,,,,,,,,,,,,,,,,,,,,,,,,,,,,,,,,,,,,,,,,,,,,,,,,,,,,,,,,,,,,,,,,,,,,,,,,,,,,,,,,,,,,,,,,,,,,,,,,,,,,,,,,,,,,,,,,,,,,,,,,,,,,,,,,,,,,,,,,,,,,,,,,,,,,,,,,,,,,,,,,,,,,,,,,,,,,,,,,,,,,,,,,,,,,,,,,,,,,,,,,,,,,,,,,,,,,,,,,,,,,,,,,,,,,,,,,,,,,,,,,,,,,,,,,,,,,,,,,,,,,,,,,,,,,,,,,,,,,,,,,,,,,,,,,,,,,,,,,,,,,,,,,,,,,,,,,,,,,,,,,,,,,,,,,,,,,,,,,,,,,,,,,,,,,,,,,,,,,,,,,,,,,,,,,,,,,,,,,,,,,,,,,,,,,,,,,,,,,,,,,,,,,,,,,,,,,,,,,,,,,,,,,,,,,,,,,,,,,,,,,,,,,,,,,,,,,,,,,,,,,,,,,,,,,,,,,,,,,,,,,,,,,,,,,,,,,,,,,,,,,,,,,,,,,,,,,,,,,,,,,,,,,,,,,,,,,,,,,,,,,,,,,,,,,,,,,,,,,,,,,,,,,,,,,,,,,,,,,,,,,,,,,,,,,,,,,,,,,,,,,,,,,,,,,,,,,,,,,,,,,,,,,,,,,,,,,,,,,,,,,,,,,,,,,,,,,,,,,,,,,,,,,,,,,,,,,,,,,,,,,,,,,,,,,,,,,,,,,,,,,,,,,,,,,,,,,,,,,,,,,,,,,,,,,,,,,,,,,,,,,,,,,,,,,,,,,,,,,,,,,,,,,,,,,,,,,,,,,,,,,,,,,,,,,,,,,,,,,,,,,,,,,,,,,,,,,,,,,,,,,,,,,,,,,,,,,,,,,,,,,,,,,,,,,,,,,,,,,,,,,,,,,,,,,,,,,,,,,,,,,,,,,,,,,,,,,,,,,,,,,,,,,,,,,,,,,,,,,,,,,,,,,,,,,,,,,,,,,,,,,,,,,,,,,,,,,,,,,,,,,,,,,,,,,,,,,,,,,,,,,,,,,,,,,,,,,,,,,,,,,,,,,,,,,,,,,,,,,,,,,,,,,,,,,,,,,,,,,,,,,,,,,,,,,,,,,,,,,,,,,,,,,,,,,,,,,,,,,,,,,,,,,,,,,,,,,,,,,,,,,,,,,,,,,,,,,,,,,,,,,,,,,,,,,,,,,,,,,,,,,,,,,,,,,,,,,,,,,,,,,,,,,,,,,,,,,,,,,,,,,,,,,,,,,,,,,,,,,,,,,,,,,,,,,,,,,,,,,,,,,,,,,,,,,,,,,,,,,,,,,,,,,,,,,,,,,,,,,,,,,,,,,,,,,,,,,,,,,,,,,,,,,,,,,,,,,,,,,,,,,,,,,,,,,,,,,,,,,,,,,,,,,,,,,,,,,,,,,,,,,,,,,,,,,,,,,,,,,,,,,,,,,,,,,,,,,,,,,,,,,,,,,,,,,,,,,,,,,,,,,,,,,,,,,,,,,,,,,,,,,,,,,,,,,,,,,,,,,,,,,,,,,,,,,,,,,,,,,,,,,,,,,,,,,,,,,,,,,,,,,,,,,,,,,,,,,,,,,,,,,,,,,,,,,,,,,,,,,,,,,,,,,,,,,,,,,,,,,,,,,,,,,,,,,,,,,,,,,,,,,,,,,,,,,,,,,,,,,,,,,,,,,,,,,,,,,,,,,,,,,,,,,,,,,,,,,,,,,,,,,,,,,,,,,,,,,,,,,,,,,,,,,,,,,,,,,,,,,,,,,,,,,,,,,,,,,,,,,,,,,,,,,,,,,,,,,,,,,,,,,,,,,,,,,,,,,,,,,,,,,,,,,,,,,,,,,,,,,,,,,,,,,,,,,,,,,,,,,,,,,,,,,,,,,,,,,,,,,,,,,,,,,,,,,,,,,,,,,,,,,,,,,,,,,,,,,,,,,,,,,,,,,,,,,,,,,,,,,,,,,,,,,,,,,,,,,,,,,,,,,,,,,,,,,,,,,,,,,,,,,,,,,,,,,,,,,,,,,,,,,,,,,,,,,,,,,,,,,,,,,,,,,,,,,,,,,,,,,,,,,,,,,,,,,,,,,,,,,,,,,,,,,,,,,,,,,,,,,,,,,,,,,,,,,,,,,,,,,,,,,,,,,,,,,,,,,,,,,,,,,,,,,,,,,,,,,,,,,,,,,,,,,,,,,,,,,,,,,,,,,,,,,,,,,,,,,,,,,,,,,,,,,,,,,,,,,,,,,,,,,,,,,,,,,,,,,,,,,,,,,,,,,,,,,,,,,,,,,,,,,,,,,,,,,,,,,,,,,,,,,,,,,,,,,,,,,,,,,,,,,,,,,,,,,,,,,,,,,,,,,,,,,,,,,,,,,,,,,,,,,,,,,,,,,,,,,,,,,,,,,,,,,,,,,,,,,,,,,,,,,,,,,,,,,,,,,,,,,,,,,,,,,,,,,,,,,,,,,,,,,,,,,,,,,,,,,,,,,,,,,,,,,,,,,,,,,,,,,,,,,,,,,,,,,,,,,,,,,,,,,,,,,,,,,,,,,,,,,,,,,,,,,,,,,,,,,,,,,,,,,,,,,,,,,,,,,,,,,,,,,,,,,,,,,,,,,,,,,,,,,,,,,,,,,,,,,,,,,,,,,,,,,,,,,,,,,,,,,,,,,,,,,,,,,,,,,,,,,,,,,,,,,,,,,,,,,,,,,,,,,,,,,,,,,,,,,,,,,,,,,,,,,,,,,,,,,,,,,,,,,,,,,,,,,,,,,,,,,,,,,,,,,,,,,,,,,,,,,,,,,,,,,,,,,,,,,,,,,,,,,,,,,,,,,,,,,,,,,,,,,,,,,,,,,,,,,,,,,,,,,,,,,,,,,,,,,,,,,,,,,,,,,,,,,,,,,,,,,,,,,,,,,,,,,,,,,,,,,,,,,,,,,,,,,,,,,,,,,,,,,,,,,,,,,,,,,,,,,,,,,,,,,,,,,,,,,,,,,,,,,,,,,,,,,,,,,,,,,,,,,,,,,,,,,,,,,,,,,,,,,,,,,,,,,,,,,,,,,,,,,,,,,,,,,,,,,,,,,,,,,,,,,,,,,,,,,,,,,,,,,,,,,,,,,,,,,,,,,,,,,,,,,,,,,,,,,,,,,,,,,,,,,,,,,,,,,,,,,,,,,,,,,,,,,,,,,,,,,,,,,,,,,,,,,,,,,,,,,,,,,,,,,,,,,,,,,,,,,,,,,,,,,,,,,,,,,,,,,,,,,,,,,,,,,,,,,,,,,,,,,,,,,,,,,,,,,,,,,,,,,,,,,,,,,,,,,,,,,,,,,,,,,,,,,,,,,,,,,,,,,,,,,,,,,,,,,,,,,,,,,,,,,,,,,,,,,,,,,,,,,,,,,,,,,,,,,,,,,,,,,,,,,,,,,,,,,,,,,,,,,,,,,,,,,,,,,,,,,,,,,,,,,,,,,,,,,,,,,,,,,,,,,,,,,,,,,,,,,,,,,,,,,,,,,,,,,,,,,,,,,,,,,,,,,,,,,,,,,,,,,,,,,,,,,,,,,,,,,,,,,,,,,,,,,,,,,,,,,,,,,,,,,,,,,,,,,,,,,,,,,,,,,,,,,,,,,,,,,,,,,,,,,,,,,,,,,,,,,,,,,,,,,,,,,,,,,,,,,,,,,,,,,,,,,,,,,,,,,,,,,,,,,,,,,,,,,,,,,,,,,,,,,,,,,,,,,,,,,,,,,,,,,,,,,,,,,,,,,,,,,,,,,,,,,,,,,,,,,,,,,,,,,,,,,,,,,,,,,,,,,,,,,,,,,,,,,,,,,,,,,,,,,,,,,,,,,,,,,,,,,,,,,,,,,,,,,,,,,,,,,,,,,,,,,,,,,,,,,,,,,,,,,,,,,,,,,,,,,,,,,,,,,,,,,,,,,,,,,,,,,,,,,,,,,,,,,,,,,,,,,,,,,,,,,,,,,,,,,,,,,,,,,,,,,,,,,,,,,,,,,,,,,,,,,,,,,,,,,,,,,,,,,,,,,,,,,,,,,,,,,,,,,,,,,,,,,,,,,,,,,,,,,,,,,,,,,,,,,,,,,,,,,,,,,,,,,,,,,,,,,,,,,,,,,,,,,,,,,,,,,,,,,,,,,,,,,,,,,,,,,,,,,,,,,,,,,,,,,,,,,,,,,,,,,,,,,,,,,,,,,,,,,,,,,,,,,,,,,,,,,,,,,,,,,,,,,,,,,,,,,,,,,,,,,,,,,,,,,,,,,,,,,,,,,,,,,,,,,,,,,,,,,,,,,,,,,,,,,,,,,,,,,,,,,,,,,,,,,,,,,,,,,,,,,,,,,,,,,,,,,,,,,,,,,,,,,,,,,,,,,,,,,,,,,,,,,,,,,,,,,,,,,,,,,,,,,,,,,,,,,,,,,,,,,,,,,,,,,,,,,,,,,,,,,,,,,,,,,,,,,,,,,,,,,,,,,,,,,,,,,,,,,,,,,,,,,,,,,,,,,,,,,,,,,,,,,,,,,,,,,,,,,,,,,,,,,,,,,,,,,,,,,,,,,,,,,,,,,,,,,,,,,,,,,,,,,,,,,,,,,,,,,,,,,,,,,,,,,,,,,,,,,,,,,,,,,,,,,,,,,,,,,,,,,,,,,,,,,,,,,,,,,,,,,,,,,,,,,,,,,,,,,,,,,,,,,,,,,,,,,,,,,,,,,,,,,,,,,,,,,,,,,,,,,,,,,,,,,,,,,,,,,,,,,,,,,,,,,,,,,,,,,,,,,,,,,,,,,,,,,,,,,,,,,,,,,,,,,,,,,,,,,,,,,,,,,,,,,,,,,,,,,,,,,,,,,,,,,,,,,,,,,,,,,,,,,,,,,,,,,,,,,,,,,,,,,,,,,,,,,,,,,,,,,,,,,,,,,,,,,,,,,,,,,,,,,,,,,,,,,,,,,,,,,,,,,,,,,,,,,,,,,,,,,,,,,,,,,,,,,,,,,,,,,,,,,,,,,,,,,,,,,,,,,,,,,,,,,,,,,,,,,,,,,,,,,,,,,,,,,,,,,,,,,,,,,,,,,,,,,,,,,,,,,,,,,,,,,,,,,,,,,,,,,,,,,,,,,,,,,,,,,,,,,,,,,,,,,,,,,,,,,,,,,,,,,,,,,,,,,,,,,,,,,,,,}",
                    "MostRecentExpectedUnitErrors": null,
                    "Units": {
                      "$id": "290",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flight Opex nominal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9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92",
                          "$type": "ModelMaker.DimensionedArrayValues, ModelMaker",
                          "Elements": {
                            "$type": "ModelMakerEngine.MMElements, ModelMakerEngine",
                            "$values": []
                          },
                          "Values": {
                            "$type": "System.Collections.Generic.List`1[[System.Object, mscorlib]], mscorlib",
                            "$values": [
                              null,
                              27707.045039804441,
                              28258.162363535132,
                              20634.412831333466,
                              27559.880691734215,
                              19519.2174146078,
                              24905.147120237951,
                              19346.646377899735,
                              24537.313538554725,
                              20128.250891566888,
                              20530.815909398225,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27b2cedd-d82f-4d1c-b09b-300805f0d890",
                    "Dimensions": {
                      "$type": "ModelMakerEngine.MMDimensions, ModelMakerEngine",
                      "$values": []
                    },
                    "EquationOBXInternal": "{,27707.0450398044,28258.1623635351,20634.4128313335,27559.8806917342,19519.2174146078,24905.147120238,19346.6463778997,24537.3135385547,20128.2508915669,20530.8159093982,,,,,,,,,,,,,,,,,,,,,,,,,,,,,,,,,,,,,,,,,,,,,,,,,,,,,,,,,,,,,,,,,,,,,,,,,,,,,,,,,,,,,,,,,,,,,,,,,,,,,,,,,,,,,,,,,,,,,,,,,,,,,,,,,,,,,,,,,,,,,,,,,,,,,,,,,,,,,,,,,,,,,,,,,,,,,,,,,,,,,,,,,,,,,,,,,,,,,,,,,,,,,,,,,,,,,,,,,,,,,,,,,,,,,,,,,,,,,,,,,,,,,,,,,,,,,,,,,,,,,,,,,,,,,,,,,,,,,,,,,,,,,,,,,,,,,,,,,,,,,,,,,,,,,,,,,,,,,,,,,,,,,,,,,,,,,,,,,,,,,,,,,,,,,,,,,,,,,,,,,,,,,,,,,,,,,,,,,,,,,,,,,,,,,,,,,,,,,,,,,,,,,,,,,,,,,,,,,,,,,,,,,,,,,,,,,,,,,,,,,,,,,,,,,,,,,,,,,,,,,,,,,,,,,,,,,,,,,,,,,,,,,,,,,,,,,,,,,,,,,,,,,,,,,,,,,,,,,,,,,,,,,,,,,,,,,,,,,,,,,,,,,,,,,,,,,,,,,,,,,,,,,,,,,,,,,,,,,,,,,,,,,,,,,,,,,,,,,,,,,,,,,,,,,,,,,,,,,,,,,,,,,,,,,,,,,,,,,,,,,,,,,,,,,,,,,,,,,,,,,,,,,,,,,,,,,,,,,,,,,,,,,,,,,,,,,,,,,,,,,,,,,,,,,,,,,,,,,,,,,,,,,,,,,,,,,,,,,,,,,,,,,,,,,,,,,,,,,,,,,,,,,,,,,,,,,,,,,,,,,,,,,,,,,,,,,,,,,,,,,,,,,,,,,,,,,,,,,,,,,,,,,,,,,,,,,,,,,,,,,,,,,,,,,,,,,,,,,,,,,,,,,,,,,,,,,,,,,,,,,,,,,,,,,,,,,,,,,,,,,,,,,,,,,,,,,,,,,,,,,,,,,,,,,,,,,,,,,,,,,,,,,,,,,,,,,,,,,,,,,,,,,,,,,,,,,,,,,,,,,,,,,,,,,,,,,,,,,,,,,,,,,,,,,,,,,,,,,,,,,,,,,,,,,,,,,,,,,,,,,,,,,,,,,,,,,,,,,,,,,,,,,,,,,,,,,,,,,,,,,,,,,,,,,,,,,,,,,,,,,,,,,,,,,,,,,,,,,,,,,,,,,,,,,,,,,,,,,,,,,,,,,,,,,,,,,,,,,,,,,,,,,,,,,,,,,,,,,,,,,,,,,,,,,,,,,,,,,,,,,,,,,,,,,,,,,,,,,,,,,,,,,,,,,,,,,,,,,,,,,,,,,,,,,,,,,,,,,,,,,,,,,,,,,,,,,,,,,,,,,,,,,,,,,,,,,,,,,,,,,,,,,,,,,,,,,,,,,,,,,,,,,,,,,,,,,,,,,,,,,,,,,,,,,,,,,,,,,,,,,,,,,,,,,,,,,,,,,,,,,,,,,,,,,,,,,,,,,,,,,,,,,,,,,,,,,,,,,,,,,,,,,,,,,,,,,,,,,,,,,,,,,,,,,,,,,,,,,,,,,,,,,,,,,,,,,,,,,,,,,,,,,,,,,,,,,,,,,,,,,,,,,,,,,,,,,,,,,,,,,,,,,,,,,,,,,,,,,,,,,,,,,,,,,,,,,,,,,,,,,,,,,,,,,,,,,,,,,,,,,,,,,,,,,,,,,,,,,,,,,,,,,,,,,,,,,,,,,,,,,,,,,,,,,,,,,,,,,,,,,,,,,,,,,,,,,,,,,,,,,,,,,,,,,,,,,,,,,,,,,,,,,,,,,,,,,,,,,,,,,,,,,,,,,,,,,,,,,,,,,,,,,,,,,,,,,,,,,,,,,,,,,,,,,,,,,,,,,,,,,,,,,,,,,,,,,,,,,,,,,,,,,,,,,,,,,,,,,,,,,,,,,,,,,,,,,,,,,,,,,,,,,,,,,,,,,,,,,,,,,,,,,,,,,,,,,,,,,,,,,,,,,,,,,,,,,,,,,,,,,,,,,,,,,,,,,,,,,,,,,,,,,,,,,,,,,,,,,,,,,,,,,,,,,,,,,,,,,,,,,,,,,,,,,,,,,,,,,,,,,,,,,,,,,,,,,,,,,,,,,,,,,,,,,,,,,,,,,,,,,,,,,,,,,,,,,,,,,,,,,,,,,,,,,,,,,,,,,,,,,,,,,,,,,,,,,,,,,,,,,,,,,,,,,,,,,,,,,,,,,,,,,,,,,,,,,,,,,,,,,,,,,,,,,,,,,,,,,,,,,,,,,,,,,,,,,,,,,,,,,,,,,,,,,,,,,,,,,,,,,,,,,,,,,,,,,,,,,,,,,,,,,,,,,,,,,,,,,,,,,,,,,,,,,,,,,,,,,,,,,,,,,,,,,,,,,,,,,,,,,,,,,,,,,,,,,,,,,,,,,,,,,,,,,,,,,,,,,,,,,,,,,,,,,,,,,,,,,,,,,,,,,,,,,,,,,,,,,,,,,,,,,,,,,,,,,,,,,,,,,,,,,,,,,,,,,,,,,,,,,,,,,,,,,,,,,,,,,,,,,,,,,,,,,,,,,,,,,,,,,,,,,,,,,,,,,,,,,,,,,,,,,,,,,,,,,,,,,,,,,,,,,,,,,,,,,,,,,,,,,,,,,,,,,,,,,,,,,,,,,,,,,,,,,,,,,,,,,,,,,,,,,,,,,,,,,,,,,,,,,,,,,,,,,,,,,,,,,,,,,,,,,,,,,,,,,,,,,,,,,,,,,,,,,,,,,,,,,,,,,,,,,,,,,,,,,,,,,,,,,,,,,,,,,,,,,,,,,,,,,,,,,,,,,,,,,,,,,,,,,,,,,,,,,,,,,,,,,,,,,,,,,,,,,,,,,,,,,,,,,,,,,,,,,,,,,,,,,,,,,,,,,,,,,,,,,,,,,,,,,,,,,,,,,,,,,,,,,,,,,,,,,,,,,,,,,,,,,,,,,,,,,,,,,,,,,,,,,,,,,,,,,,,,,,,,,,,,,,,,,,,,,,,,,,,,,,,,,,,,,,,,,,,,,,,,,,,,,,,,,,,,,,,,,,,,,,,,,,,,,,,,,,,,,,,,,,,,,,,,,,,,,,,,,,,,,,,,,,,,,,,,,,,,,,,,,,,,,,,,,,,,,,,,,,,,,,,,,,,,,,,,,,,,,,,,,,,,,,,,,,,,,,,,,,,,,,,,,,,,,,,,,,,,,,,,,,,,,,,,,,,,,,,,,,,,,,,,,,,,,,,,,,,,,,,,,,,,,,,,,,,,,,,,,,,,,,,,,,,,,,,,,,,,,,,,,,,,,,,,,,,,,,,,,,,,,,,,,,,,,,,,,,,,,,,,,,,,,,,,,,,,,,,,,,,,,,,,,,,,,,,,,,,,,,,,,,,,,,,,,,,,,,,,,,,,,,,,,,,,,,,,,,,,,,,,,,,,,,,,,,,,,,,,,,,,,,,,,,,,,,,,,,,,,,,,,,,,,,,,,,,,,,,,,,,,,,,,,,,,,,,,,,,,,,,,,,,,,,,,,,,,,,,,,,,,,,,,,,,,,,,,,,,,,,,,,,,,,,,,,,,,,,,,,,,,,,,,,,,,,,,,,,,,,,,,,,,,,,,,,,,,,,,,,,,,,,,,,,,,,,,,,,,,,,,,,,,,,,,,,,,,,,,,,,,,,,,,,,,,,,,,,,,,,,,,,,,,,,,,,,,,,,,,,,,,,,,,,,,,,,,,,,,,,,,,,,,,,,,,,,,,,,,,,,,,,,,,,,,,,,,,,,,,,,,,,,,,,,,,,,,,,,,,,,,,,,,,,,,,,,,,,,,,,,,,,,,,,,,,,,,,,,,,,,,,,,,,,,,,,,,,,,,,,,,,,,,,,,,,,,,,,,,,,,,,,,,,,,,,,,,,,,,,,,,,,,,,,,,,,,,,,,,,,,,,,,,,,,,,,,,,,,,,,,,,,,,,,,,,,,,,,,,,,,,,,,,,,,,,,,,,,,,,,,,,,,,,,,,,,,,,,,,,,,,,,,,,,,,,,,,,,,,,,,,,,,,,,,,,,,,,,,,,,,,,,,,,,,,,,,,,,,,,,,,,,,,,,,,,,,,,,,,,,,,,,,,,,,,,,,,,,,,,,,,,,,,,,,,,,,,,,,,,,,,,,,,,,,,,,,,,,,,,,,,,,,,,,,,,,,,,,,,,,,,,,,,,,,,,,,,,,,,,,,,,,,,,,,,,,,,,,,,,,,,,,,,,,,,,,,,,,,,,,,,,,,,,,,,,,,,,,,,,,,,,,,,,,,,,,,,,,,,,,,,,,,,,,,,,,,,,,,,,,,,,,,,,,,,,,,,,,,,,,,,,,,,,,,,,,,,,,,,,,,,,,,,,,,,,,,,,,,,,,,,,,,,,,,,,,,,,,,,,,,,,,,,,,,,,,,,,,,,,,,,,,,,,,,,,,,,,,,,,,,,,,,,,,,,,,,,,,,,,,,,,,,,,,,,,,,,,,,,,,,,,,,,,,,,,,,,,,,,,,,,,,,,,,,,,,,,,,,,,,,,,,,,,,,,,,,,,,,,,,,,,,,,,,,,,,,,,,,,,,,,,,,,,,,,,,,,,,,,,,,,,,,,,,,,,,,,,,,,,,,,,,,,,,,,,,,,,,,,,,,,,,,,,,,,,,,,,,,,,,,,,,,,,,,,,,,,,,,,,,,,,,,,,,,,,,,,,,,,,,,,,,,,,,,,,,,,,,,,,,,,,,,,,,,,,,,,,,,,,,,,,,,,,,,,,,,,,,,,,,,,,,,,,,,,,,,,,,,,,,,,,,,,,,,,,,,,,,,,,,,,,,,,,,,,,,,,,,,,,,,,,,,,,,,,,,,,,,,,,,,,,,,,,,,,,,,,,,,,,,,,,,,,,,,,,,,,,,,,,,,,,,,,,,,,,,,,,,,,,,,,,,,,,,,,,,,,,,,,,,,,,,,,,,,,,,,,,,,,,,,,,,,,,,,,,,,,,,,,,,,,,,,,,,,,,,,,,,,,,,,,,,,,,,,,,,,,,,,,,,,,,,,,,,,,,,,,,,,,,,,,,,,,,,,,,,,,,,,,,,,,,,,,,,,,,,,,,,,,,,,,,,,,,,,,,,,,,,,,,,,,,,,,,,,,,,,,,,,,,,,,,,,,,,,,,,,,,,,,,,,,,,,,,,,,,,,,,,,,,,,,,,,,,,,,,,,,,,,,,,,,,,,,,,,,,,,,,,,,,,,,,,,,,,,,,,,,,,,,,,,,,,,,,,,,,,,,,,,,,,,,,,,,,,,,,,,,,,,,,,,,,,,,,,,,,,,,,,,,,,,,,,,,,,,,,,,,,,,,,,,,,,,,,,,,,,,,,,,,,,,,,,,,,,,,,,,,,,,,,,,,,,,,,,,,,,,,,,,,,,,,,,,,,,,,,,,,,,,,,,,,,,,,,,,,,,,,,,,,,,,,,,,,,,,,,,,,,,,,,,,,,,,,,,,,,,,,,,,,,,,,,,,,,,,,,,,,,,,,,,,,,,,,,,,,,,,,,,,,,,,,,,,,,,,,,,,,,,,,,,,,,,,,,,,,,,,,,,,,,,,,,,,,,,,,,,,,,,,,,,,,,,,,,,,,,,,,,,,,,,,,,,,,,,,,,,,,,,,,,,,,,,,,,,,,,,,,,,,,,,,,,,,,,,,,,,,,,,,,,,,,,,,,,,,,,,,,,,,,,,,,,,,,,,,,,,,,,,,,,,,,,,,,,,,,,,,,,,,,,,,,,,,,,,,,,,,,,,,,,,,,,,,,,,,,,,,,,,,,,,,,,,,,,,,,,,,,,,,,,,,,,,,,,,,,,,,,,,,,,,,,,,,,,,,,,,,,,,,,,,,,,,,,,,,,,,,,,,,,,,,,,,,,,,,,,,,,,,,,,,,,,,,,,,,,,,,,,,,,,,,,,,,,,,,,,,,,,,,,,,,,,,,,,,,,,,,,,,,,,,,,,,,,,,,,,,,,,,,,,,,,,,,,,,,,,,,,,,,,,,,,,,,,,,,,,,,,,,,,,,,,,,,,,,,,,,,,,,,,,,,,,,,,,,,,,,,,,,,,,,,,,,,,,,,,,,,,,,,,,,,,,,,,,,,,,,,,,,,,,,,,,,,,,,,,,,,,,,,,,,,,,,,,,,,,,,,,,,,,,,,,,,,,,,,,,,,,,,,,,,,,,,,,,,,,,,,,,,,,,,,,,,,,,,,,,,,,,,,,,,,,,,,,,,,,,,,,,,,,,,,,,,,,,,,,,,,,,,,,,,,,,,,,,,,,,,,,,,,,,,,,,,,,,,,,,,,,,,,,,,,,,,,,,,,,,,,,,,,,,,,,,,,,,,,,,,,,,,,,,,,,,,,,,,,,,,,,,,,,,,,,,,,,,,,,,,,,,,,,,,,,,,,,,,,,,,,,,,,,,,,,,,,,,,,,,,,,,,,,,,,,,,,,,,,,,,,,,,,,,,,,,,,,,,,,,,,,,,,,,,,,,,,,,,,,,,,,,,,,,,,,,,,,,,,,,,,,,,,,,,,,,,,,,,,,,,,,,,,,,,,,,,,,,,,,,,,,,,,,,,,,,,,,,,,,,,,,,,,,,,,,,,,,,,,,,,,,,,,,,,,,,,,,,,,,,,,,,,,,,,,,,,,,,,,,,,,,,,,,,,,,,,,,,,,,,,,,,,,,,,,,,,,,,,,,,,,,,,,,,,,,,,,,,,,,,,,,,,,,,,,,,,,,,,,,,,,,,,,,,,,,,,,,,,,,,,,,,,,,,,,,,,,,,,,,,,,,,,,,,,,,,,,,,,,,,,,,,,,,,,,,,,,,,,,,,,,,,,,,,,,,,,,,,,,,,,,,,,,,,,,,,,,,,,,,,,,,,,,,,,,,,,,,,,,,,,,,,,,,,,,,,,,,,,,,,,,,,,,,,,,,,,,,,,,,,,,,,,,,,,,,,,,,,,,,,,,,,,,,,,,,,,,,,,,,,,,,,,,,,,,,,,,,,,,,,,,,,,,,,,,,,,,,,,,,,,,,,,,,,,,,,,,,,,,,,,,,,,,,,,,,,,,,,,,,,,,,,,,,,,,,,,,,,,,,,,,,,,,,,,,,,,,,,,,,,,,,,,,,,,,,,,,,,,,,,,,,,,,,,,,,,,,,,,,,,,,,,,,,,,,,,,,,,,,,,,,,,,,,,,,,,,,,,,,,,,,,,,,,,,,,,,,,,,,,,,,,,,,,,,,,,,,,,,,,,,,,,,,,,,,,,,,,,,,,,,,,,,,,,,,,,,,,,,,,,,,,,,,,,,,,,,,,,,,,,,,,,,,,,,,,,,,,,,,,,,,,,,,,,,,,,,,,,,,,,,,,,,,,,,,,,,,,,,,,,,,,,,,,,,,,,,,,,,,,,,,,,,,,,,,,,,,,,,,,,,,,,,,,,,,,,,,,,,,,,,,,,,,,,,,,,,,,,,,,,,,,,,,,,,,,,,,,,,,,,,,,,,,,,,,,,,,,,,,,,,,,,,,,,,,,,,,,,,,,,,,,,,,,,,,,,,,,,,,,,,,,,,,,,,,,,,,,,,,,,,,,,,,,,,,,,,,,,,,,,,,,,,,,,,,,,,,,,,,,,,,,,,,,,,,,,,,,,,,,,,,,,,,,,,,,,,,,,,,,,,,,,,,,,,,,,,,,,,,,,,,,,,,,,,,,,,,,,,,,,,,,,,,,,,,,,,,,,,,,,,,,,,,,,,,,,,,,,,,,,,,,,,,,,,,,,,,,,,,,,,,,,,,,,,,,,,,,,,,,,,,,,,,,,,,,,,,,,,,,,,,,,,,,,,,,,,,,,,,,,,,,,,,,,,,,,,,,,,,,,,,,,,,,,,,,,,,,,,,,,,,,,,,,,,,,,,,,,,,,,,,,,,,,,,,,,,,,,,,,,,,,,,,,,,,,,,,,,,,,,,,,,,,,,,,,,,,,,,,,,,,,,,,,,,,,,,,,,,,,,,,,,,,,,,,,,,,,,,,,,,,,,,,,,,,,,,,,,,,,,,,,,,,,,,,,,,,,,,,,,,,,,,,,,,,,,,,,,,,,,,,,,,,,,,,,,,,,,,,,,,,,,,,,,,,,,,,,,,,,,,,,,,,,,,,,,,,,,,,,,,,,,,,,,,,,,,,,,,,,,,,,,,,,,,,,,,,,,,,,,,,,,,,,,,,,,,,,,,,,,,,,,,,,,,,,,,,,,,,,,,,,,,,,,,,,,,,,,,,,,,,,,,,,,,,,,,,,,,,,,,,,,,,,,,,,,,,,,,,,,,,,,,,,,,,,,,,,,,,,,,,,,,,,,,,,,,,,,,,,,,,,,,,,,,,,,,,,,,,,,,,,,,,,,,,,,,,,,,,,,,,,,,,,,,,,,,,,,,,,,,,,,,,,,,,,,,,,,,,,,,,,,,,,,,,,,,,,,,,,,,,,,,,,,,,,,,,,,,,,,,,,,,,,,,,,,,,,,,,,,,,,,,,,,,,,,,,,,,,,,,,,,,,,,,,,,,,,,,,,,,,,,,,,,,,,,,,,,,,,,,,,,,,,,,,,,,,,,,,,,,,,,,,,,,,,,,,,,,,,,,,,,,,,,,,,,,,,,,,,,,,,,,,,,,,,,,,,,,,,,,,,,,,,,,,,,,,,,,,,,,,,,,,,,,,,,,,,,,,,,,,,,,,,,,,,,,,,,,,,,,,,,,,,,,,,,,,,,,,,,,,,,,,,,,,,,,,,,,,,,,,,,,,,,,,,,,,,,,,,,,,,,,,,,,,,,,,,,,,,,,,,,,,,,,,,,,,,,,,,,,,,,,,,,,,,,,,,,,,,,,,,,,,,,,,,,,,,,,,,,,,,,,,,,,,,,,,,,,,,,,,,,,,,,,,,,,,,,,,,,,,,,,,,,,,,,,,,,,,,,,,,,,,,,,,,,,,,,,,,,,,,,,,,,,,,,,,,,,,,,,,,,,,,,,,,,,,,,,,,,,,,,,,,,,,,,,,,,,,,,,,,,,,,,,,,,,,,,,,,,,,,,,,,,,,,,,,,,,,,,,,,,,,,,,,,,,,,,,,,,,,,,,,,,,,,,,,,,,,,,,,,,,,,,,,,,,,,,,,,,,,,,,,,,,,,,,,,,,,,,,,,,,,,,,,,,,,,,,,,,,,,,,,,,,,,,,,,,,,,,,,,,,,,,,,,,,,,,,,,,,,,,,,,,,,,,,,,,,,,,,,,,,,,,,,,,,,,,,,,,,,,,,,,,,,,,,,,,,,,,,,,,,,,,,,,,,,,,,,,,,,,,,,,,,,,,,,,,,,,,,,,,,,,,,,,,,,,,,,,,,,,,,,,,,,,,,,,,,,,,,,,,,,,,,,,,,,,,,,,,,,,,,,,,,,,,,,,,,,,,,,,,,,,,,,,,,,,,,,,,,,,,,,,,,,,,,,,,,,,,,,,,,,,,,,,,,,,,,,,,,,,,,,,,,,,,,,,,,,,,,,,,,,,,,,,,,,,,,,,,,,,,,,,,,,,,,,,,,,,,,,,,,,,,,,,,,,,,,,,,,,,,,,,,,,,,,,,,,,,,,,,,,,,,,,,,,,,,,,,,,,,,,,,,,,,,,,,,,,,,,,,,,,,,,,,,,,,,,,,,,,,,,,,,,,,,,,,,,,,,,,,,,,,,,,,,,,,,,,,,,,,,,,,,,,,,,,,,,,,,,,,,,,,,,,,,,,,,,,,,,,,,,,,,,,,,,,,,,,,,,,,,,,,,,,,,,,,,,,,,,,,,,,,,,,,,,,,,,,,,,,,,,,,,,,,,,,,,,,,,,,,,,,,,,,,,,,,,,,,,,,,,,,,,,,,,,,,,,,,,,,,,,,,,,,,,,,,,,,,,,,,,,,,,,,,,,,,,,,,,,,,,,,,,,,,,,,,,,,,,,,,,,,,,,,,,,,,,,,,,,,,,,,,,,,,,,,,,,,,,,,,,,,,,,,,,,,,,,,,,,,,,,,,,,,,,,,,,,,,,,,,,,,,,,,,,,,,,,,,,,,,,,,,,,,,,,,,,,,,,,,,,,,,,,,,,,,,,,,,,,,,,,,,,,,,,,,,,,,,,,,,,,,,,,,,,,,,,,,,,,,,,,,,,,,,,,,,,,,,,,,,,,,,,,,,,,,,,,,,,,,,,,,,,,,,,,,,,,,,,,,,,,,,,,,,,,,,,,,,,,,,,,,,,,,,,,,,,,,,,,,,,,,,,,,,,,,,,,,,,,,,,,,,,,,,,,,,,,,,,,,,,,,,,,,,,,,,,,,,,,,,,,,,,,,,,,,,,,,,,,,,,,,,,,,,,,,,,,,,,,,,,,,,,,,,,,,,,,,,,,,,,,,,,,,,,,,,,,,,,,,,,,,,,,,,,,,,,,,,,,,,,,,,,,,,,,,,,,,,,,,,,,,,,,,,,,,,,,,,,,,,,,,,,,,,,,,,,,,,,,,,,,,,,,,,,,,,,,,,,,,,,,,,,,,,,,,,,,,,,,,,,,,,,,,,,,,,,,,,,,,,,,,,,,,,,,,,,,,,,,,,,,,,,,,,,,,,,,,,,,,,,,,,,,,,,,,,,,,,,,,,,,,,,,,,,,,,,,,,,,,,,,,,,,,,,,,,,,,,,,,,,,,,,,,,,,,,,,,,,,,,,,,,,,,,,,,,,,,,,,,,,,,,,,,,,,,,,,,,,,,,,,,,,,,,,,,,,,,,,,,,,,,,,,,,,,,,,,,,,,,,,,,,,,,,,,,,,,,,,,,,,,,,,,,,,,,,,,,,,,,,,,,,,,,,,,,,,,,,,,,,,,,,,,,,,,,,,,,,,,,,,,,,,,,,,,,,,,,,,,,,,,,,,,,,,,,,,,,,,,,,,,,,,,,,,,,,,,,,,,,,,,,,,,,,,,,,,,,,,,,,,,,,,,,,,,,,,,,,,,,,,,,,,,,,,,,,,,,,,,,,,,,,,,,,,,,,,,,,,,,,,,,,,,,,,,,,,,,,,,,,,,,,,,,,,,,,,,,,,,,,,,,,,,,,,,,,,,,,,,,,,,,,,,,,,,,,,,,,,,,,,,,,,,,,,,,,,,,,,,,,,,,,,,,,,,,,,,,,,,,,,,,,,,,,,,,,,,,,,,,,,,,,,,,,,,,,,,,,,,,,,,,,,,,,,,,,,,,,,,,,,,,,,,,,,,,,,,,,,,,,,,,,,,,,,,,,,,,,,,,,,,,,,,,,,,,,,,,,,,,,,,,,,,,,,,,,,,,,,,,,,,,,,,,,,,,,,,,,,,,,,,,,,,,,,,,,,,,,,,,,,,,,,,,,,,,,,,,,,,,,,,,,,,,,,,,,,,,,,,,,,,,,,,,,,,,,,,,,,,,,,,,,,,,,,,,,,,,,,,,,,,,,,,,,,,,,,,,,,,,,,,,,,,,,,,,,,,,,,,,,,,,,,,,,,,,,,,,,,,,,,,,,,,,,,,,,,,,,,,,,,,,,,,,,,,,,,,,,,,,,,,,,,,,,,,,,,,,,,,,,,,,,,,,,,,,,,,,,,,,,,,,,,,,,,,,,,,,,,,,,,,,,,,,,,,,,,,,,,,,,,,,,,,,,,,,,,,,,,,,,,,,,,,,,,,,,,,,,,,,,,,,,,,,,,,,,,,,,,,,,,,,,,,,,,,,,,,,,,,,,,,,,,,,,,,,,,,,,,,,,,,,,,,,,,,,,,,,,,,,,,,,,,,,,,,,,,,,,,,,,,,,,,,,,,,,,,,,,,,,,,,,,,,,,,,,,,,,,,,,,,,,,,,,,,,,,,,,,,,,,,,,,,,,,,,,,,,,,,,,,,,,,,,,,,,,,,,,,,,,,,,,,,,,,,,,,,,,,,,,,,,,,,,,,,,,,,,,,,,,,,,,,,,,,,,,,,,,,,,,,,,,,,,,,,,,,,,,,,,,,,,,,,,,,,,,,,,,,,,,,,,,,,,,,,,,,,,,,,,,,,,,,,,,,,,,,,,,,,,,,,,,,,,,,,,,,,,,,,,,,,,,,,,,,,,,,,,,,,,,,,,,,,,,,,,,,,,,,,,,,,,,,,,,,,,,,,,,,,,,,,,,,,,,,,,,,,,,,,,,,,,,,,,,,,,,,,,,,,,,,,,,,,,,,,,,,,,,,,,,,,,,,,,,,,,,,,,,,,,,,,,,,,,,,,,,,,,,,,,,,,,,,,,,,,,,,,,,,,,,,,,,,,,,,,,,,,,,,,,,,,,,,,,,,,,,,,,,,,,,,,,,,,,,,,,,,,,,,,,,,,,,,,,,,,,,,,,,,,,,,,,,,,,,,,,,,,,,,,,,,,,,,,,,,,,,,,,,,,,,,,,,,,,,,,,,,,,,,,,,,,,,,,,,,,,,,,,,,,,,,,,,,,,,,,,,,,,,,,,,,,,,,,,,,,,,,,,,,,,,,,,,,,,,,,,,,,,,,,,,,,,,,,,,,,,,,,,,,,,,,,,,,,,,,,,,,,,,,,,,,,,,,,,,,,,,,,,,,,,,,,,,,,,,,,,,,,,,,,,,,,,,,,,,,,,,,,,,,,,,,,,,,,,,,,,,,,,,,,,,,,,,,,,,,,,,,,,,,,,,,,,,,,,,,,,,,,,,,,,,,,,,,,,,,,,,,,,,,,,,,,,,,,,,,,,,,,,,,,,,,,,,,,,,,,,,,,,,,,,,,,,,,,,,,,,,,,,,,,,,,,,,,,,,,,,,,,,,,,,,,,,,,,,,,,,,,,,,,,,,,,,,,,,,,,,,,,,,,,,,,,,,,,,,,,,,,,,,,,,,,,,,,,,,,,,,,,,,,,,,,,,,,,,,,,,,,,,,,,,,,,,,,,,,,,,,,,,,,,,,,,,,,,,,,,,,,,,,,,,,,,,,,,,,,,,,,,,,,,,,,,,,,,,,,,,,,,,,,,,,,,,,,,,,,,,,,,,,,,,,,,,,,,,,,,,,,,,,,,,,,,,,,,,,,,,,,,,,,,,,,,,,,,,,,,,,,,,,,,,,,,,,,,,,,,,,,,,,,,,,,,,,,,,,,,,,,,,,,,,,,,,,,,,,,,,,,,,,,,,,,,,,,,,,,,,,,,,,,,,,,,,,,,,,,,,,,,,,,,,,,,,,,,,,,,,,,,,,,,,,,,,,,,,,,,,,,,,,,,,,,,,,,,,,,,,,,,,,,,,,,,,,,,,,,,,,,,,,,,,,,,,,,,,,,,,,,,,,,,,,,,,,,,,,,,,,,,,,,,,,,,,,,,,,,,,,,,,,,,,,,,,,,,,,,,,,,,,,,,,,,,,,,,,,,,,,,,,,,,,,,,,,,,,,,,,,,,,,,,,,,,,,,,,,,,,,,,,,,,,,,,,,,,,,,,,,,,,,,,,,,,,,,,,,,,,,,,,,,,,,,,,,,,,,,,,,,,,,,,,,,,,,,,,,,,,,,,,,,,,,,,,,,,,,,,,,,,,,,,,,,,,,,,,,,,,,,,,,,,,,,,,,,,,,,,,,,,,,,,,,,,,,,,,,,,,,,,,,,,,,,,,,,,,,,,,,,,,,,,,,,,,,,,,,,,,,,,,,,,,,,,,,,,,,,,,,,,,,,,,,,,,,,,,,,,,,,,,,,,,,,,,,,,,,,,,,,,,,,,,,,,,,,,,,,,,,,,,,,,,,,,,,,,,,,,,,,,,,,,,,,,,,,,,,,,,,,,,,,,,,,,,,,,,,,,,,,,,,,,,,,,,,,,,,,,,,,,,,,,,,,,,,,,,,,,,,,,,,,,,,,,,,,,,,,,,,,,,,,,,,,,,,,,,,,,,,,,,,,,,,,,,,,,,,,,,,,,,,,,,,,,,,,,,,,,,,,,,,,,,,,,,,,,,,,,,,,,,,,,,,,,,,,,,,,,,,,,,,,,,,,,,,,,,,,,,,,,,,,,,,,,,,,,,,,,,,,,,,,,,,,,,,,,,,,,,,,,,,,,,,,,,,,,,,,,,,,,,,,,,,,,,,,,,,,,,,,,,,,,,,,,,,,,,,,,,,,,,,,,,,,,,,,,,,,,,,,,,,,,,,,,,,,,,,,,,,,,,,,,,,,,,,,,,,,,,,,,,,,,,,,,,,,,,,,,,,,,,,,,,,,,,,,,,,,,,,,,,,,,,,,,,,,,,,,,,,,,,,,,,,,,,,,,,,,,,,,,,,,,,,,,,,,,,,,,,,,,,,,,,,,,,,,,,,,,,,,,,,,,,,,,,,,,,,,,,,,,,,,,,,,,,,,,,,,,,,,,,,,,,,,,,,,,,,,,,,,,,,,,,,,,,,,,,,,,,,,,,,,,,,,,,,,,,,,,,,,,,,,,,,,,,,,,,,,,,,,,,,,,,,,,,,,,,,,,,,,,,,,,,,,,,,,,,,,,,,,,,,,,,,,,,,,,,,,,,,,,,,,,,,,,,,,,,,,,,,,,,,,,,,,,,,,,,,,,,,,,,,,,,,,,,,,,,,,,,,,,,,,,,,,,,,,,,,,,,,,,,,,,,,,,,,,,,,,,,,,,,,,,,,,,,,,,,,,,,,,,,,,,,,,,,,,,,,,,,,,,,,,,,,,,,,,,,,,,,,,,,,,,,,,,,,,,,,,,,,,,,,,,,,,,,,,,,,,,,,,,,,,,,,,,,,,,,,,,,,,,,,,,,,,,,,,,,,,,,,,,,,,,,,,,,,,,,,,,,,,,,,,,,,,,,,,,,,,,,,,,,,,,,,,,,,,,,,,,,,,,,,,,,,,,,,,,,,,,,,,,,,,,,,,,,,,,,,,,,,,,,,,,,,,,,,,,,,,,,,,,,,,,,,,,,,,,,,,,,,,,,,,,,,,,,,,,,,,,,,,,,,,,,,,,,,,,,,,,,,,,,,,,,,,,,,,,,,,,,,,,,,,,,,,,,,,,,,,,,,,,,,,,,,,,,,,,,,,,,,,,,,,,,,,,,,,,,,,,,,,,,,,,,,,,,,,,,,,,,,,,,,,,,,,,,,,,,,,,,,,,,,,,,,,,,,,,,,,,,,,,,,,,,,,,,,,,,,,,,,,,,,,,,,,,,,,,,,,,,,,,,,,,,,,,,,,,,,,,,,,,,,,,,,,,,,,,,,,,,,,,,,,,,,,,,,,,,,,,,,,,,,,,,,,,,,,,,,,,,,,,,,,,,,,,,,,,,,,,,,,,,,,,,,,,,,,,,,,,,,,,,,,,,,,,,,,,,,,,,,,,,,,,,,,,,,,,,,,,,,,,,,,,,,,,,,,,,,,,,,,,,,,,,,,,,,,,,,,,,,,,,,,,,,,,,,,,,,,,,,,,,,,,,,,,,,,,,,,,,,,,,,,,,,,,,,,,,,,,,,,,,,,,,,,,,,,,,,,,,,,,,,,,,,,,,,,,,,,,,,,,,,,,,,,,,,,,,,,,,,,,,,,,,,,,,,,,,,,,,,,,,,,,,,,,,,,,,,,,,,,,,,,,,,,,,,,,,,,,,,,,,,,,,,,,,,,,,,,,,,,,,,,,,,,,,,,,,,,,,,,,,,,,,,,,,,,,,,,,,,,,,,,,,,,,,,,,,,,,,,,,,,,,,,,,,,,,,,,,,,,,,,,,,,,,,,,,,,,,,,,,,,,,,,,,,,,,,,,,,,,,,,,,,,,,,,,,,,,,,,,,,,,,,,,,,,,,,,,,,,,,,,,,,,,,,,,,,,,,,,,,,,,,,,,,,,,,,,,,,,,,,,,,,,,,,,,,,,,,,,,,,,,,,,,,,,,,,,,,,,,,,,,,,,,,,,,,,,,,,,,,,,,,,,,,,,,,,,,,,,,,,,,,,,,,,,,,,,,,,,,,,,,,,,,,,,,,,,,,,,,,,,,,,,,,,,,,,,,,,,,,,,,,,,,,,,,,,,,,,,,,,,,,,,,,,,,,,,,,,,,,,,,,,,,,,,,,,,,,,,,,,,,,,,,,,,,,,,,,,,,,,,,,,,,,,,,,,,,,,,,,,,,,,,,,,,,,,,,,,,,,,,,,,,,,,,,,,,,,,,,,,,,,,,,,,,,,,,,,,,,,,,,,,,,,,,,,,,,,,,,,,,,,,,,,,,,,,,,,,,,,,,,,,,,,,,,,,,,,,,,,,,,,,,,,,,,,,,,,,,,,,,,,,,,,,,,,,,,,,,,,,,,,,,,,,,,,,,,,,,,,,,,,,,,,,,,,,,,,,,,,,,,,,,,,,,,,,,,,,,,,,,,,,,,,,,,,,,,,,,,,,,,,,,,,,,,,,,,,,,,,,,,,,,,,,,,,,,,,,,,,,,,,,,,,,,,,,,,,,,,,,,,,,,,,,,,,,,,,,,,,,,,,,,,,,,,,,,,,,,,,,,,,,,,,,,,,,,,,,,,,,,,,,,,,,,,,,,,,,,,,,,,,,,,,,,,,,,,,,,,,,,,,,,,,,,,,,,,,,,,,,,,,,,,,,,,,,,,,,,,,,,,,,,,,,,,,,,,,,,,,,,,,,,,,,,,,,,,,,,,,,,,,,,,,,,,,,,,,,,,,,,,,,,,,,,,,,,,,,,,,,,,,,,,,,,,,,,,,,,,,,,,,,,,,,,,,,,,,,,,,,,,,,,,,,,,,,,,,,,,,,,,,,,,,,,,,,,,,,,,,,,,,,,,,,,,,,,,,,,,,,,,,,,,,,,,,,,,,,,,,,,,,,,,,,,,,,,,,,,,,,,,,,,,,,,,,,,,,,,,,,,,,,,,,,,,,,,,,,,,,,,,,,,,,,,,,,,,,,,,,,,,,,,,,,,,,,,,,,,,,,,,,,,,,,,,,,,,,,,,,,,,,,,,,,,,,,,,,,,,,,,,,,,,,,,,,,,,,,,,,,,,,,,,,,,,,,,,,,,,,,,,,,,,,,,,,,,,,,,,,,,,,,,,,,,,,,,,,,,,,,,,,,,,,,,,,,,,,,,,,,,,,,,,,,,,,,,,,,,,,,,,,,,,,,,,,,,,,,,,,,,,,,,,,,,,,,,,,,,,,,,,,,,,,,,,,,,,,,,,,,,,,,,,,,,,,,,,,,,,,,,,,,,,,,,,,,,,,,,,,,,,,,,,,,,,,,,,,,,,,,,,,,,,,,,,,,,,,,,,,,,,,,,,,,,,,,,,,,,,,,,,,,,,,,,,,,,,,,,,,,,,,,,,,,,,,,,,,,,,,,,,,,,,,,,,,,,,,,,,,,,,,,,,,,,,,,,,,,,,,,,,,,,,,,,,,,,,,,,,,,,,,,,,,,,,,,,,,,,,,,,,,,,,,,,,,,,,,,,,,,,,,,,,,,,,,,,,,,,,,,,,,,,,,,,,,,,,,,,,,,,,,,,,,,,,,,,,,,,,,,,,,,,,,,,,,,,,,,,,,,,,,,,,,,,,,,,,,,,,,,,,,,,,,,,,,,,,,,,,,,,,,,,,,,,,,,,,,,,,,,,,,,,,,,,,,,,,,,,,,,,,,,,,,,,,,,,,,,,,,,,,,,,,,,,,,,,,,,,,,,,,,,,,,,,,,,,,,,,,,,,,,,,,,,,,,,,,,,,,,,,,,,,,,,,,,,,,,,,,,,,,,,,,,,,,,,,,,,,,,,,,,,,,,,,,,,,,,,,,,,,,,,,,,,,,,,,,,,,,,,,,,,,,,,,,,,,,,,,,,,,,,,,,,,,,,,,,,,,,,,,,,,,,,,,,,,,}",
                    "NameOfGroup": "Unallocated",
                    "EquationToParse": "{,27707.0450398044,28258.1623635351,20634.4128313335,27559.8806917342,19519.2174146078,24905.147120238,19346.6463778997,24537.3135385547,20128.2508915669,20530.8159093982,,,,,,,,,,,,,,,,,,,,,,,,,,,,,,,,,,,,,,,,,,,,,,,,,,,,,,,,,,,,,,,,,,,,,,,,,,,,,,,,,,,,,,,,,,,,,,,,,,,,,,,,,,,,,,,,,,,,,,,,,,,,,,,,,,,,,,,,,,,,,,,,,,,,,,,,,,,,,,,,,,,,,,,,,,,,,,,,,,,,,,,,,,,,,,,,,,,,,,,,,,,,,,,,,,,,,,,,,,,,,,,,,,,,,,,,,,,,,,,,,,,,,,,,,,,,,,,,,,,,,,,,,,,,,,,,,,,,,,,,,,,,,,,,,,,,,,,,,,,,,,,,,,,,,,,,,,,,,,,,,,,,,,,,,,,,,,,,,,,,,,,,,,,,,,,,,,,,,,,,,,,,,,,,,,,,,,,,,,,,,,,,,,,,,,,,,,,,,,,,,,,,,,,,,,,,,,,,,,,,,,,,,,,,,,,,,,,,,,,,,,,,,,,,,,,,,,,,,,,,,,,,,,,,,,,,,,,,,,,,,,,,,,,,,,,,,,,,,,,,,,,,,,,,,,,,,,,,,,,,,,,,,,,,,,,,,,,,,,,,,,,,,,,,,,,,,,,,,,,,,,,,,,,,,,,,,,,,,,,,,,,,,,,,,,,,,,,,,,,,,,,,,,,,,,,,,,,,,,,,,,,,,,,,,,,,,,,,,,,,,,,,,,,,,,,,,,,,,,,,,,,,,,,,,,,,,,,,,,,,,,,,,,,,,,,,,,,,,,,,,,,,,,,,,,,,,,,,,,,,,,,,,,,,,,,,,,,,,,,,,,,,,,,,,,,,,,,,,,,,,,,,,,,,,,,,,,,,,,,,,,,,,,,,,,,,,,,,,,,,,,,,,,,,,,,,,,,,,,,,,,,,,,,,,,,,,,,,,,,,,,,,,,,,,,,,,,,,,,,,,,,,,,,,,,,,,,,,,,,,,,,,,,,,,,,,,,,,,,,,,,,,,,,,,,,,,,,,,,,,,,,,,,,,,,,,,,,,,,,,,,,,,,,,,,,,,,,,,,,,,,,,,,,,,,,,,,,,,,,,,,,,,,,,,,,,,,,,,,,,,,,,,,,,,,,,,,,,,,,,,,,,,,,,,,,,,,,,,,,,,,,,,,,,,,,,,,,,,,,,,,,,,,,,,,,,,,,,,,,,,,,,,,,,,,,,,,,,,,,,,,,,,,,,,,,,,,,,,,,,,,,,,,,,,,,,,,,,,,,,,,,,,,,,,,,,,,,,,,,,,,,,,,,,,,,,,,,,,,,,,,,,,,,,,,,,,,,,,,,,,,,,,,,,,,,,,,,,,,,,,,,,,,,,,,,,,,,,,,,,,,,,,,,,,,,,,,,,,,,,,,,,,,,,,,,,,,,,,,,,,,,,,,,,,,,,,,,,,,,,,,,,,,,,,,,,,,,,,,,,,,,,,,,,,,,,,,,,,,,,,,,,,,,,,,,,,,,,,,,,,,,,,,,,,,,,,,,,,,,,,,,,,,,,,,,,,,,,,,,,,,,,,,,,,,,,,,,,,,,,,,,,,,,,,,,,,,,,,,,,,,,,,,,,,,,,,,,,,,,,,,,,,,,,,,,,,,,,,,,,,,,,,,,,,,,,,,,,,,,,,,,,,,,,,,,,,,,,,,,,,,,,,,,,,,,,,,,,,,,,,,,,,,,,,,,,,,,,,,,,,,,,,,,,,,,,,,,,,,,,,,,,,,,,,,,,,,,,,,,,,,,,,,,,,,,,,,,,,,,,,,,,,,,,,,,,,,,,,,,,,,,,,,,,,,,,,,,,,,,,,,,,,,,,,,,,,,,,,,,,,,,,,,,,,,,,,,,,,,,,,,,,,,,,,,,,,,,,,,,,,,,,,,,,,,,,,,,,,,,,,,,,,,,,,,,,,,,,,,,,,,,,,,,,,,,,,,,,,,,,,,,,,,,,,,,,,,,,,,,,,,,,,,,,,,,,,,,,,,,,,,,,,,,,,,,,,,,,,,,,,,,,,,,,,,,,,,,,,,,,,,,,,,,,,,,,,,,,,,,,,,,,,,,,,,,,,,,,,,,,,,,,,,,,,,,,,,,,,,,,,,,,,,,,,,,,,,,,,,,,,,,,,,,,,,,,,,,,,,,,,,,,,,,,,,,,,,,,,,,,,,,,,,,,,,,,,,,,,,,,,,,,,,,,,,,,,,,,,,,,,,,,,,,,,,,,,,,,,,,,,,,,,,,,,,,,,,,,,,,,,,,,,,,,,,,,,,,,,,,,,,,,,,,,,,,,,,,,,,,,,,,,,,,,,,,,,,,,,,,,,,,,,,,,,,,,,,,,,,,,,,,,,,,,,,,,,,,,,,,,,,,,,,,,,,,,,,,,,,,,,,,,,,,,,,,,,,,,,,,,,,,,,,,,,,,,,,,,,,,,,,,,,,,,,,,,,,,,,,,,,,,,,,,,,,,,,,,,,,,,,,,,,,,,,,,,,,,,,,,,,,,,,,,,,,,,,,,,,,,,,,,,,,,,,,,,,,,,,,,,,,,,,,,,,,,,,,,,,,,,,,,,,,,,,,,,,,,,,,,,,,,,,,,,,,,,,,,,,,,,,,,,,,,,,,,,,,,,,,,,,,,,,,,,,,,,,,,,,,,,,,,,,,,,,,,,,,,,,,,,,,,,,,,,,,,,,,,,,,,,,,,,,,,,,,,,,,,,,,,,,,,,,,,,,,,,,,,,,,,,,,,,,,,,,,,,,,,,,,,,,,,,,,,,,,,,,,,,,,,,,,,,,,,,,,,,,,,,,,,,,,,,,,,,,,,,,,,,,,,,,,,,,,,,,,,,,,,,,,,,,,,,,,,,,,,,,,,,,,,,,,,,,,,,,,,,,,,,,,,,,,,,,,,,,,,,,,,,,,,,,,,,,,,,,,,,,,,,,,,,,,,,,,,,,,,,,,,,,,,,,,,,,,,,,,,,,,,,,,,,,,,,,,,,,,,,,,,,,,,,,,,,,,,,,,,,,,,,,,,,,,,,,,,,,,,,,,,,,,,,,,,,,,,,,,,,,,,,,,,,,,,,,,,,,,,,,,,,,,,,,,,,,,,,,,,,,,,,,,,,,,,,,,,,,,,,,,,,,,,,,,,,,,,,,,,,,,,,,,,,,,,,,,,,,,,,,,,,,,,,,,,,,,,,,,,,,,,,,,,,,,,,,,,,,,,,,,,,,,,,,,,,,,,,,,,,,,,,,,,,,,,,,,,,,,,,,,,,,,,,,,,,,,,,,,,,,,,,,,,,,,,,,,,,,,,,,,,,,,,,,,,,,,,,,,,,,,,,,,,,,,,,,,,,,,,,,,,,,,,,,,,,,,,,,,,,,,,,,,,,,,,,,,,,,,,,,,,,,,,,,,,,,,,,,,,,,,,,,,,,,,,,,,,,,,,,,,,,,,,,,,,,,,,,,,,,,,,,,,,,,,,,,,,,,,,,,,,,,,,,,,,,,,,,,,,,,,,,,,,,,,,,,,,,,,,,,,,,,,,,,,,,,,,,,,,,,,,,,,,,,,,,,,,,,,,,,,,,,,,,,,,,,,,,,,,,,,,,,,,,,,,,,,,,,,,,,,,,,,,,,,,,,,,,,,,,,,,,,,,,,,,,,,,,,,,,,,,,,,,,,,,,,,,,,,,,,,,,,,,,,,,,,,,,,,,,,,,,,,,,,,,,,,,,,,,,,,,,,,,,,,,,,,,,,,,,,,,,,,,,,,,,,,,,,,,,,,,,,,,,,,,,,,,,,,,,,,,,,,,,,,,,,,,,,,,,,,,,,,,,,,,,,,,,,,,,,,,,,,,,,,,,,,,,,,,,,,,,,,,,,,,,,,,,,,,,,,,,,,,,,,,,,,,,,,,,,,,,,,,,,,,,,,,,,,,,,,,,,,,,,,,,,,,,,,,,,,,,,,,,,,,,,,,,,,,,,,,,,,,,,,,,,,,,,,,,,,,,,,,,,,,,,,,,,,,,,,,,,,,,,,,,,,,,,,,,,,,,,,,,,,,,,,,,,,,,,,,,,,,,,,,,,,,,,,,,,,,,,,,,,,,,,,,,,,,,,,,,,,,,,,,,,,,,,,,,,,,,,,,,,,,,,,,,,,,,,,,,,,,,,,,,,,,,,,,,,,,,,,,,,,,,,,,,,,,,,,,,,,,,,,,,,,,,,,,,,,,,,,,,,,,,,,,,,,,,,,,,,,,,,,,,,,,,,,,,,,,,,,,,,,,,,,,,,,,,,,,,,,,,,,,,,,,,,,,,,,,,,,,,,,,,,,,,,,,,,,,,,,,,,,,,,,,,,,,,,,,,,,,,,,,,,,,,,,,,,,,,,,,,,,,,,,,,,,,,,,,,,,,,,,,,,,,,,,,,,,,,,,,,,,,,,,,,,,,,,,,,,,,,,,,,,,,,,,,,,,,,,,,,,,,,,,,,,,,,,,,,,,,,,,,,,,,,,,,,,,,,,,,,,,,,,,,,,,,,,,,,,,,,,,,,,,,,,,,,,,,,,,,,,,,,,,,,,,,,,,,,,,,,,,,,,,,,,,,,,,,,,,,,,,,,,,,,,,,,,,,,,,,,,,,,,,,,,,,,,,,,,,,,,,,,,,,,,,,,,,,,,,,,,,,,,,,,,,,,,,,,,,,,,,,,,,,,,,,,,,,,,,,,,,,,,,,,,,,,,,,,,,,,,,,,,,,,,,,,,,,,,,,,,,,,,,,,,,,,,,,,,,,,,,,,,,,,,,,,,,,,,,,,,,,,,,,,,,,,,,,,,,,,,,,,,,,,,,,,,,,,,,,,,,,,,,,,,,,,,,,,,,,,,,,,,,,,,,,,,,,,,,,,,,,,,,,,,,,,,,,,,,,,,,,,,,,,,,,,,,,,,,,,,,,,,,,,,,,,,,,,,,,,,,,,,,,,,,,,,,,,,,,,,,,,,,,,,,,,,,,,,,,,,,,,,,,,,,,,,,,,,,,,,,,,,,,,,,,,,,,,,,,,,,,,,,,,,,,,,,,,,,,,,,,,,,,,,,,,,,,,,,,,,,,,,,,,,,,,,,,,,,,,,,,,,,,,,,,,,,,,,,,,,,,,,,,,,,,,,,,,,,,,,,,,,,,,,,,,,,,,,,,,,,,,,,,,,,,,,,,,,,,,,,,,,,,,,,,,,,,,,,,,,,,,,,,,,,,,,,,,,,,,,,,,,,,,,,,,,,,,,,,,,,,,,,,,,,,,,,,,,,,,,,,,,,,,,,,,,,,,,,,,,,,,,,,,,,,,,,,,,,,,,,,,,,,,,,,,,,,,,,,,,,,,,,,,,,,,,,,,,,,,,,,,,,,,,,,,,,,,,,,,,,,,,,,,,,,,,,,,,,,,,,,,,,,,,,,,,,,,,,,,,,,,,,,,,,,,,,,,,,,,,,,,,,,,,,,,,,,,,,,,,,,,,,,,,,,,,,,,,,,,,,,,,,,,,,,,,,,,,,,,,,,,,,,,,,,,,,,,,,,,,,,,,,,,,,,,,,,,,,,,,,,,,,,,,,,,,,,,,,,,,,,,,,,,,,,,,,,,,,,,,,,,,,,,,,,,,,,,,,,,,,,,,,,,,,,,,,,,,,,,,,,,,,,,,,,,,,,,,,,,,,,,,,,,,,,,,,,,,,,,,,,,,,,,,,,,,,,,,,,,,,,,,,,,,,,,,,,,,,,,,,,,,,,,,,,,,,,,,,,,,,,,,,,,,,,,,,,,,,,,,,,,,,,,,,,,,,,,,,,,,,,,,,,,,,,,,,,,,,,,,,,,,,,,,,,,,,,,,,,,,,,,,,,,,,,,,,,,,,,,,,,,,,,,,,,,,,,,,,,,,,,,,,,,,,,,,,,,,,,,,,,,,,,,,,,,,,,,,,,,,,,,,,,,,,,,,,,,,,,,,,,,,,,,,,,,,,,,,,,,,,,,,,,,,,,,,,,,,,,,,,,,,,,,,,,,,,,,,,,,,,,,,,,,,,,,,,,,,,,,,,,,,,,,,,,,,,,,,,,,,,,,,,,,,,,,,,,,,,,,,,,,,,,,,,,,,,,,,,,,,,,,,,,,,,,,,,,,,,,,,,,,,,,,,,,,,,,,,,,,,,,,,,,,,,,,,,,,,,,,,,,,,,,,,,,,,,,,,,,,,,,,,,,,,,,,,,,,,,,,,,,,,,,,,,,,,,,,,,,,,,,,,,,,,,,,,,,,,,,,,,,,,,,,,,,,,,,,,,,,,,,,,,,,,,,,,,,,,,,,,,,,,,,,,,,,,,,,,,,,,,,,,,,,,,,,,,,,,,,,,,,,,,,,,,,,,,,,,,,,,,,,,,,,,,,,,,,,,,,,,,,,,,,,,,,,,,,,,,,,,,,,,,,,,,,,,,,,,,,,,,,,,,,,,,,,,,,,,,,,,,,,,,,,,,,,,,,,,,,,,,,,,,,,,,,,,,,,,,,,,,,,,,,,,,,,,,,,,,,,,,,,,,,,,,,,,,,,,,,,,,,,,,,,,,,,,,,,,,,,,,,,,,,,,,,,,,,,,,,,,,,,,,,,,,,,,,,,,,,,,,,,,,,,,,,,,,,,,,,,,,,,,,,,,,,,,,,,,,,,,,,,,,,,,,,,,,,,,,,,,,,,,,,,,,,,,,,,,,,,,,,,,,,,,,,,,,,,,,,,,,,,,,,,,,,,,,,,,,,,,,,,,,,,,,,,,,,,,,,,,,,,,,,,,,,,,,,,,,,,,,,,,,,,,,,,,,,,,,,,,,,,,,,,,,,,,,,,,,,,,,,,,,,,,,,,,,,,,,,,,,,,,,,,,,,,,,,,,,,,,,,,,,,,,,,,,,,,,,,,,,,,,,,,,,,,,,,,,,,,,,,,,,,,,,,,,,,,,,,,,,,,,,,,,,,,,,,,,,,,,,,,,,,,,,,,,,,,,,,,,,,,,,,,,,,,,,,,,,,,,,,,,,,,,,,,,,,,,,,,,,,,,,,,,,,,,,,,,,,,,,,,,,,,,,,,,,,,,,,,,,,,,,,,,,,,,,,,,,,,,,,,,,,,,,,,,,,,,,,,,,,,,,,,,,,,,,,,,,,,,,,,,,,,,,,,,,,,,,,,,,,,,,,,,,,,,,,,,,,,,,,,,,,,,,,,,,,,,,,,,,,,,,,,,,,,,,,,,,,,,,,,,,,,,,,,,,,,,,,,,,,,,,,,,,,,,,,,,,,,,,,,,,,,,,,,,,,,,,,,,,,,,,,,,,,,,,,,,,,,,,,,,,,,,,,,,,,,,,,,,,,,,,,,,,,,,,,,,,,,,,,,,,,,,,,,,,,,,,,,,,,,,,,,,,,,,,,,,,,,,,,,,,,,,,,,,,,,,,,,,,,,,,,,,,,,,,,,,,,,,,,,,,,,,,,,,,,,,,,,,,,,,,,,,,,,,,,,,,,,,,,,,,,,,,,,,,,,,,,,,,,,,,,,,,,,,,,,,,,,,,,,,,,,,,,,,,,,,,,,,,,,,,,,,,,,,,,,,,,,,,,,,,,,,,,,,,,,,,,,,,,,,,,,,,,,,,,,,,,,,,,,,,,,,,,,,,,,,,,,,,,,,,,,,,,,,,,,,,,,,,,,,,,,,,,,,,,,,,,,,,,,,,,,,,,,,,,,,,,,,,,,,,,,,,,,,,,,,,,,,,,,,,,,,,,,,,,,,,,,,,,,,,,,,,,,,,,,,,,,,,,,,,,,,,,,,,,,,,,,,,,,,,,,,,,,,,,,,,,,,,,,,,,,,,,,,,,,,,,,,,,,,,,,,,,,,,,,,,,,,,,,,,,,,,,,,,,,,,,,,,,,,,,,,,,,,,,,,,,,,,,,,,,,,,,,,,,,,,,,,,,,,,,,,,,,,,,,,,,,,,,,,,,,,,,,,,,,,,,,,,,,,,,,,,,,,,,,,,,,,,,,,,,,,,,,,,,,,,,,,,,,,,,,,,,,,,,,,,,,,,,,,,,,,,,,,,,,,,,,,,,,,,,,,,,,,,,,,,,,,,,,,,,,,,,,,,,,,,,,,,,,,,,,,,,,,,,,,,,,,,,,,,,,,,,,,,,,,,,,,,,,,,,,,,,,,,,,,,,,,,,,,,,,,,,,,,,,,,,,,,,,,,,,,,,,,,,,,,,,,,,,,,,,,,,,,,,,,,,,,,,,,,,,,,,,,,,,,,,,,,,,,,,,,,,,,,,,,,,,,,,,,,,,,,,,,,,,,,,,,,,,,,,,,,,,,,,,,,,,,,,,,,,,,,,,,,,,,,,,,,,,,,,,,,,,,,,,,,,,,,,,,,,,,,,,,,,,,,,,,,,,,,,,,,,,,,,,,,,,,,,,,,,,,,,,,,,,,,,,,,,,,,,,,,,,,,,,,,,,,,,,,,,,,,,,,,,,,,,,,,,,,,,,,,,,,,,,,,,,,,,,,,,,,,,,,,,,,,,,,,,,,,,,,,,,,,,,,,,,,,,,,,,,,,,,,,,,,,,,,,,,,,,,,,,,,,,,,,,,,,,,,,,,,,,,,,,,,,,,,,,,,,,,,,,,,,,,,,,,,,,,,,,,,,,,,,,,,,,,,,,,,,,,,,,,,,,,,,,,,,,,,,,,,,,,,,,,,,,,,,,,,,,,,,,,,,,,,,,,,,,,,,,,,,,,,,,,,,,,,,,,,,,,,,,,,,,,,,,,,,,,,,,,,,,,,,,,,,,,,,,,,,,,,,,,,,,,,,,,,,,,,,,,,,,,,,,,,,,,,,,,,,,,,,,,,,,,,,,,,,,,,,,,,,,,,,,,,,,,,,,,,,,,,,,,,,,,,,,,,,,,,,,,,,,,,,,,,,,,,,,,,,,,,,,,,,,,,,,,,,,,,,,,,,,,,,,,,,,,,,,,,,,,,,,,,,,,,,,,,,,,,,,,,,,,,,,,,,,,,,,,,,,,,,,,,,,,,,,,,,,,,,,,,,,,,,,,,,,,,,,,,,,,,,,,,,,,,,,,,,,,,,,,,,,,,,,,,,,,,,,,,,,,,,,,,,,,,,,,,,,,,,,,,,,,,,,,,,,,,,,,,,,,,,,,,,,,,,,,,,,,,,,,,,,,,,,,,,,,,,,,,,,,,,,,,,,,,,,,,,,,,,,,,,,,,,,,,,,,,,,,,,,,,,,,,,,,,,,,,,,,,,,,,,,,,,,,,,,,,,,,,,,,,,,,,,,,,,,,,,,,,,,,,,,,,,,,,,,,,,,,,,,,,,,,,,,,,,,,,,,,,,,,,,,,,,,,,,,,,,,,,,,,,,,,,,,,,,,,,,,,,,,,,,,,,,,,,,,,,,,,,,,,,,,,,,,,,,,,,,,,,,,,,,,,,,,,,,,,,,,,,,,,,,,,,,,,,,,,,,,,,,,,,,,,,,,,,,,,,,,,,,,,,,,,,,,,,,,,,,,,,,,,,,,,,,,,,,,,,,,,,,,,,,,,,,,,,,,,,,,,,,,,,,,,,,,,,,,,,,,,,,,,,,,,,,,,,,,,,,,,,,,,,,,,,,,,,,,,,,,,,,,,,,,,,,,,,,,,,,,,,,,,,,,,,,,,,,,,,,,,,,,,,,,,,,,,,,,,,,,,,,,,,,,,,,,,,,,,,,,,,,,,,,,,,,,,,,,,,,,,,,,,,,,,,,,,,,,,,,,,,,,,,,,,,,,,,,,,,,,,,,,,,,,,,,,,,,,,,,,,,,,,,,,,,,,,,,,,,,,,,,,,,,,,,,,,,,,,,,,,,,,,,,,,,,,,,,,,,,,,,,,,,,,,,,,,,,,,,,,,,,,,,,,,,,,,,,,,,,,,,,,,,,,,,,,,,,,,,,,,,,,,,,,,,,,,,,,,,,,,,,,,,,,,,,,,,,,,,,,,,,,,,,,,,,,,,,,,,,,,,,,,,,,,,,,,,,,,,,,,,,,,,,,,,,,,,,,,,,,,,,,,,,,,,,,,,,,,,,,,,,,,,,,,,,,,,,,,,,,,,,,,,,,,,,,,,,,,,,,,,,,,,,,,,,,,,,,,,,,,,,,,,,,,,,,,,,,,,,,,,,,,,,,,,,,,,,,,,,,,,,,,,,,,,,,,,,,,,,,,,,,,,,,,,,,,,,,,,,,,,,,,,,,,,,,,,,,,,,,,,,,,,,,,,,,,,,,,,,,,,,,,,,,,,,,,,,,,,,,,,,,,,,,,,,,,,,,,,,,,,,,,,,,,,,,,,,,,,,,,,,,,,,,,,,,,,,,,,,,,,,,,,,,,,,,,,,,,,,,,,,,,,,,,,,,,,,,,,,,,,,,,,,,,,,,,,,,,,,,,,,,,,,,,,,,,,,,,,,,,,,,,,,,,,,,,,,,,,,,,,,,,,,,,,,,,,,,,,,,,,,,,,,,,,,,,,,,,,,,,,,,,,,,,,,,,,,,,,,,,,,,,,,,,,,,,,,,,,,,,,,,,,,,,,,,,,,,,,,,,,,,,,,,,,,,,,,,,,,,,,,,,,,,,,,,,,,,,,,,,,,,,,,,,,,,,,,,,,,,,,,,,,,,,,,,,,,,,,,,,,,,,,,,,,,,,,,,,,,,,,,,,,,,,,,,,,,,,,,,,,,,,,,,,,,,,,,,,,,,,,,,,,,,,,,,,,,,,,,,,,,,,,,,,,,,,,,,,,,,,,,,,,,,,,,,,,,,,,,,,,,,,,,,,,,,,,,,,,,,,,,,,,,,,,,,,,,,,,,,,,,,,,,,,,,,,,,,,,,,,,,,,,,,,,,,,,,,,,,,,,,,,,,,,,,,,,,,,,,,,,,,,,,,,,,,,,,,,,,,,,,,,,,,,,,,,,,,,,,,,,,,,,,,,,,,,,,,,,,,,,,,,,,,,,,,,,,,,,,,,,,,,,,,,,,,,,,,,,,,,,,,,,,,,,,,,,,,,,,,,,,,,,,,,,,,,,,,,,,,,,,,,,,,,,,,,,,,,,,,,,,,,,,,,,,,,,,,,,,,,,,,,,,,,,,,,,,,,,,,,,,,,,,,,,,,,,,,,,,,,,,,,,,,,,,,,,,,,,,,,,,,,,,,,,,,,,,,,,,,,,,,,,,,,,,,,,,,,,,,,,,,,,,,,,,,,,,,,,,,,,,,,,,,,,,,,,,,,,,,,,,,,,,,,,,,,,,,,,,,,,,,,,,,,,,,,,,,,,,,,,,,,,,,,,,,,,,,,,,,,,,,,,,,,,,,,,,,,,,,,,,,,,,,,,,,,,,,,,,,,,,,,,,,,,,,,,,,,,,,,,,,,,,,,,,,,,,,,,,,,,,,,,,,,,,,,,,,,,,,,,,,,,,,,,,,,,,,,,,,,,,,,,,,,,,,,,,,,,,,,,,,,,,,,,,,,,,,,,,,,,,,,,,,,,,,,,,,,,,,,,,,,,,,,,,,,,,,,,,,,,,,,,,,,,,,,,,,,,,,,,,,,,,,,,,,,,,,,,,,,,,,,,,,,,,,,,,,,,,,,,,,,,,,,,,,,,,,,,,,,,,,,,,,,,,,,,,,,,,,,,,,,,,,,,,,,,,,,,,,,,,,,,,,,,,,,,,,,,,,,,,,,,,,,,,,,,,,,,,,,,,,,,,,,,,,,,,,,,,,,,,,,,,,,,,,,,,,,,,,,,,,,,,,,,,,,,,,,,,,,,,,,,,,,,,,,,,,,,,,,,,,,,,,,,,,,,,,,,,,,,,,,,,,,,,,,,,,,,,,,,,,,,,,,,,,,,,,,,,,,,,,,,,,,,,,,,,,,,,,,,,,,,,,,,,,,,,,,,,,,,,,,,,,,,,,,,,,,,,,,,,,,,,,,,,,,,,,,,,,,,,,,,,,,,,,,,,,,,,,,,,,,,,,,,,,,,,,,,,,,,,,,,,,,,,,,,,,,,,,,,,,,,,,,,,,,,,,,,,,,,,,,,,,,,,,,,,,,,,,,,,,,,,,,,,,,,,,,,,,,,,,,,,,,,,,,,,,,,,,,,,,,,,,,,,,,,,,,,,,,,,,,,,,,,,,,,,,,,,,,,,,,,,,,,,,,,,,,,,,,,,,,,,,,,,,,,,,,,,,,,,,,,,,,,,,,,,,,,,,,,,,,,,,,,,,,,,,,,,,,,,,,,,,,,,,,,,,,,,,,,,,,,,,,,,,,,,,,,,,,,,,,,,,,,,,,,,,,,,,,,,,,,,,,,,,,,,,,,,,,,,,,,,,,,,,,,,,,,,,,,,,,,,,,,,,,,,,,,,,,,,,,,,,,,,,,,,,,,,,,,,,,,,,,,,,,,,,,,,,,,,,,,,,,,,,,,,,,,,,,,,,,,,,,,,,,,,,,,,,,,,,,,,,,,,,,,,,,,,,,,,,,,,,,,,,,,,,,,,,,,,,,,,,,,,,,,,,,,,,,,,,,,,,,,,,,,,,,,,,,,,,,,,,,,,,,,,,,,,,,,,,,,,,,,,,,,,,,,,,,,,,,,,,,,,,,,,,,,,,,,,,,,,,,,,,,,,,,,,,,,,,,,,,,,,,,,,,,,,,,,,,,,,,,,,,,,,,,,,,,,,,,,,,,,,,,,,,,,,,,,,,,,,,,,,,,,,,,,,,,,,,,,,,,,,,,,,,,,,,,,,,,,,,,,,,,,,,,,,,,,,,,,,,,,,,,,,,,,,,,,,,,,,,,,,,,,,,,,,,,,,,,,,,,,,,,,,,,,,,,,,,,,,,,,,,,,,,,,,,,,,,,,,,,,,,,,,,,,,,,,,,,,,,,,,,,,,,,,,,,,,,,,,,,,,,,,,,,,,,,,,,,,,,,,,,,,,,,,,,,,,,,,,,,,,,,,,,,,,,,,,,,,,,,,,,,,,,,,,,,,,,,,,,,,,,,,,,,,,,,,,,,,,,,,,,,,,,,,,,,,,,,,,,,,,,,,,,,,,,,,,,,,,,,,,,,,,,,,,,,,,,,,,,,,,,,,,,,,,,,,,,,,,,,,,,,,,,,,,,,,,,,,,,,,,,,,,,,,,,,,,,,,,,,,,,,,,,,,,,,,,,,,,,,,,,,,,,,,,,,,,,,,,,,,,,,,,,,,,,,,,,,,,,,,,,,,,,,,,,,,,,,,,,,,,,,,,,,,,,,,,,,,,,,,,,,,,,,,,,,,,,,,,,,,,,,,,,,,,,,,,,,,,,,,,,,,,,,,,,,,,,,,,,,,,,,,,,,,,,,,,,,,,,,,,,,,,,,,,,,,,,,,,,,,,,,,,,,,,,,,,,,,,,,,,,,,,,,,,,,,,,,,,,,,,,,,,,,,,,,,,,,,,,,,,,,,,,,,,,,,,,,,,,,,,,,,,,,,,,,,,,,,,,,,,,,,,,,,,,,,,,,,,,,,,,,,,,,,,,,,,,,,,,,,,,,,,,,,,,,,,,,,,,,,,,,,,,,,,,,,,,,,,,,,,,,,,,,,,,,,,,,,,,,,,,,,,,,,,,,,,,,,,,,,,,,,,,,,,,,,,,,,,,,,,,,,,,,,,,,,,,,,,,,,,,,,,,,,,,,,,,,,,,,,,,,,,,,,,,,,,,,,,,,,,,,,,,,,,,,,,,,,,,,,,,,,,,,,,,,,,,,,,,,,,,,,,,,,,,,,,,,,,,,,,,,,,,,,,,,,,,,,,,,,,,,,,,,,,,,,,,,,,,,,,,,,,,,,,,,,,,,,,,,,,,,,,,,,,,,,,,,,,,,,,,,,,,,,,,,,,,,,,,,,,,,,,,,,,,,,,,,,,,,,,,,,,,,,,,,,,,,,,,,,,,,,,,,,,,,,,,,,,,,,,,,,,,,,,,,,,,,,,,,,,,,,,,,,,,,,,,,,,,,,,,,,,,,,,,,,,,,,,,,,,,,,,,,,,,,,,,,,,,,,,,,,,,,,,,,,,,,,,,,,,,,,,,,,,,,,,,,,,,,,,,,,,,,,,,,,,,,,,,,,,,,,,,,,,,,,,,,,,,,,,,,,,,,,,,,,,,,,,,,,,,,,,,,,,,,,,,,,,,,,,,,,,,,,,,,,,,,,,,,,,,,,,,,,,,,,,,,,,,,,,,,,,,,,,,,,,,,,,,,,,,,,,,,,,,,,,,,,,,,,,,,,,,,,,,,,,,,,,,,,,,,,,,,,,,,,,,,,,,,,,,,,,,,,,,,,,,,,,,,,,,,,,,,,,,,,,,,,,,,,,,,,,,,,,,,,,,,,,,,,,,,,,,,,,,,,,,,,,,,,,,,,,,,,,,,,,,,,,,,,,,,,,,,,,,,,,,,,,,,,,,,,,,,,,,,,,,,,,,,,,,,,,,,,,,,,,,,,,,,,,,,,,,,,,,,,,,,,,,,,,,,,,,,,,,,,,,,,,,,,,,,,,,,,,,,,,,,,,,,,,,,,,,,,,,,,,,,,,,,,,,,,,,,,,,,,,,,,,,,,,,,,,,,,,,,,,,,,,,,,,,,,,,,,,,,,,,,,,,,,,,,,,,,,,,,,,,,,,,,,,,,,,,,,,,,,,,,,,,,,,,,,,,,,,,,,,,,,,,,,,,,,,,,,,,,,,,,,,,,,,,,,,,,,,,,,,,,,,,,,,,,,,,,,,,,,,,,,,,,,,,,,,,,,,,,,,,,,,,,,,,,,,,,,,,,,,,,,,,,,,,,,,,,,,,,,,,,,,,,,,,,,,,,,,,,,,,,,,,,,,,,,,,,,,,,,,,,,,,,,,,,,,,,,,,,,,,,,,,,,,,,,,,,,,,,,,,,,,,,,,,,,,,,,,,,,,,,,,,,,,,,,,,,,,,,,,,,,,,,,,,,,,,,,,,,,,,,,,,,,,,,,,,,,,,,,,,,,,,,,,,,,,,,,,,,,,,,,,,,,,,,,,,,,,,,,,,,,,,,,,,,,,,,,,,,,,,,,,,,,,,,,,,,,,,,,,,,,,,,,,,,,,,,,,,,,,,,,,,,,,,,,,,,,,,,,,,,,,,,,,,,,,,,,,,,,,,,,,,,,,,,,,,,,,,,,,,,,,,,,,,,,,,,,,,,,,,,,,,,,,,,,,,,,,,,,,,,,,,,,,,,,,,,,,,,,,,,,,,,,,,,,,,,,,,,,,,,,,,,,,,,,,,,,,,,,,,,,,,,,,,,,,,,,,,,,,,,,,,,,,,,,,,,,,,,,,,,,,,,,,,,,,,,,,,,,,,,,,,,,,,,,,,,,,,,,,,,,,,,,,,,,,,,,,,,,,,,,,,,,,,,,,,,,,,,,,,,,,,,,,,,,,,,,,,,,,,,,,,,,,,,,,,,,,,,,,,,,,,,,,,,,,,,,,,,,,,,,,,,,,,,,,,,,,,,,,,,,,,,,,,,,,,,,,,,,,,,,,,,,,,,,,,,,,,,,,,,,,,,,,,,,,,,,,,,,,,,,,,,,,,,,,,,,,,,,,,,,,,,,,,,,,,,,,,,,,,,,,,,,,,,,,,,,,,,,,,,,,,,,,,,,,,,,,,,,,,,,,,,,,,,,,,,,,,,,,,,,,,,,,,,,,,,,,,,,,,,,,,,,,,,,,,,,,,,,,,,,,,,,,,,,,,,,,,,,,,,,,,,,,,,,,,,,,,,,,,,,,,,,,,,,,,,,,,,,,,,,,,,,,,,,,,,,,,,,,,,,,,,,,,,,,,,,,,,,,,,,,,,,,,,,,,,,,,,,,,,,,,,,,,,,,,,,,,,,,,,,,,,,,,,,,,,,,,,,,,,,,,,,,,,,,,,,,,,,,,,,,,,,,,,,,,,,,,,,,,,,,,,,,,,,,,,,,,,,,,,,,,,,,,,,,,,,,,,,,,,,,,,,,,,,,,,,,,,,,,,,,,,,,,,,,,,,,,,,,,,,,,,,,,,,,,,,,,,,,,,,,,,,,,,,,,,,,,,,,,,,,,,,,,,,,,,,,,,,,,,,,,,,,,,,,,,,,,,,,,,,,,,,,,,,,,,,,,,,,,,,,,,,,,,,,,,,,,,,,,,,,,,,,,,,,,,,,,,,,,,,,,,,,,,,,,,,,,,,,,,,,,,,,,,,,,,,,,,,,,,,,,,,,,,,,,,,,,,,,,,,,,,,,,,,,,,,,,,,,,,,,,,,,,,,,,,,,,,,,,,,,,,,,,,,,,,,,,,,,,,,,,,,,,,,,,,,,,,,,,,,,,,,,,,,,,,,,,,,,,,,,,,,,,,,,,,,,,,,,,,,,,,,,,,,,,,,,,,,,,,,,,,,,,,,,,,,,,,,,,,,,,,,,,,,,,,,,,,,,,,,,,,,,,,,,,,,,,,,,,,,,,,,,,,,,,,,,,,,,,,,,,,,,,,,,,,,,,,,,,,,,,,,,,,,,,,,,,,,,,,,,,,,,,,,,,,,,,,,,,,,,,,,,,,,,,,,,,,,,,,,,,,,,,,,,,,,,,,,,,,,,,,,,,,,,,,,,,,,,,,,,,,,,,,,,,,,,,,,,,,,,,,,,,,,,,,,,,,,,,,,,,,,,,,,,,,,,,,,,,,,,,,,,,,,,,,,,,,,,,,,,,,,,,,,,,,,,,,,,,,,,,,,,,,,,,,,,,,,,,,,,,,,,,,,,,,,,,,,,,,,,,,,,,,,,,,,,,,,,,,,,,,,,,,,,,,,,,,,,,,,,,,,,,,,,,,,,,,,,,,,,,,,,,,,,,,,,,,,,,,,,,,,,,,,,,,,,,,,,,,,,,,,,,,,,,,,,,,,,,,,,,,,,,,,,,,,,,,,,,,,,,,,,,,,,,,,,,,,,,,,,,,,,,,,,,,,,,,,,,,,,,,,,,,,,,,,,,,,,,,,,,,,,,,,,,,,,,,,,,,,,,,,,,,,,,,,,,,,,,,,,,,,,,,,,,,,,,,,,,,,,,,,,,,,,,,,,,,,,,,,,,,,,,,,,,,,,,,,,,,,,,,,,,,,,,,,,,,,,,,,,,,,,,,,,,,,,,,,,,,,,,,,,,,,,,,,,,,,,,,,,,,,,,,,,,,,,,,,,,,,,,,,,,,,,,,,,,,,,,,,,,,,,,,,,,,,,,,,,,,,,,,,,,,,,,,,,,,,,,,,,,,,,,,,,,,,,,,,,,,,,,,,,,,,,,,,,,,,,,,,,,,,,,,,,,,,,,,,,,,,,,,,,,,,,,,,,,,,,,,,,,,,,,,,,,,,,,,,,,,,,,,,,,,,,,,,,,,,,,,,,,,,,,,,,,,,,,,,,,,,,,,,,,,,,,,,,,,,,,,,,,,,,,,,,,,,,,,,,,,,,,,,,,,,,,,,,,,,,,,,,,,,,,,,,,,,,,,,,,,,,,,,,,,,,,,,,,,,,,,,,,,,,,,,,,,,,,,,,,,,,,,,,,,,,,,,,,,,,,,,,,,,,,,,,,,,,,,,,,,,,,,,,,,,,,,,,,,,,,,,,,,,,,,,,,,,,,,,,,,,,,,,,,,,,,,,,,,,,,,,,,,,,,,,,,,,,,,,,,,,,,,,,,,,,,,,,,,,,,,,,,,,,,,,,,,,,,,,,,,,,,,,,,,,,,,,,,,,,,,,,,,,,,,,,,,,,,,,,,,,,,,,,,,,,,,,,,,,,,,,,,,,,,,,,,,,,,,,,,,,,,,,,,,,,,,,,,,,,,,,,,,,,,,,,,,,,,,,,,,,,,,,,,,,,,,,,,,,,,,,,,,,,,,,,,,,,,,,,,,,,,,,,,,,,,,,,,,,,,,,,,,,,,,,,,,,,,,,,,,,,}",
                    "MostRecentExpectedUnitErrors": null,
                    "Units": {
                      "$id": "293",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Determined Cost from 2026 nominal Opex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9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95",
                          "$type": "ModelMaker.DimensionedArrayValues, ModelMaker",
                          "Elements": {
                            "$type": "ModelMakerEngine.MMElements, ModelMakerEngine",
                            "$values": []
                          },
                          "Values": {
                            "$type": "System.Collections.Generic.List`1[[System.Object, mscorlib]], mscorlib",
                            "$values": [
                              "",
                              "13721.9731838145",
                              "13721.9731838145",
                              "12596.1484834584",
                              "16567.3171598026",
                              "14664.3023009071",
                              "17673.5868258503",
                              "16556.4364865106",
                              "19253.4777862756",
                              "18488.0754610123",
                              "19236.3599198299",
                              ""
                            ]
                          }
                        }
                      ]
                    },
                    "NonPrimaryInput": false,
                    "Max": "NaN",
                    "Min": "NaN",
                    "IsBalanceButNotCorkscrew": false,
                    "IsEditable": true,
                    "IsConstant": false,
                    "UniqueID": "2d80f125-786f-448f-98b4-283bae6b3a20",
                    "Dimensions": {
                      "$type": "ModelMakerEngine.MMDimensions, ModelMakerEngine",
                      "$values": []
                    },
                    "EquationOBXInternal": "{,13721.9731838145,13721.9731838145,12596.1484834584,16567.3171598026,14664.3023009071,17673.5868258503,16556.4364865106,19253.4777862756,18488.0754610123,19236.3599198299,}",
                    "NameOfGroup": "Unallocated",
                    "EquationToParse": "{,13721.9731838145,13721.9731838145,12596.1484834584,16567.3171598026,14664.3023009071,17673.5868258503,16556.4364865106,19253.4777862756,18488.0754610123,19236.3599198299,}",
                    "MostRecentExpectedUnitErrors": null,
                    "Units": {
                      "$id": "296",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 from 2026 real RAB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7,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29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298",
                          "$type": "ModelMaker.DimensionedArrayValues, ModelMaker",
                          "Elements": {
                            "$type": "ModelMakerEngine.MMElements, ModelMakerEngine",
                            "$values": []
                          },
                          "Values": {
                            "$type": "System.Collections.Generic.List`1[[System.Object, mscorlib]], mscorlib",
                            "$values": [
                              "",
                              "14458.1127976005",
                              "14745.6972881069",
                              "13806.6556069237",
                              "18522.6335141704",
                              "16722.9204664555",
                              "20557.7504061653",
                              "19643.4574432581",
                              "23300.2415268717",
                              "22821.4435313084",
                              "24220.0186079818",
                              ""
                            ]
                          }
                        }
                      ]
                    },
                    "NonPrimaryInput": false,
                    "Max": "NaN",
                    "Min": "NaN",
                    "IsBalanceButNotCorkscrew": false,
                    "IsEditable": true,
                    "IsConstant": false,
                    "UniqueID": "d8d9f06e-8e5d-454b-b5d8-cc25d89dd64e",
                    "Dimensions": {
                      "$type": "ModelMakerEngine.MMDimensions, ModelMakerEngine",
                      "$values": []
                    },
                    "EquationOBXInternal": "{,14458.1127976005,14745.6972881069,13806.6556069237,18522.6335141704,16722.9204664555,20557.7504061653,19643.4574432581,23300.2415268717,22821.4435313084,24220.0186079818,}",
                    "NameOfGroup": "Unallocated",
                    "EquationToParse": "{,14458.1127976005,14745.6972881069,13806.6556069237,18522.6335141704,16722.9204664555,20557.7504061653,19643.4574432581,23300.2415268717,22821.4435313084,24220.0186079818,}",
                    "MostRecentExpectedUnitErrors": null,
                    "Units": {
                      "$id": "299",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Determined Cost from 2026 Nominal RAB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8,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0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301",
                          "$type": "ModelMaker.DimensionedArrayValues, ModelMaker",
                          "Elements": {
                            "$type": "ModelMakerEngine.MMElements, ModelMakerEngine",
                            "$values": []
                          },
                          "Values": {
                            "$type": "System.Collections.Generic.List`1[[System.Object, mscorlib]], mscorlib",
                            "$values": [
                              null,
                              2.0903284293886255,
                              2.0515159651824706,
                              1.4390213915065231,
                              1.8564964420427308,
                              1.2672222282874979,
                              1.5609143806984318,
                              1.1688244613318324,
                              1.4289728881556409,
                              1.1299473397574937,
                              1.1110083845500029,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c6ea0a37-b42b-4d44-b1f1-b201b95c36fa",
                    "Dimensions": {
                      "$type": "ModelMakerEngine.MMDimensions, ModelMakerEngine",
                      "$values": []
                    },
                    "EquationOBXInternal": "{,2.09032842938863,2.05151596518247,1.43902139150652,1.85649644204273,1.2672222282875,1.56091438069843,1.16882446133183,1.42897288815564,1.12994733975749,1.11100838455,,,,,,,,,,,,,,,,,,,,,,,,,,,,,,,,,,,,,,,,,,,,,,,,,,,,,,,,,,,,,,,,,,,,,,,,,,,,,,,,,,,,,,,,,,,,,,,,,,,,,,,,,,,,,,,,,,,,,,,,,,,,,,,,,,,,,,,,,,,,,,,,,,,,,,,,,,,,,,,,,,,,,,,,,,,,,,,,,,,,,,,,,,,,,,,,,,,,,,,,,,,,,,,,,,,,,,,,,,,,,,,,,,,,,,,,,,,,,,,,,,,,,,,,,,,,,,,,,,,,,,,,,,,,,,,,,,,,,,,,,,,,,,,,,,,,,,,,,,,,,,,,,,,,,,,,,,,,,,,,,,,,,,,,,,,,,,,,,,,,,,,,,,,,,,,,,,,,,,,,,,,,,,,,,,,,,,,,,,,,,,,,,,,,,,,,,,,,,,,,,,,,,,,,,,,,,,,,,,,,,,,,,,,,,,,,,,,,,,,,,,,,,,,,,,,,,,,,,,,,,,,,,,,,,,,,,,,,,,,,,,,,,,,,,,,,,,,,,,,,,,,,,,,,,,,,,,,,,,,,,,,,,,,,,,,,,,,,,,,,,,,,,,,,,,,,,,,,,,,,,,,,,,,,,,,,,,,,,,,,,,,,,,,,,,,,,,,,,,,,,,,,,,,,,,,,,,,,,,,,,,,,,,,,,,,,,,,,,,,,,,,,,,,,,,,,,,,,,,,,,,,,,,,,,,,,,,,,,,,,,,,,,,,,,,,,,,,,,,,,,,,,,,,,,,,,,,,,,,,,,,,,,,,,,,,,,,,,,,,,,,,,,,,,,,,,,,,,,,,,,,,,,,,,,,,,,,,,,,,,,,,,,,,,,,,,,,,,,,,,,,,,,,,,,,,,,,,,,,,,,,,,,,,,,,,,,,,,,,,,,,,,,,,,,,,,,,,,,,,,,,,,,,,,,,,,,,,,,,,,,,,,,,,,,,,,,,,,,,,,,,,,,,,,,,,,,,,,,,,,,,,,,,,,,,,,,,,,,,,,,,,,,,,,,,,,,,,,,,,,,,,,,,,,,,,,,,,,,,,,,,,,,,,,,,,,,,,,,,,,,,,,,,,,,,,,,,,,,,,,,,,,,,,,,,,,,,,,,,,,,,,,,,,,,,,,,,,,,,,,,,,,,,,,,,,,,,,,,,,,,,,,,,,,,,,,,,,,,,,,,,,,,,,,,,,,,,,,,,,,,,,,,,,,,,,,,,,,,,,,,,,,,,,,,,,,,,,,,,,,,,,,,,,,,,,,,,,,,,,,,,,,,,,,,,,,,,,,,,,,,,,,,,,,,,,,,,,,,,,,,,,,,,,,,,,,,,,,,,,,,,,,,,,,,,,,,,,,,,,,,,,,,,,,,,,,,,,,,,,,,,,,,,,,,,,,,,,,,,,,,,,,,,,,,,,,,,,,,,,,,,,,,,,,,,,,,,,,,,,,,,,,,,,,,,,,,,,,,,,,,,,,,,,,,,,,,,,,,,,,,,,,,,,,,,,,,,,,,,,,,,,,,,,,,,,,,,,,,,,,,,,,,,,,,,,,,,,,,,,,,,,,,,,,,,,,,,,,,,,,,,,,,,,,,,,,,,,,,,,,,,,,,,,,,,,,,,,,,,,,,,,,,,,,,,,,,,,,,,,,,,,,,,,,,,,,,,,,,,,,,,,,,,,,,,,,,,,,,,,,,,,,,,,,,,,,,,,,,,,,,,,,,,,,,,,,,,,,,,,,,,,,,,,,,,,,,,,,,,,,,,,,,,,,,,,,,,,,,,,,,,,,,,,,,,,,,,,,,,,,,,,,,,,,,,,,,,,,,,,,,,,,,,,,,,,,,,,,,,,,,,,,,,,,,,,,,,,,,,,,,,,,,,,,,,,,,,,,,,,,,,,,,,,,,,,,,,,,,,,,,,,,,,,,,,,,,,,,,,,,,,,,,,,,,,,,,,,,,,,,,,,,,,,,,,,,,,,,,,,,,,,,,,,,,,,,,,,,,,,,,,,,,,,,,,,,,,,,,,,,,,,,,,,,,,,,,,,,,,,,,,,,,,,,,,,,,,,,,,,,,,,,,,,,,,,,,,,,,,,,,,,,,,,,,,,,,,,,,,,,,,,,,,,,,,,,,,,,,,,,,,,,,,,,,,,,,,,,,,,,,,,,,,,,,,,,,,,,,,,,,,,,,,,,,,,,,,,,,,,,,,,,,,,,,,,,,,,,,,,,,,,,,,,,,,,,,,,,,,,,,,,,,,,,,,,,,,,,,,,,,,,,,,,,,,,,,,,,,,,,,,,,,,,,,,,,,,,,,,,,,,,,,,,,,,,,,,,,,,,,,,,,,,,,,,,,,,,,,,,,,,,,,,,,,,,,,,,,,,,,,,,,,,,,,,,,,,,,,,,,,,,,,,,,,,,,,,,,,,,,,,,,,,,,,,,,,,,,,,,,,,,,,,,,,,,,,,,,,,,,,,,,,,,,,,,,,,,,,,,,,,,,,,,,,,,,,,,,,,,,,,,,,,,,,,,,,,,,,,,,,,,,,,,,,,,,,,,,,,,,,,,,,,,,,,,,,,,,,,,,,,,,,,,,,,,,,,,,,,,,,,,,,,,,,,,,,,,,,,,,,,,,,,,,,,,,,,,,,,,,,,,,,,,,,,,,,,,,,,,,,,,,,,,,,,,,,,,,,,,,,,,,,,,,,,,,,,,,,,,,,,,,,,,,,,,,,,,,,,,,,,,,,,,,,,,,,,,,,,,,,,,,,,,,,,,,,,,,,,,,,,,,,,,,,,,,,,,,,,,,,,,,,,,,,,,,,,,,,,,,,,,,,,,,,,,,,,,,,,,,,,,,,,,,,,,,,,,,,,,,,,,,,,,,,,,,,,,,,,,,,,,,,,,,,,,,,,,,,,,,,,,,,,,,,,,,,,,,,,,,,,,,,,,,,,,,,,,,,,,,,,,,,,,,,,,,,,,,,,,,,,,,,,,,,,,,,,,,,,,,,,,,,,,,,,,,,,,,,,,,,,,,,,,,,,,,,,,,,,,,,,,,,,,,,,,,,,,,,,,,,,,,,,,,,,,,,,,,,,,,,,,,,,,,,,,,,,,,,,,,,,,,,,,,,,,,,,,,,,,,,,,,,,,,,,,,,,,,,,,,,,,,,,,,,,,,,,,,,,,,,,,,,,,,,,,,,,,,,,,,,,,,,,,,,,,,,,,,,,,,,,,,,,,,,,,,,,,,,,,,,,,,,,,,,,,,,,,,,,,,,,,,,,,,,,,,,,,,,,,,,,,,,,,,,,,,,,,,,,,,,,,,,,,,,,,,,,,,,,,,,,,,,,,,,,,,,,,,,,,,,,,,,,,,,,,,,,,,,,,,,,,,,,,,,,,,,,,,,,,,,,,,,,,,,,,,,,,,,,,,,,,,,,,,,,,,,,,,,,,,,,,,,,,,,,,,,,,,,,,,,,,,,,,,,,,,,,,,,,,,,,,,,,,,,,,,,,,,,,,,,,,,,,,,,,,,,,,,,,,,,,,,,,,,,,,,,,,,,,,,,,,,,,,,,,,,,,,,,,,,,,,,,,,,,,,,,,,,,,,,,,,,,,,,,,,,,,,,,,,,,,,,,,,,,,,,,,,,,,,,,,,,,,,,,,,,,,,,,,,,,,,,,,,,,,,,,,,,,,,,,,,,,,,,,,,,,,,,,,,,,,,,,,,,,,,,,,,,,,,,,,,,,,,,,,,,,,,,,,,,,,,,,,,,,,,,,,,,,,,,,,,,,,,,,,,,,,,,,,,,,,,,,,,,,,,,,,,,,,,,,,,,,,,,,,,,,,,,,,,,,,,,,,,,,,,,,,,,,,,,,,,,,,,,,,,,,,,,,,,,,,,,,,,,,,,,,,,,,,,,,,,,,,,,,,,,,,,,,,,,,,,,,,,,,,,,,,,,,,,,,,,,,,,,,,,,,,,,,,,,,,,,,,,,,,,,,,,,,,,,,,,,,,,,,,,,,,,,,,,,,,,,,,,,,,,,,,,,,,,,,,,,,,,,,,,,,,,,,,,,,,,,,,,,,,,,,,,,,,,,,,,,,,,,,,,,,,,,,,,,,,,,,,,,,,,,,,,,,,,,,,,,,,,,,,,,,,,,,,,,,,,,,,,,,,,,,,,,,,,,,,,,,,,,,,,,,,,,,,,,,,,,,,,,,,,,,,,,,,,,,,,,,,,,,,,,,,,,,,,,,,,,,,,,,,,,,,,,,,,,,,,,,,,,,,,,,,,,,,,,,,,,,,,,,,,,,,,,,,,,,,,,,,,,,,,,,,,,,,,,,,,,,,,,,,,,,,,,,,,,,,,,,,,,,,,,,,,,,,,,,,,,,,,,,,,,,,,,,,,,,,,,,,,,,,,,,,,,,,,,,,,,,,,,,,,,,,,,,,,,,,,,,,,,,,,,,,,,,,,,,,,,,,,,,,,,,,,,,,,,,,,,,,,,,,,,,,,,,,,,,,,,,,,,,,,,,,,,,,,,,,,,,,,,,,,,,,,,,,,,,,,,,,,,,,,,,,,,,,,,,,,,,,,,,,,,,,,,,,,,,,,,,,,,,,,,,,,,,,,,,,,,,,,,,,,,,,,,,,,,,,,,,,,,,,,,,,,,,,,,,,,,,,,,,,,,,,,,,,,,,,,,,,,,,,,,,,,,,,,,,,,,,,,,,,,,,,,,,,,,,,,,,,,,,,,,,,,,,,,,,,,,,,,,,,,,,,,,,,,,,,,,,,,,,,,,,,,,,,,,,,,,,,,,,,,,,,,,,,,,,,,,,,,,,,,,,,,,,,,,,,,,,,,,,,,,,,,,,,,,,,,,,,,,,,,,,,,,,,,,,,,,,,,,,,,,,,,,,,,,,,,,,,,,,,,,,,,,,,,,,,,,,,,,,,,,,,,,,,,,,,,,,,,,,,,,,,,,,,,,,,,,,,,,,,,,,,,,,,,,,,,,,,,,,,,,,,,,,,,,,,,,,,,,,,,,,,,,,,,,,,,,,,,,,,,,,,,,,,,,,,,,,,,,,,,,,,,,,,,,,,,,,,,,,,,,,,,,,,,,,,,,,,,,,,,,,,,,,,,,,,,,,,,,,,,,,,,,,,,,,,,,,,,,,,,,,,,,,,,,,,,,,,,,,,,,,,,,,,,,,,,,,,,,,,,,,,,,,,,,,,,,,,,,,,,,,,,,,,,,,,,,,,,,,,,,,,,,,,,,,,,,,,,,,,,,,,,,,,,,,,,,,,,,,,,,,,,,,,,,,,,,,,,,,,,,,,,,,,,,,,,,,,,,,,,,,,,,,,,,,,,,,,,,,,,,,,,,,,,,,,,,,,,,,,,,,,,,,,,,,,,,,,,,,,,,,,,,,,,,,,,,,,,,,,,,,,,,,,,,,,,,,,,,,,,,,,,,,,,,,,,,,,,,,,,,,,,,,,,,,,,,,,,,,,,,,,,,,,,,,,,,,,,,,,,,,,,,,,,,,,,,,,,,,,,,,,,,,,,,,,,,,,,,,,,,,,,,,,,,,,,,,,,,,,,,,,,,,,,,,,,,,,,,,,,,,,,,,,,,,,,,,,,,,,,,,,,,,,,,,,,,,,,,,,,,,,,,,,,,,,,,,,,,,,,,,,,,,,,,,,,,,,,,,,,,,,,,,,,,,,,,,,,,,,,,,,,,,,,,,,,,,,,,,,,,,,,,,,,,,,,,,,,,,,,,,,,,,,,,,,,,,,,,,,,,,,,,,,,,,,,,,,,,,,,,,,,,,,,,,,,,,,,,,,,,,,,,,,,,,,,,,,,,,,,,,,,,,,,,,,,,,,,,,,,,,,,,,,,,,,,,,,,,,,,,,,,,,,,,,,,,,,,,,,,,,,,,,,,,,,,,,,,,,,,,,,,,,,,,,,,,,,,,,,,,,,,,,,,,,,,,,,,,,,,,,,,,,,,,,,,,,,,,,,,,,,,,,,,,,,,,,,,,,,,,,,,,,,,,,,,,,,,,,,,,,,,,,,,,,,,,,,,,,,,,,,,,,,,,,,,,,,,,,,,,,,,,,,,,,,,,,,,,,,,,,,,,,,,,,,,,,,,,,,,,,,,,,,,,,,,,,,,,,,,,,,,,,,,,,,,,,,,,,,,,,,,,,,,,,,,,,,,,,,,,,,,,,,,,,,,,,,,,,,,,,,,,,,,,,,,,,,,,,,,,,,,,,,,,,,,,,,,,,,,,,,,,,,,,,,,,,,,,,,,,,,,,,,,,,,,,,,,,,,,,,,,,,,,,,,,,,,,,,,,,,,,,,,,,,,,,,,,,,,,,,,,,,,,,,,,,,,,,,,,,,,,,,,,,,,,,,,,,,,,,,,,,,,,,,,,,,,,,,,,,,,,,,,,,,,,,,,,,,,,,,,,,,,,,,,,,,,,,,,,,,,,,,,,,,,,,,,,,,,,,,,,,,,,,,,,,,,,,,,,,,,,,,,,,,,,,,,,,,,,,,,,,,,,,,,,,,,,,,,,,,,,,,,,,,,,,,,,,,,,,,,,,,,,,,,,,,,,,,,,,,,,,,,,,,,,,,,,,,,,,,,,,,,,,,,,,,,,,,,,,,,,,,,,,,,,,,,,,,,,,,,,,,,,,,,,,,,,,,,,,,,,,,,,,,,,,,,,,,,,,,,,,,,,,,,,,,,,,,,,,,,,,,,,,,,,,,,,,,,,,,,,,,,,,,,,,,,,,,,,,,,,,,,,,,,,,,,,,,,,,,,,,,,,,,,,,,,,,,,,,,,,,,,,,,,,,,,,,,,,,,,,,,,,,,,,,,,,,,,,,,,,,,,,,,,,,,,,,,,,,,,,,,,,,,,,,,,,,,,,,,,,,,,,,,,,,,,,,,,,,,,,,,,,,,,,,,,,,,,,,,,,,,,,,,,,,,,,,,,,,,,,,,,,,,,,,,,,,,,,,,,,,,,,,,,,,,,,,,,,,,,,,,,,,,,,,,,,,,,,,,,,,,,,,,,,,,,,,,,,,,,,,,,,,,,,,,,,,,,,,,,,,,,,,,,,,,,,,,,,,,,,,,,,,,,,,,,,,,,,,,,,,,,,,,,,,,,,,,,,,,,,,,,,,,,,,,,,,,,,,,,,,,,,,,,,,,,,,,,,,,,,,,,,,,,,,,,,,,,,,,,,,,,,,,,,,,,,,,,,,,,,,,,,,,,,,,,,,,,,,,,,,,,,,,,,,,,,,,,,,,,,,,,,,,,,,,,,,,,,,,,,,,,,,,,,,,,,,,,,,,,,,,,,,,,,,,,,,,,,,,,,,,,,,,,,,,,,,,,,,,,,,,,,,,,,,,,,,,,,,,,,,,,,,,,,,,,,,,,,,,,,,,,,,,,,,,,,,,,,,,,,,,,,,,,,,,,,,,,,,,,,,,,,,,,,,,,,,,,,,,,,,,,,,,,,,,,,,,,,,,,,,,,,,,,,,,,,,,,,,,,,,,,,,,,,,,,,,,,,,,,,,,,,,,,,,,,,,,,,,,,,,,,,,,,,,,,,,,,,,,,,,,,,,,,,,,,,,,,,,,,,,,,,,,,,,,,,,,,,,,,,,,,,,,,,,,,,,,,,,,,,,,,,,,,,,,,,,,,,,,,,,,,,,,,,,,,,,,,,,,,,,,,,,,,,,,,,,,,,,,,,,,,,,,,,,,,,,,,,,,,,,,,,,,,,,,,,,,,,,,,,,,,,,,,,,,,,,,,,,,,,,,,,,,,,,,,,,,,,,,,,,,,,,,,,,,,,,,,,,,,,,,,,,,,,,,,,,,,,,,,,,,,,,,,,,,,,,,,,,,,,,,,,,,,,,,,,,,,,,,,,,,,,,,,,,,,,,,,,,,,,,,,,,,,,,,,,,,,,,,,,,,,,,,,,,,,,,,,,,,,,,,,,,,,,,,,,,,,,,,,,,,,,,,,,,,,,,,,,,,,,,,,,,,,,,,,,,,,,,,,,,,,,,,,,,,,,,,,,,,,,,,,,,,,,,,,,,,,,,,,,,,,,,,,,,,,,,,,,,,,,,,,,,,,,,,,,,,,,,,,,,,,,,,,,,,,,,,,,,,,,,,,,,,,,,,,,,,,,,,,,,,,,,,,,,,,,,,,,,,,,,,,,,,,,,,,,,,,,,,,,,,,,,,,,,,,,,,,,,,,,,,,,,,,,,,,,,,,,,,,,,,,,,,,,,,,,,,,,,,,,,,,,,,,,,,,,,,,,,,,,,,,,,,,,,,,,,,,,,,,,,,,,,,,,,,,,,,,,,,,,,,,,,,,,,,,,,,,,,,,,,,,,,,,,,,,,,,,,,,,,,,,,,,,,,,,,,,,,,,,,,,,,,,,,,,,,,,,,,,,,,,,,,,,,,,,,,,,,,,,,,,,,,,,,,,,,,,,,,,,,,,,,,,,,,,,,,,,,,,,,,,,,,,,,,,,,,,,,,,,,,,,,,,,,,,,,,,,,,,,,,,,,,,,,,,,,,,,,,,,,,,,,,,,,,,,,,,,,,,,,,,,,,,,,,,,,,,,,,,,,,,,,,,,,,,,,,,,,,,,,,,,,,,,,,,,,,,,,,,,,,,,,,,,,,,,,,,,,,,,,,,,,,,,,,,,,,,,,,,,,,,,,,,,,,,,,,,,,,,,,,,,,,,,,,,,,,,,,,,,,,,,,,,,,,,,,,,,,,,,,,,,,,,,,,,,,,,,,,,,,,,,,,,,,,,,,,,,,,,,,,,,,,,,,,,,,,,,,,,,,,,,,,,,,,,,,,,,,,,,,,,,,,,,,,,,,,,,,,,,,,,,,,,,,,,,,,,,,,,,,,,,,,,,,,,,,,,,,,,,,,,,,,,,,,,,,,,,,,,,,,,,,,,,,,,,,,,,,,,,,,,,,,,,,,,,,,,,,,,,,,,,,,,,,,,,,,,,,,,,,,,,,,,,,,,,,,,,,,,,,,,,,,,,,,,,,,,,,,,,,,,,,,,,,,,,,,,,,,,,,,,,,,,,,,,,,,,,,,,,,,,,,,,,,,,,,,,,,,,,,,,,,,,,,,,,,,,,,,,,,,,,,,,,,,,,,,,,,,,,,,,,,,,,,,,,,,,,,,,,,,,,,,,,,,,,,,,,,,,,,,,,,,,,,,,,,,,,,,,,,,,,,,,,,,,,,,,,,,,,,,,,,,,,,,,,,,,,,,,,,,,,,,,,,,,,,,,,,,,,,,,,,,,,,,,,,,,,,,,,,,,,,,,,,,,,,,,,,,,,,,,,,,,,,,,,,,,,,,,,,,,,,,,,,,,,,,,,,,,,,,,,,,,,,,,,,,,,,,,,,,,,,,,,,,,,,,,,,,,,,,,,,,,,,,,,,,,,,,,,,,,,,,,,,,,,,,,,,,,,,,,,,,,,,,,,,,,,,,,,,,,,,,,,,,,,,,,,,,,,,,,,,,,,,,,,,,,,,,,,,,,,,,,,,,,,,,,,,,,,,,,,,,,,,,,,,,,,,,,,,,,,,,,,,,,,,,,,,,,,,,,,,,,,,,,,,,,,,,,,,,,,,,,,,,,,,,,,,,,,,,,,,,,,,,,,,,,,,,,,,,,,,,,,,,,,,,,,,,,,,,,,,,,,,,,,,,,,,,,,,,,,,,,,,,,,,,,,,,,,,,,,,,,,,,,,,,,,,,,,,,,,,,,,,,,,,,,,,,,,,,,,,,,,,,,,,,,,,,,,,,,,,,,,,,,,,,,,,,,,,,,,,,,,,,,,,,,,,,,,,,,,,,,,,,,,,,,,,,,,,,,,,,,,,,,,,,,,,,,,,,,,,,,,,,,,,,,,,,,,,,,,,,,,,,,,,,,,,,,,,,,,,,,,,,,,,,,,,,,,,,,,,,,,,,,,,,,,,,,,,,,,,,,,,,,,,,,,,,,,,,,,,,,,,,,,,,,,,,,,,,,,,,,,,,,,,,,,,,,,,,,,,,,,,,,,,,,,,,,,,,,,,,,,,,,,,,,,,,,,,,,,,,,,,,,,,,,,,,,,,,,,,,,,,,,,,,,,,,,,,,,,,,,,,,,,,,,,,,,,,,,,,,,,,,,,,,,,,,,,,,,,,,,,,,,,,,,,,,,,,,,,,,,,,,,,,,,,,,,,,,,,,,,,,,,,,,,,,,,,,,,,,,,,,,,,,,,,,,,,,,,,,,,,,,,,,,,,,,,,,,,,,,,,,,,,,,,,,,,,,,,,,,,,,,,,,,,,,,,,,,,,,,,,,,,,,,,,,,,,,,,,,,,,,,,,,,,,,,,,,,,,,,,,,,,,,,,,,,,,,,,,,,,,,,,,,,,,,,,,,,,,,,,,,,,,,,,,,,,,,,,,,,,,,,,,,,,,,,,,,,,,,,,,,,,,,,,,,,,,,,,,,,,,,,,,,,,,,,,,,,,,,,,,,,,,,,,,,,,,,,,,,,,,,,,,,,,,,,,,,,,,,,,,,,,,,,,,,,,,,,,,,,,,,,,,,,,,,,,,,,,,,,,,,,,,,,,,,,,,,,,,,,,,,,,,,,,,,,,,,,,,,,,,,,,,,,,,,,,,,,,,,,,,,,,,,,,,,,,,,,,,,,,,,,,,,,,,,,,,,,,,,,,,,,,,,,,,,,,,,,,,,,,,,,,,,,,,,,,,,,,,,,,,,,,,,,,,,,,,,,,,,,,,,,,,,,,,,,,,,,,,,,,,,,,,,,,,,,,,,,,,,,,,,,,,,,,,,,,,,,,,,,,,,,,,,,,,,,,,,,,,,,,,,,,,,,,,,,,,,,,,,,,,,,,,,,,,,,,,,,,,,,,,,,,,,,,,,,,,,,,,,,,,,,,,,,,,,,,,,,,,,,,,,,,,,,,,,,,,,,,,,,,,,,,,,,,,,,,,,,,,,,,,,,,,,,,,,,,,,,,,,,,,,,,,,,,,,,,,,,,,,,,,,,,,,,,,,,,,,,,,,,,,,,,,,,,,,,,,,,,,,,,,,,,,,,,,,,,,,,,,,,,,,,,,,,,,,,,,,,,,,,,,,,,,,,,,,,,,,,,,,,,,,,,,,,,,,,,,,,,,,,,,,,,,,,,,,,,,,,,,,,,,,,,,,,,,,,,,,,,,,,,,,,,,,,,,,,,,,,,,,,,,,,,,,,,,,,,,,,,,,,,,,,,,,,,,,,,,,,,,,,,,,,,,,,,,,,,,,,,,,,,,,,,,,,,,,,,,,,,,,,,,,,,,,,,,,,,,,,,,,,,,,,,,,,,,,,,,,,,,,,,,,,,,,,,,,,,,,,,,,,,,,,,,,,,,,,,,,,,,,,,,,,,,,,,,,,,,,,,,,,,,,,,,,,,,,,,,,,,,,,,,,,,,,,,,,,,,,,,,,,,,,,,,,,,,,,,,,,,,,,,,,,,,,,,,,,,,,,,,,,,,,,,,,,,,,,,,,,,,,,,,,,,,,,,,,,,,,,,,,,,,,,,,,,,,,,,,,,,,,,,,,,,,,,,,,,,,,,,,,,,,,,,,,,,,,,,,,,,,,,,,,,,,,,,,,,,,,,,,,,,,,,,,,,,,,,,,,,,,,,,,,,,,,,,,,,,,,,,,,,,,,,,,,,,,,,,,,,,,,,,,,,,,,,,,,,,,,,,,,,,,,,,,,,,,,,,,,,,,,,,,,,,,,,,,,,,,,,,,,,,,,,,,,,,,,,,,,,,,,,,,,,,,,,,,,,,,,,,,,,,,,,,,,,,,,,,,,,,,,,,,,,,,,,,,,,,,,,,,,,,,,,,,,,,,,,,,,,,,,,,,,,,,,,,,,,,,,,,,,,,,,,,,,,,,,,,,,,,,,,,,,,,,,,,,,,,,,,,,,,,,,,,,,,,,,,,,,,,,,,,,,,,,,,,,,,,,,,,,,,,,,,,,,,,,,,,,,,,,,,,,,,,,,,,,,,,,,,,,,,,,,,,,,,,,,,,,,,,,,,,,,,,,,,,,,,,,,,,,,,,,,,,,,,,,,,,,,,,,,,,,,,,,,,,,,,,,,,,,,,,,,,,,,,,,,,,,,,,,,,,,,,,,,,,,,,,,,,,,,,,,,,,,,,,,,,,,,,,,,,,,,,,,,,,,,,,,,,,,,,,,,,,,,,,,,,,,,,,,,,,,,,,,,,,,,,,,,,,,,,,,,,,,,,,,,,,,,,,,,,,,,,,,,,,,,,,,,,,,,,,,,,,,,,,,,,,,,,,,,,,,,,,,,,,,,,,,,,,,,,,,,,,,,,,,,,,,,,,,,,,,,,,,,,,,,,,,,,,,,,,,,,,,,,,,,,,,,,,,,,,,,,,,,,,,,,,,,,,,,,,,,,,,,,,,,,,,,,,,,,,,,,,,,,,,,,,,,,,,,,,,,,,,,,,,,,,,,,,,,,,,,,,,,,,,,,,,,,,,,,,,,,,,,,,,,,,,,,,,,,,,,,,,,,,,,,,,,,,,,,,,,,,,,,,,,,,,,,,,,,,,,,,,,,,,,,,,,,,,,,,,,,,,,,,,,,,,,,,,,,,,,,,,,,,,,,,,,,,,,,,,,,,,,,,,,,,,,,,,,,,,,,,,,,,,,,,,,,,,,,,,,,,,,,,,,,,,,,,,,,,,,,,,,,,,,,,,,,,,,,,,,,,,,,,,,,,,,,,,,,,,,,,,,,,,,,,,,,,,,,,,,,,,,,,,,,,,,,,,,,,,,,,,,,,,,,,,,,,,,,,,,,,,,,,,,,,,,,,,,,,,,,,,,,,,,,,,,,,,,,,,,,,,,,,,,,,,,,,,,,,,,,,,,,,,,,,,,,,,,,,,,,,,,,,,,,,,,,,,,,,,,,,,,,,,,,,,,,,,,,,,,,,,,,,,,,,,,,,,,,,,,,,,,,,,,,,,,,,,,,,,,,,,,,,,,,,,,,,,,,,,,,,,,,,,,,,,,,,,,,,,,,,,,,,,,,,,,,,,,,,,,,,,,,,,,,,,,,,,,,,,,,,,,,,,,,,,,,,,,,,,,,,,,,,,,,,,,,,,,,,,,,,,,,,,,,,,,,,,,,,,,,,,,,,,,,,,,,,,,,,,,,,,,,,,,,,,,,,,,,,,,,,,,,,,,,,,,,,,,,,,,,,,,,,,,,,,,,,,,,,,,,,,,,,,,,,,,,,,,,,,,,,,,,,,,,,,,,,,,,,,,,,,,,,,,,,,,,,,,,,,,,,,,,,,,,,,,,,,,,,,,,,,,,,,,,,,,,,,,,,,,,,,,,,,,,,,,,,,,,,,,,,,,,,,,,,,,,,,,,,,,,,,,,,,,,,,,,,,,,,,,,,,,,,,,,,,,,,,,,,,,,,,,,,,,,,,,,,,,,,,,,,,,,,,,,,,,,,,,,,,,,,,,,,,,,,,,,,,,,,,,,,,,,,,,,,,,,,,,,,,,,,,,,,,,,,,,,,,,,,,,,,,,,,,,,,,,,,,,,,,,,,,,,,,,,,,,,,,,,,,,,,,,,,,,,,,,,,,,,,,,,,,,,,,,,,,,,,,,,,,,,,,,,,,,,,,,,,,,,,,,,,,,,,,,,,,,,,,,,,,,,,,,,,,,,,,,,,,,,,,,,,,,,,,,,,,,,,,,,,,,,,,,,,,,,,,,,,,,,,,,,,,,,,,,,,,,,,,,,,,,,,,,,,,,,,,,,,,,,,,,,,,,,,,,,,,,,,,,,,,,,,,,,,,,,,,,,,,,,,,,,,,,,,,,,,,,,,,,,,,,,,,,,,,,,,,,,,,,,,,,,,,,,,,,,,,,,,,,,,,,,,,,,,,,,,,,,,,,,,,,,,,,,,,,,,,,,,,,,,,,,,,,,,,,,,,,,,,,,,,,,,,,,,,,,,,,,,,,,,,,,,,,,,,,,,,,,,,,,,,,,,,,,,,,,,,,,,,,,,,,,,,,,,,,,,,,,,,,,,,,,,,,,,,,,,,,,,,,,,,,,,,,,,,,,,,,,,,,,,,,,,,,,,,,,,,,,,,,,,,,,,,,,,,,,,,,,,,,,,,,,,,,,,,,,,,,,,,,,,,,,,,,,,,,,,,,,,,,,,,,,,,,,,,,,,,,,,,,,,,,,,,,,,,,,,,,,,,,,,,,,,,,,,,,,,,,,,,,,,,,,,,,,,,,,,,,,,,,,,,,,,,,,,,,,,,,,,,,,,,,,,,,,,,,,,,,,,,,,,,,,,,,,,,,,,,,,,,,,,,,,,,,,,,,,,,,,,,,,,,,,,,,,,,,,,,,,,,,,,,,,,,,,,,,,,,,,,,,,,,,,,,,,,,,,,,,,,,,,,,,,,,,,,,,,,,,,,,,,,,,,,,,,,,,,,,,,,,,,,,,,,,,,,,,,,,,,,,,,,,,,,,,,,,,,,,,,,,,,,,,,,,,,,,,,,,,,,,,,,,,,,,,,,,,,,,,,,,,,,,,,,,,,,,,,,,,,,,,,,,,,,,,,,,,,,,,,,,,,,,,,,,,,,,,,,,,,,,,,,,,,,,,,,,,,,,,,,,,,,,,,,,,,,,,,,,,,,,,,,,,,,,,,,,,,,,,,,,,,,,,,,,,,,,,,,,,,,,,,,,,,,,,,,,,,,,,,,,,,,,,,,,,,,,,,,,,,,,,,,,,,,,,,,,,,,,,,,,,,,,,,,,,,,,,,,,,,,,,,,,,,,,,,,,,,,,,,,,,,,,,,,,,,,,,,,,,,,,,,,,,,,,,,,,,,,,,,,,,,,,,,,,,,,,,,,,,,,,,,,,,,,,,,,,,,,,,,,,,,,,,,,,,,,,,,,,,,,,,,,,,,,,,,,,,,,,,,,,,,,,,,,,,,,,,,,,,,,,,,,,,,,,,,,,,,,,,,,,,,,,,,,,,,,,,,,,,,,,,,,,,,,,,,,,,,,,,,,,,,,,,,,,,,,,,,,,,,,,,,,,,,,,,,,,,,,,,,,,,,,,,,,,,,,,,,,,,,,,,,,,,,,,,,,,,,,,,,,,,,,,,,,,,,,,,,,,,,,,,,,,,,,,,,,,,,,,,,,,,,,,,,,,,,,,,,,,,,,,,,,,,,,,,,,,,,,,,,,,,,,,,,,,,,,,,,,,,,,,,,,,,,,,,,,,,,,,,,,,,,,,,,,,,,,,,,,,,,,,,,,,,,,,,,,,,,,,,,,,,,,,,,,,,,,,,,,,,,,,,,,,,,,,,,,,,,,,,,,,,,,,,,,,,,,,,,,,,,,,,,,,,,,,,,,,,,,,,,,,,,,,,,,,,,,,,,,,,,,,,,,,,,,,,,,,,,,,,,,,,,,,,,,,,,,,,,,,,,,,,,,,,,,,,,,,,,,,,,,,,,,,,,,,,,,,,,,,,,,,,,,,,,,,,,,,,,,,,,,,,,,,,,,,,,,,,,,,,,,,,,,,,,,,,,,,,,,,,,,,,,,,,,,,,,,,,,,,,,,,,,,,,,,,,,,,,,,,,,,,,,,,,,,,,,,,,,,,,,,,,,,,,,,,,,,,,,,,,,,,,,,,,,,,,,,,,,,,,,,,,,,,,,,,,,,,,,,,,,,,,,,,,,,,,,,,,,,,,,,,,,,,,,,,,,,,,,,,,,,,,,,,,,,,,,,,,,,,,,,,,,,,,,,,,,,,,,,,,,,,,,,,,,,,,,,,,,,,,,,,,,,,,,,,,,,,,,,,,,,,,,,,,,,,,,,,,,,,,,,,,,,,,,,,,,,,,,,,,,,,,,,,,,,,,,,,,,,,,,,,,,,,,,,,,,,,,,,,,,,,,,,,,,,,,,,,,,,,,,,,,,,,,,,,,,,,,,,,,,,,,,,,,,,,,,,,,,,,,,,,,,,,,,,,,,,,,,,,,,,,,,,,,,,,,,,,,,,,,,,,,,,,,,,,,,,,,,,,,,,,,,,,,,,,,,,,,,,,,,,,,,,,,,,,,,,,,,,,,,,,,,,,,,,,,,,,,,,,,,,,,,,,,,,,,,,,,,,,,,,,,,,,,,,,,,,,,,,,,,,,,,,,,,,,,,,,,,,,,,,,,,,,,,,,,,,,,,,,,,,,,,,,,,,,,,,,,,,,,,,,,,,,,,,,,,,,,,,,,,,,,,,,,,,,,,,,,,,,,,,,,,,,,,,,,,,,,,,,,,,,,,,,,,,,,,,,,,,,,,,,,,,,,,,,,,,,,,,,,,,,,,,,,,,,,,,,,,,,,,,,,,,,,,,,,,,,,,,,,,,,,,,,,,,,,,,,,,,,,,,,,,,,,,,,,,,,,,,,,,,,,,,,,,,,,,,,,,,,,,,,,,,,,,,,,,,,,,,,,,,,,,,,,,,,,,,,,,,,,,,,,,,,,,,,,,,,,,,,,,,,,,,,,,,,,,,,,,,,,,,,,,,,,,,,,,,,,,,,,,,,,,,,,,,,,,,,,,,,,,,,,,,,,,,,,,,,,,,,,,,,,,,,,,,,,,,,,,,,,,,,,,,,,,,,,,,,,,,,,,,,,,,,,,,,,,,,,,,,,,,,,,,,,,,,,,,,,,,,,,,,,,,,,,,,,,,,,,,,,,,,,,,,,,,,,,,,,,,,,,,,,,,,,,,,,,,,,,,,,,,,,,,,,,,,,,,,,,,,,,,,,,,,,,,,,,,,,,,,,,,,,,,,,,,,,,,,,,,,,,,,,,,,,,,,,,,,,,,,,,,,,,,,,,,,,,,,,,,,,,,,,,,,,,,,,,,,,,,,,,,,,,,,,,,,,,,,,,,,,,,,,,,,,,,,,,,,,,,,,,,,,,,,,,,,,,,,,,,,,,,,,,,,,,,,,,,,,,,,,,,,,,,,,,,,,,,,,,,,,,,,,,,,,,,,,,,,,,,,,,,,,,,,,,,,,,,,,,,,,,,,,,,,,,,,,,,,,,,,,,,,,,,,,,,,,,,,,,,,,,,,,,,,,,,,,,,,,,,,,,,,,,,,,,,,,,,,,,,,,,,,,,,,,,,,,,,,,,,,,,,,,,,,,,,,,,,,,,,,,,,,,,,,,,,,,,,,,,,,,,,,,,,,,,,,,,,,,,,,,,,,,,,,,,,,,,,,,,,,,,,,,,,,,,,,,,,,,,,,,,,,,,,,,,,,,,,,,,,,,,,,,,,,,,,,,,,,,,,,,,,,,,,,,,,,,,,,,,,,,,,,,,,,,,,,,,,,,,,,,,,,,,,,,,,,,,,,,,,,,,,,,,,,,,,,,,,,,,,,,,,,,,,,,,,,,,,,,,,,,,,,,,,,,,,,,,,,,,,,,,,,,,,,,,,,,,,,,,,,,,,,,,,,,,,,,,,,,,,,,,,,,,,,,,,,,,,,,,,,,,,,,,,,,,,,,,,,,,,,,,,,,,,,,,,,,,,,,,,,,,,,,,,,,,,,,,,,,,,,,,,,,,,,,,,,,,,,,,,,,,,,,,,,,,,,,,,,,,,,,,,,,,,,,,,,,,,,,,,,,,,,,,,,,,,,,,,,,,,,,,,,,,,,,,,,,,,,,,,,,,,,,,,,,,,,,,,,,,,,,,,,,,,,,,,,,,,,,,,,,,,,,,,,,,,,,,,,,,,,,,,,,,,,,,,,,,,,,,,,,,,,,,,,,,,,,,,,,,,,,,,,,,,,,,,,,,,,,,,,,,,,,,,,,,,,,,,,,,,,,,,,,,,,,,,,,,,,,,,,,,,,,,,,,,,,,,,,,,,,,,,,,,,,,,,,,,,,,,,,,,,,,,,,,,,,,,,,,,,,,,,,,,,,,,,,,,,,,,,,,,,,,,,,,,,,,,,,}",
                    "NameOfGroup": "Unallocated",
                    "EquationToParse": "{,2.09032842938863,2.05151596518247,1.43902139150652,1.85649644204273,1.2672222282875,1.56091438069843,1.16882446133183,1.42897288815564,1.12994733975749,1.11100838455,,,,,,,,,,,,,,,,,,,,,,,,,,,,,,,,,,,,,,,,,,,,,,,,,,,,,,,,,,,,,,,,,,,,,,,,,,,,,,,,,,,,,,,,,,,,,,,,,,,,,,,,,,,,,,,,,,,,,,,,,,,,,,,,,,,,,,,,,,,,,,,,,,,,,,,,,,,,,,,,,,,,,,,,,,,,,,,,,,,,,,,,,,,,,,,,,,,,,,,,,,,,,,,,,,,,,,,,,,,,,,,,,,,,,,,,,,,,,,,,,,,,,,,,,,,,,,,,,,,,,,,,,,,,,,,,,,,,,,,,,,,,,,,,,,,,,,,,,,,,,,,,,,,,,,,,,,,,,,,,,,,,,,,,,,,,,,,,,,,,,,,,,,,,,,,,,,,,,,,,,,,,,,,,,,,,,,,,,,,,,,,,,,,,,,,,,,,,,,,,,,,,,,,,,,,,,,,,,,,,,,,,,,,,,,,,,,,,,,,,,,,,,,,,,,,,,,,,,,,,,,,,,,,,,,,,,,,,,,,,,,,,,,,,,,,,,,,,,,,,,,,,,,,,,,,,,,,,,,,,,,,,,,,,,,,,,,,,,,,,,,,,,,,,,,,,,,,,,,,,,,,,,,,,,,,,,,,,,,,,,,,,,,,,,,,,,,,,,,,,,,,,,,,,,,,,,,,,,,,,,,,,,,,,,,,,,,,,,,,,,,,,,,,,,,,,,,,,,,,,,,,,,,,,,,,,,,,,,,,,,,,,,,,,,,,,,,,,,,,,,,,,,,,,,,,,,,,,,,,,,,,,,,,,,,,,,,,,,,,,,,,,,,,,,,,,,,,,,,,,,,,,,,,,,,,,,,,,,,,,,,,,,,,,,,,,,,,,,,,,,,,,,,,,,,,,,,,,,,,,,,,,,,,,,,,,,,,,,,,,,,,,,,,,,,,,,,,,,,,,,,,,,,,,,,,,,,,,,,,,,,,,,,,,,,,,,,,,,,,,,,,,,,,,,,,,,,,,,,,,,,,,,,,,,,,,,,,,,,,,,,,,,,,,,,,,,,,,,,,,,,,,,,,,,,,,,,,,,,,,,,,,,,,,,,,,,,,,,,,,,,,,,,,,,,,,,,,,,,,,,,,,,,,,,,,,,,,,,,,,,,,,,,,,,,,,,,,,,,,,,,,,,,,,,,,,,,,,,,,,,,,,,,,,,,,,,,,,,,,,,,,,,,,,,,,,,,,,,,,,,,,,,,,,,,,,,,,,,,,,,,,,,,,,,,,,,,,,,,,,,,,,,,,,,,,,,,,,,,,,,,,,,,,,,,,,,,,,,,,,,,,,,,,,,,,,,,,,,,,,,,,,,,,,,,,,,,,,,,,,,,,,,,,,,,,,,,,,,,,,,,,,,,,,,,,,,,,,,,,,,,,,,,,,,,,,,,,,,,,,,,,,,,,,,,,,,,,,,,,,,,,,,,,,,,,,,,,,,,,,,,,,,,,,,,,,,,,,,,,,,,,,,,,,,,,,,,,,,,,,,,,,,,,,,,,,,,,,,,,,,,,,,,,,,,,,,,,,,,,,,,,,,,,,,,,,,,,,,,,,,,,,,,,,,,,,,,,,,,,,,,,,,,,,,,,,,,,,,,,,,,,,,,,,,,,,,,,,,,,,,,,,,,,,,,,,,,,,,,,,,,,,,,,,,,,,,,,,,,,,,,,,,,,,,,,,,,,,,,,,,,,,,,,,,,,,,,,,,,,,,,,,,,,,,,,,,,,,,,,,,,,,,,,,,,,,,,,,,,,,,,,,,,,,,,,,,,,,,,,,,,,,,,,,,,,,,,,,,,,,,,,,,,,,,,,,,,,,,,,,,,,,,,,,,,,,,,,,,,,,,,,,,,,,,,,,,,,,,,,,,,,,,,,,,,,,,,,,,,,,,,,,,,,,,,,,,,,,,,,,,,,,,,,,,,,,,,,,,,,,,,,,,,,,,,,,,,,,,,,,,,,,,,,,,,,,,,,,,,,,,,,,,,,,,,,,,,,,,,,,,,,,,,,,,,,,,,,,,,,,,,,,,,,,,,,,,,,,,,,,,,,,,,,,,,,,,,,,,,,,,,,,,,,,,,,,,,,,,,,,,,,,,,,,,,,,,,,,,,,,,,,,,,,,,,,,,,,,,,,,,,,,,,,,,,,,,,,,,,,,,,,,,,,,,,,,,,,,,,,,,,,,,,,,,,,,,,,,,,,,,,,,,,,,,,,,,,,,,,,,,,,,,,,,,,,,,,,,,,,,,,,,,,,,,,,,,,,,,,,,,,,,,,,,,,,,,,,,,,,,,,,,,,,,,,,,,,,,,,,,,,,,,,,,,,,,,,,,,,,,,,,,,,,,,,,,,,,,,,,,,,,,,,,,,,,,,,,,,,,,,,,,,,,,,,,,,,,,,,,,,,,,,,,,,,,,,,,,,,,,,,,,,,,,,,,,,,,,,,,,,,,,,,,,,,,,,,,,,,,,,,,,,,,,,,,,,,,,,,,,,,,,,,,,,,,,,,,,,,,,,,,,,,,,,,,,,,,,,,,,,,,,,,,,,,,,,,,,,,,,,,,,,,,,,,,,,,,,,,,,,,,,,,,,,,,,,,,,,,,,,,,,,,,,,,,,,,,,,,,,,,,,,,,,,,,,,,,,,,,,,,,,,,,,,,,,,,,,,,,,,,,,,,,,,,,,,,,,,,,,,,,,,,,,,,,,,,,,,,,,,,,,,,,,,,,,,,,,,,,,,,,,,,,,,,,,,,,,,,,,,,,,,,,,,,,,,,,,,,,,,,,,,,,,,,,,,,,,,,,,,,,,,,,,,,,,,,,,,,,,,,,,,,,,,,,,,,,,,,,,,,,,,,,,,,,,,,,,,,,,,,,,,,,,,,,,,,,,,,,,,,,,,,,,,,,,,,,,,,,,,,,,,,,,,,,,,,,,,,,,,,,,,,,,,,,,,,,,,,,,,,,,,,,,,,,,,,,,,,,,,,,,,,,,,,,,,,,,,,,,,,,,,,,,,,,,,,,,,,,,,,,,,,,,,,,,,,,,,,,,,,,,,,,,,,,,,,,,,,,,,,,,,,,,,,,,,,,,,,,,,,,,,,,,,,,,,,,,,,,,,,,,,,,,,,,,,,,,,,,,,,,,,,,,,,,,,,,,,,,,,,,,,,,,,,,,,,,,,,,,,,,,,,,,,,,,,,,,,,,,,,,,,,,,,,,,,,,,,,,,,,,,,,,,,,,,,,,,,,,,,,,,,,,,,,,,,,,,,,,,,,,,,,,,,,,,,,,,,,,,,,,,,,,,,,,,,,,,,,,,,,,,,,,,,,,,,,,,,,,,,,,,,,,,,,,,,,,,,,,,,,,,,,,,,,,,,,,,,,,,,,,,,,,,,,,,,,,,,,,,,,,,,,,,,,,,,,,,,,,,,,,,,,,,,,,,,,,,,,,,,,,,,,,,,,,,,,,,,,,,,,,,,,,,,,,,,,,,,,,,,,,,,,,,,,,,,,,,,,,,,,,,,,,,,,,,,,,,,,,,,,,,,,,,,,,,,,,,,,,,,,,,,,,,,,,,,,,,,,,,,,,,,,,,,,,,,,,,,,,,,,,,,,,,,,,,,,,,,,,,,,,,,,,,,,,,,,,,,,,,,,,,,,,,,,,,,,,,,,,,,,,,,,,,,,,,,,,,,,,,,,,,,,,,,,,,,,,,,,,,,,,,,,,,,,,,,,,,,,,,,,,,,,,,,,,,,,,,,,,,,,,,,,,,,,,,,,,,,,,,,,,,,,,,,,,,,,,,,,,,,,,,,,,,,,,,,,,,,,,,,,,,,,,,,,,,,,,,,,,,,,,,,,,,,,,,,,,,,,,,,,,,,,,,,,,,,,,,,,,,,,,,,,,,,,,,,,,,,,,,,,,,,,,,,,,,,,,,,,,,,,,,,,,,,,,,,,,,,,,,,,,,,,,,,,,,,,,,,,,,,,,,,,,,,,,,,,,,,,,,,,,,,,,,,,,,,,,,,,,,,,,,,,,,,,,,,,,,,,,,,,,,,,,,,,,,,,,,,,,,,,,,,,,,,,,,,,,,,,,,,,,,,,,,,,,,,,,,,,,,,,,,,,,,,,,,,,,,,,,,,,,,,,,,,,,,,,,,,,,,,,,,,,,,,,,,,,,,,,,,,,,,,,,,,,,,,,,,,,,,,,,,,,,,,,,,,,,,,,,,,,,,,,,,,,,,,,,,,,,,,,,,,,,,,,,,,,,,,,,,,,,,,,,,,,,,,,,,,,,,,,,,,,,,,,,,,,,,,,,,,,,,,,,,,,,,,,,,,,,,,,,,,,,,,,,,,,,,,,,,,,,,,,,,,,,,,,,,,,,,,,,,,,,,,,,,,,,,,,,,,,,,,,,,,,,,,,,,,,,,,,,,,,,,,,,,,,,,,,,,,,,,,,,,,,,,,,,,,,,,,,,,,,,,,,,,,,,,,,,,,,,,,,,,,,,,,,,,,,,,,,,,,,,,,,,,,,,,,,,,,,,,,,,,,,,,,,,,,,,,,,,,,,,,,,,,,,,,,,,,,,,,,,,,,,,,,,,,,,,,,,,,,,,,,,,,,,,,,,,,,,,,,,,,,,,,,,,,,,,,,,,,,,,,,,,,,,,,,,,,,,,,,,,,,,,,,,,,,,,,,,,,,,,,,,,,,,,,,,,,,,,,,,,,,,,,,,,,,,,,,,,,,,,,,,,,,,,,,,,,,,,,,,,,,,,,,,,,,,,,,,,,,,,,,,,,,,,,,,,,,,,,,,,,,,,,,,,,,,,,,,,,,,,,,,,,,,,,,,,,,,,,,,,,,,,,,,,,,,,,,,,,,,,,,,,,,,,,,,,,,,,,,,,,,,,,,,,,,,,,,,,,,,,,,,,,,,,,,,,,,,,,,,,,,,,,,,,,,,,,,,,,,,,,,,,,,,,,,,,,,,,,,,,,,,,,,,,,,,,,,,,,,,,,,,,,,,,,,,,,,,,,,,,,,,,,,,,,,,,,,,,,,,,,,,,,,,,,,,,,,,,,,,,,,,,,,,,,,,,,,,,,,,,,,,,,,,,,,,,,,,,,,,,,,,,,,,,,,,,,,,,,,,,,,,,,,,,,,,,,,,,,,,,,,,,,,,,,,,,,,,,,,,,,,,,,,,,,,,,,,,,,,,,,,,,,,,,,,,,,,,,,,,,,,,,,,,,,,,,,,,,,,,,,,,,,,,,,,,,,,,,,,,,,,,,,,,,,,,,,,,,,,,,,,,,,,,,,,,,,,,,,,,,,,,,,,,,,,,,,,,,,,,,,,,,,,,,,,,,,,,,,,,,,,,,,,,,,,,,,,,,,,,,,,,,,,,,,,,,,,,,,,,,,,,,,,,,,,,,,,,,,,,,,,,,,,,,,,,,,,,,,,,,,,,,,,,,,,,,,,,,,,,,,,,,,,,,,,,,,,,,,,,,,,,,,,,,,,,,,,,,,,,,,,,,,,,,,,,,,,,,,,,,,,,,,,,,,,,,,,,,,,,,,,,,,,,,,,,,,,,,,,,,,,,,,,,,,,,,,,,,,,,,,,,,,,,,,,,,,,,,,,,,,,,,,,,,,,,,,,,,,,,,,,,,,,,,,,,,,,,,,,,,,,,,,,,,,,,,,,,,,,,,,,,,,,,,,,,,,,,,,,,,,,,,,,,,,,,,,,,,,,,,,,,,,,,,,,,,,,,,,,,,,,,,,,,,,,,,,,,,,,,,,,,,,,,,,,,,,,,,,,,,,,,,,,,,,,,,,,,,,,,,,,,,,,,,,,,,,,,,,,,,,,,,,,,,,,,,,,,,,,,,,,,,,,,,,,,,,,,,,,,,,,,,,,,,,,,,,,,,,,,,,,,,,,,,,,,,,,,,,,,,,,,,,,,,,,,,,,,,,,,,,,,,,,,,,,,,,,,,,,,,,,,,,,,,,,,,,,,,,,,,,,,,,,,,,,,,,,,,,,,,,,,,,,,,,,,,,,,,,,,,,,,,,,,,,,,,,,,,,,,,,,,,,,,,,,,,,,,,,,,,,,,,,,,,,,,,,,,,,,,,,,,,,,,,,,,,,,,,,,,,,,,,,,,,,,,,,,,,,,,,,,,,,,,,,,,,,,,,,,,,,,,,,,,,,,,,,,,,,,,,,,,,,,,,,,,,,,,,,,,,,,,,,,,,,,,,,,,,,,,,,,,,,,,,,,,,,,,,,,,,,,,,,,,,,,,,,,,,,,,,,,,,,,,,,,,,,,,,,,,,,,,,,,,,,,,,,,,,,,,,,,,,,,,,,,,,,,,,,,,,,,,,,,,,,,,,,,,,,,,,,,,,,,,,,,,,,,,,,,,,,,,,,,,,,,,,,,,,,,,,,,,,,,,,,,,,,,,,,,,,,,,,,,,,,,,,,,,,,,,,,,,,,,,,,,,,,,,,,,,,,,,,,,,,,,,,,,,,,,,,,,,,,,,,,,,,,,,,,,,,,,,,,,,,,,,,,,,,,,,,,,,,,,,,,,,,,,,,,,,,,,,,,,,,,,,,,,,,,,,,,,,,,,,,,,,,,,,,,,,,,,,,,,,,,,,,,,,,,,,,,,,,,,,,,,,,,,,,,,,,,,,,,,,,,,,,,,,,,,,,,,,,,,,,,,,,,,,,,,,,,,,,,,,,,,,,,,,,,,,,,,,,,,,,,,,,,,,,,,,,,,,,,,,,,,,,,,,,,,,,,,,,,,,,,,,,,,,,,,,,,,,,,,,,,,,,,,,,,,,,,,,,,,,,,,,,,,,,,,,,,,,,,,,,,,,,,,,,,,,,,,,,,,,,,,,,,,,,,,,,,,,,,,,,,,,,,,,,,,,,,,,,,,,,,,,,,,,,,,,,,,,,,,,,,,,,,,,,,,,,,,,,,,,,,,,,,,,,,,,,,,,,,,,,,,,,,,,,,,,,,,,,,,,,,,,,,,,,,,,,,,,,,,,,,,,,,,,,,,,,,,,,,,,,,,,,,,,,,,,,,,,,,,,,,,,,,,,,,,,,,,,,,,,,,,,,,,,,,,,,,,,,,,,,,,,,,,,,,,,,,,,,,,,,,,,,,,,,,,,,,,,,,,,,,,,,,,,,,,,,,,,,,,,,,,,,,,,,,,,,,,,,,,,,,,,,,,,,,,,,,,,,,,,,,,,,,,,,,,,,,,,,,,,,,,,,,,,,,,,,,,,,,,,,,,,,,,,,,,,,,,,,,,,,,,,,,,,,,,,,,,,,,,,,,,,,,,,,,,,,,,,,,,,,,,,,,,,,,,,,,,,,,,,,,,,,,,,,,,,,,,,,,,,,,,,,,,,,,,,,,,,,,,,,,,,,,,,,,,,,,,,,,,,,,,,,,,,,,,,,,,,,,,,,,,,,,,,,,,,,,,,,,,,,,,,,,,,,,,,,,,,,,,,,,,,,,,,,,,,,,,,,,,,,,,,,,,,,,,,,,,,,,,,,,,,,,,,,,,,,,,,,,,,,,,,,,,,,,,,,,,,,,,,,,,,,,,,,,,,,,,,,,,,,,,,,,,,,,,,,,,,,,,,,,,,,,,,,,,,,,,,,,,,,,,,,,,,,,,,,,,,,,,,,,,,,,,,,,,,,,,,,,,,,,,,,,,,,,,,,,,,,,,,,,,,,,,,,,,,,,,,,,,,,,,,,,,,,,,,,,,,,,,,,,,,,,,,,,,,,,,,,,,,,,,,,,,,,,,,,,,,,,,,,,,,,,,,,,,,,,,,,,,,,,,,,,,,,,,,,,,,,,,,,,,,,,,,,,,,,,,,,,,,,,,,,,,,,,,,,,,,,,,,,,,,,,,,,,,,,,,,,,,,,,,,,,,,,,,,,,,,,,,,,,,,,,,,,,,,,,,,,,,,,,,,,,,,,,,,,,,,,,,,,,,,,,,,,,,,,,,,,,,,,,,,,,,,,,,,,,,,,,,,,,,,,,,,,,,,,,,,,,,,,,,,,,,,,,,,,,,,,,,,,,,,,,,,,,,,,,,,,,,,,,,,,,,,,,,,,,,,,,,,,,,,,,,,,,,,,,,,,,,,,,,,,,,,,,,,,,,,,,,,,,,,,,,,,,,,,,,,,,,,,,,,,,,,,,,,,,,,,,,,,,,,,,,,,,,,,,,,,,,,,,,,,,,,,,,,,,,,,,,,,,,,,,,,,,,,,,,,,,,,,,,,,,,,,,,,,,,,,,,,,,,,,,,,,,,,,,,,,,,,,,,,,,,,,,,,,,,,,,,,,,,,,,,,,,,,,,,,,,,,,,,,,,,,,,,,,,,,,,,,,,,,,,,,,,,,,,,,,,,,,,,,,,,,,,,,,,,,,,,,,,,,,,,,,,,,,,,,,,,,,,,,,,,,,,,,,,,,,,,,,,,,,,,,,,,,,,,,,,,,,,,,,,,,,,,,,,,,,,,,,,,,,,,,,,,,,,,,,,,,,,,,,,,,,,,,,,,,,,,,,,,,,,,,,,,,,,,,,,,,,,,,,,,,,,,,,,,,,,,,,,,,,,,,,,,,,,,,,,,,,,,,,,,,,,,,,,,,,,,,,,,,,,,,,,,,,,,,,,,,,,,,,,,,,,,,,,,,,,,,,,,,,,,,,,,,,,,,,,,,,,,,,,,,,,,,,,,,,,,,,,,,,,,,,,,,,,,,,,,,,,,,,,,,,,,,,,,,,,,,,,,,,,,,,,,,,,,,,,,,,,,,,,,,,,,,,,,,,,,,,,,,,,,,,,,,,,,,,,,,,,,,,,,,,,,,,,,,,,,,,,,,,,,,,,,,,,,,,,,,,,,,,,,,,,,,,,,,,,,,,,,,,,,,,,,,,,,,,,,,,,,,,,,,,,,,,,,,,,,,,,,,,,,,,,,,,,,,,,,,,,,,,,,,,,,,,,,,,,,,,,,,,,,,,,,,,,,,,,,,,,,,,,,,,,,,,,,,,,,,,,,,,,,,,,,,,,,,,,,,,,,,,,,,,,,,,,,,,,,,,,,,,,,,,,,,,,,,,,,,,,,,,,,,,,,,,,,,,,,,,,,,,,,,,,,,,,,,,,,,,,,,,,,,,,,,,,,,,,,,,,,,,,,,,,,,,,,,,,,,,,,,,,,,,,,,,,,,,,,,,,,,,,,,,,,,,,,,,,,,,,,,,,,,,,,,,,,,,,,,,,,,,,,,,,,,,,,,,,,,,,,,,,,,,,,,,,,,,,,,,,,,,,,,,,,,,,,,,,,,,,,,,,,,,,,,,,,,,,,,,,,,,,,,,,,,,,,,,,,,,,,,,,,,,,,,,,,,,,,,,,,,,,,,,,,,,,,,,,,,,,,,,,,,,,,,,,,,,,,,,,,,,,,,,,,,,,,,,,,,,,,,,,,,,,,,,,,,,,,,,,,,,,,,,,,,,,,,,,,,,,,,,,,,,,,,,,,,,,,,,,,,,,,,,,,,,,,,,,,,,,,,,,,,,,,,,,,,,,,,,,,,,,,,,,,,,,,,,,,,,,,,,,,,,,,,,,,,,,,,,,,,,,,,,,,,,,,,,,,,,,,,,,,,,,,,,,,,,,,,,,,,,,,,,,,,,,,,,,,,,,,,,,,,,,,,,,,,,,,,,,,,,,,,,,,,,,,,,,,,,,,,,,,,,,,,,,,,,,,,,,,,,,,,,,,,,,,,,,,,,,,,,,,,,,,,,,,,,,,,,,,,,,,,,,,,,,,,,,,,,,,,,,,,,,,,,,,,,,,,,,,,,,,,,,,,,,,,,,,,,,,,,,,,,,,,,,,,,,,,,,,,,,,,,,,,,,,,,,,,,,,,,,,,,,,,,,,,,,,,,,,,,,,,,,,,,,,,,,,,,,,,,,,,,,,,,,,,,,,,,,,,,,,,,,,,,,,,,,,,,,,,,,,,,,,,,,,,,,,,,,,,,,,,,,,,,,,,,,,,,,,,,,,,,,,,,,,,,,,,,,,,,,,,,,,,,,,,,,,,,,,,,,,,,,,,,,,,,,,,,,,,,,,,,,,,,,,,,,,,,,,,,,,,,,,,,,,,,,,,,,,,,,,,,,,,,,,,,,,,,,,,,,,,,,,,,,,,,,,,,,,,,,,,,,,,,,,,,,,,,,,,,,,,,,,,,,,,,,,,,,,,,,,,,,,,,,,,,,,,,,,,,,,,,,,,,,,,,,,,,,,,,,,,,,,,,,,,,,,,,,,,,,,,,,,,,,,,,,,,,,,,,,,,,,,,,,,,,,,,,,,,,,,,,,,,,,,,,,,,,,,,,,,,,,,,,,,,,,,,,,,,,,,,,,,,,,,,,,,,,,,,,,,,,,,,,,,,,,,,,,,,,,,,,,,,,,,,,,,,,,,,,,,,,,,,,,,,,,,,,,,,,,,,,,,,,,,,,,,,,,,,,,,,,,,,,,,,,,,,,,,,,,,,,,,,,,,,,,,,,,,,,,,,,,,,,,,,,,,,,,,,,,,,,,,,,,,,,,,,,,,,,,,,,,,,,,,,,,,,,,,,,,,,,,,,,,,,,,,,,,,,,,,,,,,,,,,,,,,,,,,,,,,,,,,,,,,,,,,,,,,,,,,,,,,,,,,,,,,,,,,,,,,,,,,,,,,,,,,,,,,,,,,,,,,,,,,,,,,,,,,,,,,,,,,,,,,,,,,,,,,,,,,,,,,,,,,,,,,,,,,,,,,,,,,,,,,,,,,,,,,,,,,,,,,,,,,,,,,,,,,,,,,,,,,,,,,,,,,,,,,,,,,,,,,,,,,,,,,,,,,,,,,,,,,,,,,,,,,,,,,,,,,,,,,,,,,,,,,,,,,,,,,,,,,,,,,,,,,,,,,,,,,,,,,,,,,,,,,,,,,,,,,,,,,,,,,,,,,,,,,,,,,,,,,,,,,,,,,,,,,,,,,,,,,,,,,,,,,,,,,,,,,,,,,,,,,,,,,,,,,,,,,,,,,,,,,,,,,,,,,,,,,,,,,,,,,,,,,,,,,,,,,,,,,,,,,,,,,,,,,,,,,,,,,,,,,,,,,,,,,,,,,,,,,,,,,,,,,,,,,,,,,,,,,,,,,,,,,,,,,,,,,,,,,,,,,,,,,,,,,,,,,,,,,,,,,,,,,,,,,,,,,,,,,,,,,,,,,,,,,,,,,,,,,,,,,,,,,,,,,,,,,,,,,,,,,,,,,,,,,,,,,,,,,,,,,,,,,,,,,,,,,,,,,,,,,,,,,,,,,,,,,,,,,,,,,,,,,,,,,,,,,,,,,,,,,,,,,,,,,,,,,,,,,,,,,,,,,,,,,,,,,,,,,,,,,,,,,,,,,,,,,,,,,,,,,,,,,,,,,,,,,,,,,,,,,,,,,,,,,,,,,,,,,,,,,,,,,,,,,,,,,,,,,,,,,,,,,,,,,,,,,,,,,,,,,,,,,,,,,,,,,,,,,,,,,,,,,,,,,,,,,,,,,,,,,,,,,,,,,,,,,,,,,,,,,,,,,,,,,,,,,,,,,,,,,,,,,,,,,,,,,,,,,,,,,,,,,,,,,,,,,,,,,,,,,,,,,,,,,,,,,,,,,,,,,,,,,,,,,,,,,,,,,,,,,,,,,,,,,,,,,,,,,,,,,,,,,,,,,,,,,,,,,,,,,,,,,,,,,,,,,,,,,,,,,,,,,,,,,,,,,,,,,,,,,,,,,,,,,,,,,,,,,,,,,,,,,,,,,,,,,,,,,,,,,,,,,,,,,,,,,,,,,,,,,,,,,,,,,,,,,,,,,,,,,,,,,,,,,,,,,,,,,,,,,,,,,,,,,,,,,,,,,,,,,,,,,,,,,,,,,,,,,,,,,,,,,,,,,,,,,,,,,,,,,,,,,,,,,,,,,,,,,,,,,,,,,,,,,,,,,,,,,,,,,,,,,,,,,,,,,,,,,,,,,,,,,,,,,,,,,,,,,,,,,,,,,,,,,,,,,,,,,,,,,,,,,,,,,,,,,,,,,,,,,,,,,,,,,,,,,,,,,,,,,,,,,,,,,,,,,,,,,,,,,,,,,,,,,,,,,,,,,,,,,,,,,,,,,,,,,,,,,,,,,,,,,,,,,,,,,,,,,,,,,,,,,,,,,,,,,,,,,,,,,,,,,,,,,,,,,,,,,,,,,,,,,,,,,,,,,,,,,,,,,,,,,,,,,,,,,,,,,,,,,,,,,,,,,,,,,,,,,,,,,,,,,,,,,,,,,,,,,,,,,,,,,,,,,,,,,,,,,,,,,,,,,,,,,,,,,,,,,,,,,,,,,,,,,,,,,,,,,,,,,,,,,,,,,,,,,,,,,,,,,,,,,,,,,,,,,,,,,,,,,,,,,,,,,,,,,,,,,,,,,,,,,,,,,,,,,,,,,,,,,,,,,,,,,,,,,,,,,,,,,,,,,,,,,,,,,,,,,,,,,,,,,,,,,,,,,,,,,,,,,,,,,,,,,,,,,,,,,,,,,,,,,,,,,,,,,,,,,,,,,,,,,,,,,,,,,,,,,,,,,,,,,,,,,,,,,,,,,,,,,,,,,,,,,,,,,,,,,,,,,,,,,,,,,,,,,,,,,,,,,,,,,,,,,,,,,,,,,,,,,,,,,,,,,,,,,,,,,,,,,,,,,,,,,,,,,,,,,,,,,,,,,,,,,,,,,,,,,,,,,,,,,,,,,,,,,,,,,,,,,,,,,,,,,,,,,,,,,,,,,,,,,,,,,,,,,,,,,,,,,,,,,,,,,,,,,,,,,,,,,,,,,,,,,,,,,,,,,,,,,,,,,,,,,,,,,,,,,,,,,,,,,,,,,,,,,,,,,,,,,,,,,,,,,,,,,,,,,,,,,,,,,,,,,,,,,,,,,,,,,,,,,,,,,,,,,,,,,,,,,,,,,,,,,,,,,,,,,,,,,,,,,,,,,,,,,,,,,,,,,,,,,,,,,,,,,,,,,,,,,,,,,,,,,,,,,,,,,,,,,,,,,,,,,,,,,,,,,,,,,,,,,,,,,,,,,,,,,,,,,,,,,,,,,,,,,,,,,,,,,,,,,,,,,,,,,,,,,,,,,,,,,,,,,,,,,,,,,,,,,,,,,,,,,,,,,,,,,,,,,,,,,,,,,,,,,,,,,,,,,,,,,,,,,,,,,,,,,,,,,,,,,,,,,,,,,,,,,,,,,,,,,,,,,,,,,,,,,,,,,,,,,,,,,,,,,,,,,,,,,,,,,,,,,,,,,,,,,,,,,,,,,,,,,,,,,,,,,,,,,,,,,,,,,,,,,,,,,,,,,,,,,,,,,,,,,,,,,,,,,,,,,,,,,,,,,,,,,,,,,,,,,,,,,,,,,,,,,,,,,,,,,,,,,,,,,,,,,,,,,,,,,,,,,,,,,,,,,,,,,,,,,,,,,,,,,,,,,,,,,,,,,,,,,,,,,,,,,,,,,,,,,,,,,,,,,,,,,,,,,,,,,,,,,,,,,,,,,,,,,,,,,,,,,,,,,,,,,,,,,,,,,,,,,,,,,,,,,,,,,,,,,,,,,,,,,,,,,,,,,,,,,,,,,,,,,,,,,,,,,,,,,,,,,,,,,,,,,,,,,,,,,,,,,,,,,,,,,,,,,,,,,,,,,,,,,,,,,,,,,,,,,,,,,,,,,,,,,,,,,,,,,,,,,,,,,,,,,,,,,,,,,,,,,,,,,,,,,,,,,,,,,,,,,,,,,,,,,,,,,,,,,,,,,,,,,,,,,,,,,,,,,,,,,,,,,,,,,,,,,,,,,,,,,,,,,,,,,,,,,,,,,,,,,,,,,,,,,,,,,,,,,,,,,,,,,,,,,,,,,,,,,,,,,,,,,,,,,,,,,,,,,,,,,,,,,,,,,,,,,,,,,,,,,,,,,,,,,,,,,,,,,,,,,,,,,,,,,,,,,,,,,,,,,,,,,,,,,,,,,,,,,,,,,,,,,,,,,,,,,,,,,,,,,,,,,,,,,,,,,,,,,,,,,,,,,,,,,,,,,,,,,,,,,,,,,,,,,,,,,,,,,,,,,,,,,,,,,,,,,,,,,,,,,,,,,,,,,,,,,,,,,,,,,,,,,,,,,,,,,,,,,,,,,,,,,,,,,,,,,,,,,,,,,,,,,,,,,,,,,,,,,,,,,,,,,,,,,,,,,,,,,,,,,,,,,,,,,,,,,,,,,,,,,,,,,,,,,,,,,,,,,,,,,,,,,,,,,,,,,,,,,,,,,,,,,,,,,,,,,,,,,,,,,,,,,,,,,,,,,,,,,,,,,,,,,,,,,,,,,,,,,,,,,,,,,,,,,,,,,,,,,,,,,,,,,,,,,,,,,,,,,,,,,,,,,,,,,,,,,,,,,,,,,,,,,,,,,,,,,,,,,,,,,,,,,,,,,,,,,,,,,,,,,,,,,,,,,,,,,,,,,,,,,,,,,,,,,,,,,,,,,,,,,,,,,,,,,,,,,,,,,,,,,,,,,,,,,,,,,,,,,,,,,,,,,,,,,,,,,,,,,,,,,,,,,,,,,,,,,,,,,,,,,,,,,,,,,,,,,,,,,,,,,,,,,,,,,,,,,,,,,,,,,,,,,,,,,,,,,,,,,,,,,,,,,,,,,,,,,,,,,,,,,,,,,,,,,,,,,,,,,,,,,,,,,,,,,,,,,,,,,,,,,,,,,,,,,,,,,,,,,,,,,,,,,,,,,,,,,,,,,,,,,,,,,,,,,,,,,,,,,,,,,,,,,,,,,,,,,,,,,,,,,,,,,,,,,,,,,,,,,,,,,,,,,,,,,,,,,,,,,,,,,,,,,,,,,,,,,,,,,,,,,,,,,,,,,,,,,,,,,,,,,,,,,,,,,,,,,,,,,,,,,,,,,,,,,,,,,,,,,,,,,,,,,,,,,,,,,,,,,,,,,,,,,,,,,,,,,,,,,,,,,,,,,,,,,,,,,,,,,,,,,,,,,,,,,,,,,,,,,,,,,,,,,,,,,,,,,,,,,,,,,,,,,,,,,,,,,,,,,,,,,,,,,,,,,,,,,,,,,,,,,,,,,,,,,,,,,,,,,,,,,,,,,,,,,,,,,,,,,,,,,,,,,,,,,,,,,,,,,,,,,,,,,,,,,,,,,,,,,,,,,,,,,,,,,,,,,,,,,,,,,,,,,,,,,,,,,,,,,,,,,,,,,,,,,,,,,,,,,,,,,,,,,,,,,,,,,,,,,,,,,,,,,,,,,,,,,,,,,,,,,,,,,,,,,,,,,,,,,,,,,,,,,,,,,,,,,,,,,,,,,,,,,,,,,,,,,,,,,,,,,,,,,,,,,,,,,,,,,,,,,,,,,,,,,,,,,,,,,,,,,,,,,,,,,,,,,,,,,,,,,,,,,,,,,,,,,,,,,,,,,,,,,,,,,,,,,,,,,,,,,,,,,,,,,,,,,,,,,,,,,,,,,,,,,,,,,,,,,,,,,,,,,,,,,,,,,,,,,,,,,,,,,,,,,,,,,,,,,,,,,,,,,,,,,,,,,,,,,,,,,,,,,,,,,,,,,,,,,,,,,,,,,,,,,,,,,,,,,,,,,,,,,,,,,,,,,,,,,,,,,,,,,,,,,,,,,,,,,,,,,,,,,,,,,,,,,,,,,,,,,,,,,,,,,,,,,,,,,,,,,,,,,,,,,,,,,,,,,,,,,,,,,,,,,,,,,,,,,,,,,,,,,,,,,,,,,,,,,,,,,,,,,,,,,,,,,,,,,,,,,,,,,,,,,,,,,,,,,,,,,,,,,,,,,,,,,,,,,,,,,,,,,,,,,,,,,,,,,,,,,,,,,,,,,,,,,,,,,,,,,,,,,,,,,,,,,,,,,,,,,,,,,,,,,,,,,,,,,,,,,,,,,,,,,,,,,,,,,,,,,,,,,,,,,,,,,,,,,,,,,,,,,,,,,,,,,,,,,,,,,,,,,,,,,,,,,,,,,,,,,,,,,,,,,,,,,,,,,,,,,,,,,,,,,,,,,,,,,,,,,,,,,,,,,,,,,,,,,,,,,,,,,,,,,,,,,,,,,,,,,,,,,,,,,,,,,,,,,,,,,,,,,,,,,,,,,,,,,,,,,,,,,,,,,,,,,,,,,,,,,,,,,,,,,,,,,,,,,,,,,,,,,,,,,,,,,,,,,,,,,,,,,,,,,,,,,,,,,,,,,,,,,,,,,,,,,,,,,,,,,,,,,,,,,,,,,,,,,,,,,,,,,,,,,,,,,,,,,,,,,,,,,,,,,,,,,,,,,,,,,,,,,,,,,,,,,,,,,,,,,,,,,,,,,,,,,,,,,,,,,,,,,,,,,,,,,,,,,,,,,,,,,,,,,,,,,,,,,,,,,,,,,,,,,,,,,,,,,,,,,,,,,,,,,,,,,,,,,,,,,,,,,,,,,,,,,,,,,,,,,,,,,,,,,,,,,,,,,,,,,,,,,,,,,,,,,,,,,,,,,,,,,,,,,,,,,,,,,,,,,,,,,,,,,,,,,,,,,,,,,,,,,,,,,,,,,,,,,,,,,,,,,,,,,,,,,,,,,,,,,,,,,,,,,,,,,,,,,,,,,,,,,,,,,,,,,,,,,,,,,,,,,,,,,,,,,,,,,,,,,,,,,,,,,,,,,,,,,,,,,,,,,,,,,,,,,,,,,,,,,,,,,,,,,,,,,,,,,,,,,,,,,,,,,,,,,,,,,,,,,,,,,,,,,,,,,,,,,,,,,,,,,,,,,,,,,,,,,,,,,,,,,,,,,,,,,,,,,,,,,,,,,,,,,,,,,,,,,,,,,,,,,,,,,,,,,,,,,,,,,,,,,,,,,,,,,,,,,,,,,,,,,,,,,,,,,,,,,,,,,,,,,,,,,,,,,,,,,,,,,,,,,,,,,,,,,,,,,,,,,,,,,,,,,,,,,,,,,,,,,,,,,,,,,,,,,,,,,,,,,,,,,,,,,,,,,,,,,,,,,,,,,,,,,,,,,,,,,,,,,,,,,,,,,,,,,,,,,,,,,,,,,,,,,,,,,,,,,,,,,,,,,,,,,,,,,,,,,,,,,,,,,,,,,,,,,,,,,,,,,,,,,,,,,,,,,,,,,,,,,,,,,,,,,,,,,,,,,,,,,,,,,,,,,,,,,,,,,,,,,,,,,,,,,,,,,,,,,,,,,,,,,,,,,,,,,,,,,,,,,,,,,,,,,,,,,,,,,,,,,,,,,,,,,,,,,,,,,,,,,,,,,,,,,,,,,,,,,,,,,,,,,,,,,,,,,,,,,,,,,,,,,,,,,,,,,,,,,,,,,,,,,,,,,,,,,,,,,,,,,,,,,,,,,,,,,,,,,,,,,,,,,,,,,,,,,,,,,,,,,,,,,,,,,,,,,,,,,,,,,,,,,,,,,,,,,,,,,,,,,,,,,,,,,,,,,,,,,,,,,,,,,,,,,,,,,,,,,,,,,,,,,,,,,,,,,,,,,,,,,,,,,,,,,,,,,,,,,,,,,,,,,,,,,,,,,,,,,,,,,,,,,,,,,,,,,,,,,,,,,,,,,,,,,,,,,,,,,,,,,,,,,,,,,,,,,,,,,,,,,,,,,,,,,,,,,,,,,,,,,,,,,,,,,,,,,,,,,,,,,,,,,,,,,,,,,,,,,,,,,,,,,,,,,,,,,,,,,,,,,,,,,,,,,,,,,,,,,,,,,,,,,,,,,,,,,,,,,,,,,,,,,,,,,,,,,,,,,,,,,,,,,,,,,,,,,,,,,,,,,,,,,,,,,,,,,,,,,,,,,,,,,,,,,,,,,,,,,,,,,,,,,,,,,,,,,,,,,,,,,,,,,,,,,,,,,,,,,,,,,,,,,,,,,,,,,,}",
                    "MostRecentExpectedUnitErrors": null,
                    "Units": {
                      "$id": "302",
                      "$type": "ModelMaker.Unit, ModelMaker",
                      "DefaultNumberFormat": 4,
                      "NumberFormatOverride": null,
                      "MatchAnything": false,
                      "ExternalRepresentation": "£ real",
                      "ItemsOnTop": {
                        "$type": "System.Collections.Generic.List`1[[System.String, mscorlib]], mscorlib",
                        "$values": [
                          "£ real"
                        ]
                      },
                      "ItemsOnBottom": {
                        "$type": "System.Collections.Generic.List`1[[System.String, mscorlib]], mscorlib",
                        "$values": []
                      },
                      "IsCurrency": true,
                      "ContainsSMU": false,
                      "IsDimensionless": false,
                      "InsertRowTotal": true,
                      "IgnoreWhenDeterminingExpectedUnits": false
                    },
                    "Name": "DC per SU Opex real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9,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0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304",
                          "$type": "ModelMaker.DimensionedArrayValues, ModelMaker",
                          "Elements": {
                            "$type": "ModelMakerEngine.MMElements, ModelMakerEngine",
                            "$values": []
                          },
                          "Values": {
                            "$type": "System.Collections.Generic.List`1[[System.Object, mscorlib]], mscorlib",
                            "$values": [
                              null,
                              2.2024678092054404,
                              2.2045687598326675,
                              1.5773133184018855,
                              2.0756048118492405,
                              1.4451186358634633,
                              1.8156409652429795,
                              1.3867569620743843,
                              1.7293194403097276,
                              1.3947925224563016,
                              1.3988428091161835,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26d74804-90ac-41a7-9b29-01caebdc5d5c",
                    "Dimensions": {
                      "$type": "ModelMakerEngine.MMDimensions, ModelMakerEngine",
                      "$values": []
                    },
                    "EquationOBXInternal": "{,2.20246780920544,2.20456875983267,1.57731331840189,2.07560481184924,1.44511863586346,1.81564096524298,1.38675696207438,1.72931944030973,1.3947925224563,1.39884280911618,,,,,,,,,,,,,,,,,,,,,,,,,,,,,,,,,,,,,,,,,,,,,,,,,,,,,,,,,,,,,,,,,,,,,,,,,,,,,,,,,,,,,,,,,,,,,,,,,,,,,,,,,,,,,,,,,,,,,,,,,,,,,,,,,,,,,,,,,,,,,,,,,,,,,,,,,,,,,,,,,,,,,,,,,,,,,,,,,,,,,,,,,,,,,,,,,,,,,,,,,,,,,,,,,,,,,,,,,,,,,,,,,,,,,,,,,,,,,,,,,,,,,,,,,,,,,,,,,,,,,,,,,,,,,,,,,,,,,,,,,,,,,,,,,,,,,,,,,,,,,,,,,,,,,,,,,,,,,,,,,,,,,,,,,,,,,,,,,,,,,,,,,,,,,,,,,,,,,,,,,,,,,,,,,,,,,,,,,,,,,,,,,,,,,,,,,,,,,,,,,,,,,,,,,,,,,,,,,,,,,,,,,,,,,,,,,,,,,,,,,,,,,,,,,,,,,,,,,,,,,,,,,,,,,,,,,,,,,,,,,,,,,,,,,,,,,,,,,,,,,,,,,,,,,,,,,,,,,,,,,,,,,,,,,,,,,,,,,,,,,,,,,,,,,,,,,,,,,,,,,,,,,,,,,,,,,,,,,,,,,,,,,,,,,,,,,,,,,,,,,,,,,,,,,,,,,,,,,,,,,,,,,,,,,,,,,,,,,,,,,,,,,,,,,,,,,,,,,,,,,,,,,,,,,,,,,,,,,,,,,,,,,,,,,,,,,,,,,,,,,,,,,,,,,,,,,,,,,,,,,,,,,,,,,,,,,,,,,,,,,,,,,,,,,,,,,,,,,,,,,,,,,,,,,,,,,,,,,,,,,,,,,,,,,,,,,,,,,,,,,,,,,,,,,,,,,,,,,,,,,,,,,,,,,,,,,,,,,,,,,,,,,,,,,,,,,,,,,,,,,,,,,,,,,,,,,,,,,,,,,,,,,,,,,,,,,,,,,,,,,,,,,,,,,,,,,,,,,,,,,,,,,,,,,,,,,,,,,,,,,,,,,,,,,,,,,,,,,,,,,,,,,,,,,,,,,,,,,,,,,,,,,,,,,,,,,,,,,,,,,,,,,,,,,,,,,,,,,,,,,,,,,,,,,,,,,,,,,,,,,,,,,,,,,,,,,,,,,,,,,,,,,,,,,,,,,,,,,,,,,,,,,,,,,,,,,,,,,,,,,,,,,,,,,,,,,,,,,,,,,,,,,,,,,,,,,,,,,,,,,,,,,,,,,,,,,,,,,,,,,,,,,,,,,,,,,,,,,,,,,,,,,,,,,,,,,,,,,,,,,,,,,,,,,,,,,,,,,,,,,,,,,,,,,,,,,,,,,,,,,,,,,,,,,,,,,,,,,,,,,,,,,,,,,,,,,,,,,,,,,,,,,,,,,,,,,,,,,,,,,,,,,,,,,,,,,,,,,,,,,,,,,,,,,,,,,,,,,,,,,,,,,,,,,,,,,,,,,,,,,,,,,,,,,,,,,,,,,,,,,,,,,,,,,,,,,,,,,,,,,,,,,,,,,,,,,,,,,,,,,,,,,,,,,,,,,,,,,,,,,,,,,,,,,,,,,,,,,,,,,,,,,,,,,,,,,,,,,,,,,,,,,,,,,,,,,,,,,,,,,,,,,,,,,,,,,,,,,,,,,,,,,,,,,,,,,,,,,,,,,,,,,,,,,,,,,,,,,,,,,,,,,,,,,,,,,,,,,,,,,,,,,,,,,,,,,,,,,,,,,,,,,,,,,,,,,,,,,,,,,,,,,,,,,,,,,,,,,,,,,,,,,,,,,,,,,,,,,,,,,,,,,,,,,,,,,,,,,,,,,,,,,,,,,,,,,,,,,,,,,,,,,,,,,,,,,,,,,,,,,,,,,,,,,,,,,,,,,,,,,,,,,,,,,,,,,,,,,,,,,,,,,,,,,,,,,,,,,,,,,,,,,,,,,,,,,,,,,,,,,,,,,,,,,,,,,,,,,,,,,,,,,,,,,,,,,,,,,,,,,,,,,,,,,,,,,,,,,,,,,,,,,,,,,,,,,,,,,,,,,,,,,,,,,,,,,,,,,,,,,,,,,,,,,,,,,,,,,,,,,,,,,,,,,,,,,,,,,,,,,,,,,,,,,,,,,,,,,,,,,,,,,,,,,,,,,,,,,,,,,,,,,,,,,,,,,,,,,,,,,,,,,,,,,,,,,,,,,,,,,,,,,,,,,,,,,,,,,,,,,,,,,,,,,,,,,,,,,,,,,,,,,,,,,,,,,,,,,,,,,,,,,,,,,,,,,,,,,,,,,,,,,,,,,,,,,,,,,,,,,,,,,,,,,,,,,,,,,,,,,,,,,,,,,,,,,,,,,,,,,,,,,,,,,,,,,,,,,,,,,,,,,,,,,,,,,,,,,,,,,,,,,,,,,,,,,,,,,,,,,,,,,,,,,,,,,,,,,,,,,,,,,,,,,,,,,,,,,,,,,,,,,,,,,,,,,,,,,,,,,,,,,,,,,,,,,,,,,,,,,,,,,,,,,,,,,,,,,,,,,,,,,,,,,,,,,,,,,,,,,,,,,,,,,,,,,,,,,,,,,,,,,,,,,,,,,,,,,,,,,,,,,,,,,,,,,,,,,,,,,,,,,,,,,,,,,,,,,,,,,,,,,,,,,,,,,,,,,,,,,,,,,,,,,,,,,,,,,,,,,,,,,,,,,,,,,,,,,,,,,,,,,,,,,,,,,,,,,,,,,,,,,,,,,,,,,,,,,,,,,,,,,,,,,,,,,,,,,,,,,,,,,,,,,,,,,,,,,,,,,,,,,,,,,,,,,,,,,,,,,,,,,,,,,,,,,,,,,,,,,,,,,,,,,,,,,,,,,,,,,,,,,,,,,,,,,,,,,,,,,,,,,,,,,,,,,,,,,,,,,,,,,,,,,,,,,,,,,,,,,,,,,,,,,,,,,,,,,,,,,,,,,,,,,,,,,,,,,,,,,,,,,,,,,,,,,,,,,,,,,,,,,,,,,,,,,,,,,,,,,,,,,,,,,,,,,,,,,,,,,,,,,,,,,,,,,,,,,,,,,,,,,,,,,,,,,,,,,,,,,,,,,,,,,,,,,,,,,,,,,,,,,,,,,,,,,,,,,,,,,,,,,,,,,,,,,,,,,,,,,,,,,,,,,,,,,,,,,,,,,,,,,,,,,,,,,,,,,,,,,,,,,,,,,,,,,,,,,,,,,,,,,,,,,,,,,,,,,,,,,,,,,,,,,,,,,,,,,,,,,,,,,,,,,,,,,,,,,,,,,,,,,,,,,,,,,,,,,,,,,,,,,,,,,,,,,,,,,,,,,,,,,,,,,,,,,,,,,,,,,,,,,,,,,,,,,,,,,,,,,,,,,,,,,,,,,,,,,,,,,,,,,,,,,,,,,,,,,,,,,,,,,,,,,,,,,,,,,,,,,,,,,,,,,,,,,,,,,,,,,,,,,,,,,,,,,,,,,,,,,,,,,,,,,,,,,,,,,,,,,,,,,,,,,,,,,,,,,,,,,,,,,,,,,,,,,,,,,,,,,,,,,,,,,,,,,,,,,,,,,,,,,,,,,,,,,,,,,,,,,,,,,,,,,,,,,,,,,,,,,,,,,,,,,,,,,,,,,,,,,,,,,,,,,,,,,,,,,,,,,,,,,,,,,,,,,,,,,,,,,,,,,,,,,,,,,,,,,,,,,,,,,,,,,,,,,,,,,,,,,,,,,,,,,,,,,,,,,,,,,,,,,,,,,,,,,,,,,,,,,,,,,,,,,,,,,,,,,,,,,,,,,,,,,,,,,,,,,,,,,,,,,,,,,,,,,,,,,,,,,,,,,,,,,,,,,,,,,,,,,,,,,,,,,,,,,,,,,,,,,,,,,,,,,,,,,,,,,,,,,,,,,,,,,,,,,,,,,,,,,,,,,,,,,,,,,,,,,,,,,,,,,,,,,,,,,,,,,,,,,,,,,,,,,,,,,,,,,,,,,,,,,,,,,,,,,,,,,,,,,,,,,,,,,,,,,,,,,,,,,,,,,,,,,,,,,,,,,,,,,,,,,,,,,,,,,,,,,,,,,,,,,,,,,,,,,,,,,,,,,,,,,,,,,,,,,,,,,,,,,,,,,,,,,,,,,,,,,,,,,,,,,,,,,,,,,,,,,,,,,,,,,,,,,,,,,,,,,,,,,,,,,,,,,,,,,,,,,,,,,,,,,,,,,,,,,,,,,,,,,,,,,,,,,,,,,,,,,,,,,,,,,,,,,,,,,,,,,,,,,,,,,,,,,,,,,,,,,,,,,,,,,,,,,,,,,,,,,,,,,,,,,,,,,,,,,,,,,,,,,,,,,,,,,,,,,,,,,,,,,,,,,,,,,,,,,,,,,,,,,,,,,,,,,,,,,,,,,,,,,,,,,,,,,,,,,,,,,,,,,,,,,,,,,,,,,,,,,,,,,,,,,,,,,,,,,,,,,,,,,,,,,,,,,,,,,,,,,,,,,,,,,,,,,,,,,,,,,,,,,,,,,,,,,,,,,,,,,,,,,,,,,,,,,,,,,,,,,,,,,,,,,,,,,,,,,,,,,,,,,,,,,,,,,,,,,,,,,,,,,,,,,,,,,,,,,,,,,,,,,,,,,,,,,,,,,,,,,,,,,,,,,,,,,,,,,,,,,,,,,,,,,,,,,,,,,,,,,,,,,,,,,,,,,,,,,,,,,,,,,,,,,,,,,,,,,,,,,,,,,,,,,,,,,,,,,,,,,,,,,,,,,,,,,,,,,,,,,,,,,,,,,,,,,,,,,,,,,,,,,,,,,,,,,,,,,,,,,,,,,,,,,,,,,,,,,,,,,,,,,,,,,,,,,,,,,,,,,,,,,,,,,,,,,,,,,,,,,,,,,,,,,,,,,,,,,,,,,,,,,,,,,,,,,,,,,,,,,,,,,,,,,,,,,,,,,,,,,,,,,,,,,,,,,,,,,,,,,,,,,,,,,,,,,,,,,,,,,,,,,,,,,,,,,,,,,,,,,,,,,,,,,,,,,,,,,,,,,,,,,,,,,,,,,,,,,,,,,,,,,,,,,,,,,,,,,,,,,,,,,,,,,,,,,,,,,,,,,,,,,,,,,,,,,,,,,,,,,,,,,,,,,,,,,,,,,,,,,,,,,,,,,,,,,,,,,,,,,,,,,,,,,,,,,,,,,,,,,,,,,,,,,,,,,,,,,,,,,,,,,,,,,,,,,,,,,,,,,,,,,,,,,,,,,,,,,,,,,,,,,,,,,,,,,,,,,,,,,,,,,,,,,,,,,,,,,,,,,,,,,,,,,,,,,,,,,,,,,,,,,,,,,,,,,,,,,,,,,,,,,,,,,,,,,,,,,,,,,,,,,,,,,,,,,,,,,,,,,,,,,,,,,,,,,,,,,,,,,,,,,,,,,,,,,,,,,,,,,,,,,,,,,,,,,,,,,,,,,,,,,,,,,,,,,,,,,,,,,,,,,,,,,,,,,,,,,,,,,,,,,,,,,,,,,,,,,,,,,,,,,,,,,,,,,,,,,,,,,,,,,,,,,,,,,,,,,,,,,,,,,,,,,,,,,,,,,,,,,,,,,,,,,,,,,,,,,,,,,,,,,,,,,,,,,,,,,,,,,,,,,,,,,,,,,,,,,,,,,,,,,,,,,,,,,,,,,,,,,,,,,,,,,,,,,,,,,,,,,,,,,,,,,,,,,,,,,,,,,,,,,,,,,,,,,,,,,,,,,,,,,,,,,,,,,,,,,,,,,,,,,,,,,,,,,,,,,,,,,,,,,,,,,,,,,,,,,,,,,,,,,,,,,,,,,,,,,,,,,,,,,,,,,,,,,,,,,,,,,,,,,,,,,,,,,,,,,,,,,,,,,,,,,,,,,,,,,,,,,,,,,,,,,,,,,,,,,,,,,,,,,,,,,,,,,,,,,,,,,,,,,,,,,,,,,,,,,,,,,,,,,,,,,,,,,,,,,,,,,,,,,,,,,,,,,,,,,,,,,,,,,,,,,,,,,,,,,,,,,,,,,,,,,,,,,,,,,,,,,,,,,,,,,,,,,,,,,,,,,,,,,,,,,,,,,,,,,,,,,,,,,,,,,,,,,,,,,,,,,,,,,,,,,,,,,,,,,,,,,,,,,,,,,,,,,,,,,,,,,,,,,,,,,,,,,,,,,,,,,,,,,,,,,,,,,,,,,,,,,,,,,,,,,,,,,,,,,,,,,,,,,,,,,,,,,,,,,,,,,,,,,,,,,,,,,,,,,,,,,,,,,,,,,,,,,,,,,,,,,,,,,,,,,,,,,,,,,,,,,,,,,,,,,,,,,,,,,,,,,,,,,,,,,,,,,,,,,,,,,,,,,,,,,,,,,,,,,,,,,,,,,,,,,,,,,,,,,,,,,,,,,,,,,,,,,,,,,,,,,,,,,,,,,,,,,,,,,,,,,,,,,,,,,,,,,,,,,,,,,,,,,,,,,,,,,,,,,,,,,,,,,,,,,,,,,,,,,,,,,,,,,,,,,,,,,,,,,,,,,,,,,,,,,,,,,,,,,,,,,,,,,,,,,,,,,,,,,,,,,,,,,,,,,,,,,,,,,,,,,,,,,,,,,,,,,,,,,,,,,,,,,,,,,,,,,,,,,,,,,,,,,,,,,,,,,,,,,,,,,,,,,,,,,,,,,,,,,,,,,,,,,,,,,,,,,,,,,,,,,,,,,,,,,,,,,,,,,,,,,,,,,,,,,,,,,,,,,,,,,,,,,,,,,,,,,,,,,,,,,,,,,,,,,,,,,,,,,,,,,,,,,,,,,,,,,,,,,,,,,,,,,,,,,,,,,,,,,,,,,,,,,,,,,,,,,,,,,,,,,,,,,,,,,,,,,,,,,,,,,,,,,,,,,,,,,,,,,,,,,,,,,,,,,,,,,,,,,,,,,,,,,,,,,,,,,,,,,,,,,,,,,,,,,,,,,,,,,,,,,,,,,,,,,,,,,,,,,,,,,,,,,,,,,,,,,,,,,,,,,,,,,,,,,,,,,,,,,,,,,,,,,,,,,,,,,,,,,,,,,,,,,,,,,,,,,,,,,,,,,,,,,,,,,,,,,,,,,,,,,,,,,,,,,,,,,,,,,,,,,,,,,,,,,,,,,,,,,,,,,,,,,,,,,,,,,,,,,,,,,,,,,,,,,,,,,,,,,,,,,,,,,,,,,,,,,,,,,,,,,,,,,,,,,,,,,,,,,,,,,,,,,,,,,,,,,,,,,,,,,,,,,,,,,,,,,,,,,,,,,,,,,,,,,,,,,,,,,,,,,,,,,,,,,,,,,,,,,,,,,,,,,,,,,,,,,,,,,,,,,,,,,,,,,,,,,,,,,,,,,,,,,,,,,,,,,,,,,,,,,,,,,,,,,,,,,,,,,,,,,,,,,,,,,,,,,,,,,,,,,,,,,,,,,,,,,,,,,,,,,,,,,,,,,,,,,,,,,,,,,,,,,,,,,,,,,,,,,,,,,,,,,,,,,,,,,,,,,,,,,,,,,,,,,,,,,,,,,,,,,,,,,,,,,,,,,,,,,,,,,,,,,,,,,,,,,,,,,,,,,,,,,,,,,,,,,,,,,,,,,,,,,,,,,,,,,,,,,,,,,,,,,,,,,,,,,,,,,,,,,,,,,,,,,,,,,,,,,,,,,,,,,,,,,,,,,,,,,,,,,,,,,,,,,,,,,,,,,,,,,,,,,,,,,,,,,,,,,,,,,,,,,,,,,,,,,,,,,,,,,,,,,,,,,,,,,,,,,,,,,,,,,,,,,,,,,,,,,,,,,,,,,,,,,,,,,,,,,,,,,,,,,,,,,,,,,,,,,,,,,,,,,,,,,,,,,,,,,,,,,,,,,,,,,,,,,,,,,,,,,,,,,,,,,,,,,,,,,,,,,,,,,,,,,,,,,,,,,,,,,,,,,,,,,,,,,,,,,,,,,,,,,,,,,,,,,,,,,,,,,,,,,,,,,,,,,,,,,,,,,,,,,,,,,,,,,,,,,,,,,,,,,,,,,,,,,,,,,,,,,,,,,,,,,,,,,,,,,,,,,,,,,,,,,,,,,,,,,,,,,,,,,,,,,,,,,,,,,,,,,,,,,,,,,,,,,,,,,,,,,,,,,,,,,,,,,,,,,,,,,,,,,,,,,,,,,,,,,,,,,,,,,,,,,,,,,,,,,,,,,,,,,,,,,,,,,,,,,,,,,,,,,,,,,,,,,,,,,,,,,,,,,,,,,,,,,,,,,,,,,,,,,,,,,,,,,,,,,,,,,,,,,,,,,,,,,,,,,,,,,,,,,,,,,,,,,,,,,,,,,,,,,,,,,,,,,,,,,,,,,,,,,,,,,,,,,,,,,,,,,,,,,,,,,,,,,,,,,,,,,,,,,,,,,,,,,,,,,,,,,,,,,,,,,,,,,,,,,,,,,,,,,,,,,,,,,,,,,,,,,,,,,,,,,,,,,,,,,,,,,,,,,,,,,,,,,,,,,,,,,,,,,,,,,,,,,,,,,,,,,,,,,,,,,,,,,,,,,,,,,,,,,,,,,,,,,,,,,,,,,,,,,,,,,,,,,,,,,,,,,,,,,,,,,,,,,,,,,,,,,,,,,,,,,,,,,,,,,,,,,,,,,,,,,,,,,,,,,,,,,,,,,,,,,,,,,,,,,,,,,,,,,,,,,,,,,,,,,,,,,,,,,,,,,,,,,,,,,,,,,,,,,,,,,,,,,,,,,,,,,,,,,,,,,,,,,,,,,,,,,,,,,,,,,,,,,,,,,,,,,,,,,,,,,,,,,,,,,,,,,,,,,,,,,,,,,,,,,,,,,,,,,,,,,,,,,,,,,,,,,,,,,,,,,,,,,,,,,,,,,,,,,,,,,,,,,,,,,,,,,,,,,,,,,,,,,,,,,,,,,,,,,,,,,,,,,,,,,,,,,,,,,,,,,,,,,,,,,,,,,,,,,,,,,,,,,,,,,,,,,,,,,,,,,,,,,,,,,,,,,,,,,,,,,,,,,,,,,,,,,,,,,,,,,,,,,,,,,,,,,,,,,,,,,,,,,,,,,,,,,,,,,,,,,,,,,,,,,,,,,,,,,,,,,,,,,,,,,,,,,,,,,,,,,,,,,,,,,,,,,,,,,,,,,,,,,,,,,,,,,,,,,,,,,,,,,,,,,,,,,,,,,,,,,,,,,,,,,,,,,,,,,,,,,,,,,,,,,,,,,,,,,,,,,,,,,,,,,,,,,,,,,,,,,,,,,,,,,,,,,,,,,,,,,,,,,,,,,,,,,,,,,,,,,,,,,,,,,,,,,,,,,,,,,,,,,,,,,,,,,,,,,,,,,,,,,,,,,,,,,,,,,,,,,,,,,,,,,,,,,,,,,,,,,,,,,,,,,,,,,,,,,,,,,,,,,,,,,,,,,,,,,,,,,,,,,,,,,,,,,,,,,,,,,,,,,,,,,,,,,,,,,,,,,,,,,,,,,,,,,,,,,,,,,,,,,,,,,,,,,,,,,,,,,,,,,,,,,,,,,,,,,,,,,,,,,,,,,,,,,,,,,,,,,,,,,,,,,,,,,,,,,,,,,,,,,,,,,,,,,,,,,,,,,,,,,,,,,,,,,,,,,,,,,,,,,,,,,,,,,,,,,,,,,,,,,,,,,,,,,,,,,,,,,,,,,,,,,,,,,,,,,,,,,,,,,,,,,,,,,,,,,,,,,,,,,,,,,,,,,,,,,,,,,,,,,,,,,,,,,,,,,,,,,,,,,,,,,,,,,,,,,,,,,,,,,,,,,,,,,,,,,,,,,,,,,,,,,,,,,,,,,,,,,,,,,,,,,,,,,,,,,,,,,,,,,,,,,,,,,,,,,,,,,,,,,,,,,,,,,,,,,,,,,,,,,,,,,,,,,,,,,,,,,,,,,,,,,,,,,,,,,,,,,,,,,,,,,,,,,,,,,,,,,,,,,,,,,,,,,,,,,,,,,,,,,,,,,,,,,,,,,,,,,,,,,,,,,,,,,,,,,,,,,,,,,,,,,,,,,,,,,,,,,,,,,,,,,,,,,,,,,,,,,,,,,,,,,,,,,,,,,,,,,,,,,,,,,,,,,,,,,,,,,,,,,,,,,,,,,,,,,,,,,,,,,,,,,,,,,,,,,,,,,,,,,,,,,,,,,,,,,,,,,,,,,,,,,,,,,,,,,,,,,,,,,,,,,,,,,,,,,,,,,,,,,,,,,,,,,,,,,,,,,,,,,,,,,,,,,,,,,,,,,,,,,,,,,,,,,,,,,,,,,,,,,,,,,,,,,,,,,,,,,,,,,,,,,,,,,,,,,,,,,,,,,,,,,,,,,,,,,,,,,,,,,,,,,,,,,,,,,,,,,,,,,,,,,,,,,,,,,,,,,,,,,,,,,,,,,,,,,,,,,,,,,,,,,,,,,,,,,,,,,,,,,,,,,,,,,,,,,,,,,,,,,,,,,,,,,,,,,,,,,,,,,,,,,,,,,,,,,,,,,,,,,,,,,,,,,,,,,,,,,,,,,,,,,,,,,,,,,,,,,,,,,,,,,,,,,,,,,,,,,,,,,,,,,,,,,,,,,,,,,,,,,,,,,,,,,,,,,,,,,,,,,,,,,,,,,,,,,,,,,,,,,,,,,,,,,,,,,,,,,,,,,,,,,,,,,,,,,,,,,,,,,,,,,,,,,,,,,,,,,,,,,,,,,,,,,,,,,,,,,,,,,,,,,,,,,,,,,,,,,,,,,,,,,,,,,,,,,,,,,,,,,,,,,,,,,,,,,,,,,,,,,,,,,,,,,,,,,,,,,,,,,,,,,,,,,,,,,,,,,,,,,,,,,,,,,,,,,,,,,,,,,,,,,,,,,,,,,,,,,,,,,,,,,,,,,,,,,,,,,,,,,,,,,,,,,,,,,,,,,,,,,,,,,,,,,,,,,,,,,,,,,,,,,,,,,,,,,,,,,,,,,,,,,,,,,,,,,,,,,,,,,,,,,,,,,,,,,,,,,,,,,,,,,,,,,,,,,,,,,,,,,,,,,,,,,,,,,,,,,,,,,,,,,,,,,,,,,,,,,,,,,,,,,,,,,,,,,,,,,,,,,,,,,,,,,,,,,,,,,,,,,,,,,,,,,,,,,,,,,,,,,,,,,,,,,,,,,,,,,,,,,,,,,,,,,,,,,,,,,,,,,,,,,,,,,,,,,,,,,,,,,,,,,,,,,,,,,,,,,,,,,,,,,,,,,,,,,,,,,,,,,,,,,,,,,,,,,,,,,,,,,,,,,,,,,,,,,,,,,,,,,,,,,,,,,,,,,,,,,,,,,,,,,,,,,,,,,,,,,,,,,,,,,,,,,,,,,,,,,,,,,,,,,,,,,,,,,,,,,,,,,,,,,,,,,,,,,,,,,,,,,,,,,,,,,,,,,,,,,,,,,,,,,,,,,,,,,,,,,,,,,,,,,,,,,,,,,,,,,,,,,,,,,,,,,,,,,,,,,,,,,,,,,,,,,,,,,,,,,,,,,,,,,,,,,,,,,,,,,,,,,,,,,,,,,,,,,,,,,,,,,,,,,,,,,,,,,,,,,,,,,,,,,,,,,,,,,,,,,,,,,,,,,,,,,,,,,,,,,,,,,,,,,,,,,,,,,,,,,,,,,,,,,,,,,,,,,,,,,,,,,,,,,,,,,,,,,,,,,,,,,,,,,,,,,,,,,,,,,,,,,,,,,,,,,,,,,,,,,,,,,,,,,,,,,,,,,,,,,,,,,,,,,,,,,,,,,,,,,,,,,,,,,,,,,,,,,,,,,,,,,,,,,,,,,,,,,,,,,,,,,,,,,,,,,,,,,,,,,,,,,,,,,,,,,,,,,,,,,,,,,,,,,,,,,,,,,,,,,,,,,,,,,,,,,,,,,,,,,,,,,,,,,,,,,,,,,,,,,,,,,,,,,,,,,,,,,,,,,,,,,,,,,,,,,,,,,,,,,,,,,,,,,,,,,,,,,,,,,,,,,,,,,,,,,,,,,,,,,,,,,,,,,,,,,,,,,,,,,,,,,,,,,,,,,,,,,,,,,,,,,,,,,,,,,,,,,,,,,,,,,,,,,,,,,,,,,,,,,,,,,,,,,,,,,,,,,,,,,,,,,,,,,,,,,,,,,,,,,,,,,,,,,,,,,,,,,,,,,,,,,,,,,,,,,,,,,,,,,,,,,,,,,,,,,,,,,,,,,,,,,,,,,,,,,,,,,,,,,,,,,,,,,,,,,,,,,,,,,,,,,,,,,,,,,,,,,,,,,,,,,,,,,,,,,,,,,,,,,,,,,,,,,,,,,,,,,,,,,,,,,,,,,,,,,,,,,,,,,,,,,,,,,,,,,,,,,,,,,,,,,,,,,,,,,,,,,,,,,,,,,,,,,,,,,,,,,,,,,,,,,,,,,,,,,,,,,,,,,,,,,,,,,,,,,,,,,,,,,,,,,,,,,,,,,,,,,,,,,,,,,,,,,,,,,,,,,,,,,,,,,,,,,,,,,,,,,,,,,,,,,,,,,,,,,,,,,,,,,,,,,,,,,,,,,,,,,,,,,,,,,,,,,,,,,,,,,,,,,,,,,,,,,,,,,,,,,,,,,,,,,,,,,,,,,,,,,,,,,,,,,,,,,,,,,,,,,,,,,,,,,,,,,,,,,,,,,,,,,,,,,,,,,,,,,,,,,,,,,,,,,,,,,,,,,,,,,,,,,,,,,,,,,,,,,,,,,,,,,,,,,,,,,,,,,,,,,,,,,,,,,,,,,,,,,,,,,,,,,,,,,,,,,,,,,,,,,,,,,,,,,,,,,,,,,,,,,,,,,,,,,,,,,,,,,,,,,,,,,,,,,,,,,,,,,,,,,,,,,,,,,,,,,,,,,,,,,,,,,,,,,,,,,,,,,,,,,,,,,,,,,,,,,,,,,,,,,,,,,,,,,,,,,,,,,,,,,,,,,,,,,,,,,,,,,,,,,,,,,,,,,,,,,,,,,,,,,,,,,,,,,,,,,,,,,,,,,,,,,,,,,,,,,,,,,,,,,,,,,,,,,,,,,,,,,,,,,,,,,,,,,,,,,,,,,,,,,,,,,,,,,,,,,,,,,,,,,,,,,,,,,,,,,,,,,,,,,,,,,,,,,,,,,,,,,,,,,,,,,,,,,,,,,,,,,,,,,,,,,,,,,,,,,,,,,,,,,,,,,,,,,,,,,,,,,,,,,,,,,,,,,,,,,,,,,,,,,,,,,,,,,,,,,,,,,,,,,,,,,,,,,,,,,,,,,,,,,,,,,,,,,,,,,,,,,,,,,,,,,,,,,,,,,,,,,,,,,,,,,,,,,,,,,,,,,,,,,,,,,,,,,,,,,,,,,,,,,,,,,,,,,,,,,,,,,,,,,,,,,,,,,,,,,,,,,,,,,,,,,,,,,,,,,,,,,,,,,,,,,,,,,,,,,,,,,,,,,,,,,,,,,,,,,,,,,,,,,,,,,,,,,,,,,,,,,,,,,,,,,,,,,,,,,,,,,,,,,,,,,,,,,,,,,,,,,,,,,,,,,,,,,,,,,,,,,,,,,,,,,,,,,,,,,,,,,,,,,,,,,,,,,,,,,,,,,,,,,,,,,,,,,,,,,,,,,,,,,,,,,,,,,,,,,,,,,,,,,,,,,,,,,,,,,,,,,,,,,,,,,,,,,,,,,,,,,,,,,,,,,,,,,,,,,,,,,,,,,,,,,,,,,,,,,,,,,,,,,,,,,,,,,,,,,,,,,,,,,,,,,,,,,,,,,,,,,,,,,,,,,,,,,,,,,,,,,,,,,,,,,,,,,,,,,,,,,,,,,,,,,,,,,,,,,,,,,,,,,,,,,,,,,,,,,,,,,,,,,,,,,,,,,,,,,,,,,,,,,,,,,,,,,,,,,,,,,,,,,,,,,,,,,,,,,,,,,,,,,,,,,,,,,,,,,,,,,,,,,,,,,,,,,,,,,,,,,,,,,,,,,,,,,,,,,,,,,,,,,,,,,,,,,,,,,,,,,,,,,,,,,,,,,,,,,,,,,,,,,,,,,,,,,,,,,,,,,,,,,,,,,,,,,,,,,,,,,,,,,,,,,,,,,,,,,,,,,,,,,,,,,,,,,,,,,,,,,,,,,,,,,,,,,,,,,,,,,,,,,,,,,,,,,,,,,,,,,,,,,,,,,,,,,,,,,,,,,,,,,,,,,,,,,,,,,,,,,,,,,,,,,,,,,,,,,,,,,,,,,,,,,,,,,,,,,,,,,,,,,,,,,,,,,,,,,,,,,,,,,,,,,,,,,,,,,,,,,,,,,,,,,,,,,,,,,,,,,,,,,,,,,,,,,,,,,,,,,,,,,,,,,,,,,,,,,,,,,,,,,,,,,,,,,,,,,,,,,,,,,,,,,,,,,,,,,,,,,,,,,,,,,,,,,,,,,,,,,,,,,,,,,,,,,,,,,,,,,,,,,,,,,,,,,,,,,,,,,,,,,,,,,,,,,,,,,,,,,,,,,,,,,,,,,,,,,,,,,,,,,,,,,,,,,,,,,,,,,,,,,,,,,,,,,,,,,,,,,,,,,,,,,,,,,,,,,,,,,,,,,,,,,,,,,,,,,,,,,,,,,,,,,,,,,,,,,,,,,,,,,,,,,,,,,,,,,,,,,,,,,,,,,,,,,,,,,,,,,,,,,,,,,,,,,,,,,,,,,,,,,,,,,,,,,,,,,,,,,,,,,,,,,,,,,,,,,,,,,,,,,,,,,,,,,,,,,,,,,,,,,,,,,,,,,,,,,,,,,,,,,,,,,,,,,,,,,,,,,,,,,,,,,,,,,,,,,,,,,,,,,,,,,,,,,,,,,,,,,,,,,,,,,,,,,,,,,,,,,,,,,,,,,,,,,,,,,,,,,,,,,,,,,,,,,,,,,,,,,,,,,,,,,,,,,,,,,,,,,,,,,,,,,,,,,,,,,,,,,,,,,,,,,,,,,,,,,,,,,,,,,,,,,,,,,,,,,,,,,,,,,,,,,,,,,,,,,,,,,,,,,,,,,,,,,,,,,,,,,,,,,,,,,,,,,,,,,,,,,,,,,,,,,,,,,,,,,,,,,,,,,,,,,,,,,,,,,,,,,,,,,,,,,,,,,,,,,,,,,,,,,,,,,,,,,,,,,,,,,,,,,,,,,,,,,,,,,,,,,,,,,,,,,,,,,,,,,,,,,,,,,,,,,,,,,,,,,,,,,,,,,,,,,,,,,,,,,,,,,,,,,,,,,,,,,,,,,,,,,,,,,,,,,,,,,,,,,,,,,,,,,,,,,,,,,,,,,,,,,,,,,,,,,,,,,,,,,,,,,,,,,,,,,,,,,,,,,,,,,,,,,,,,,,,,,,,,,,,,,,,,,,,,,,,,,,,,,,,,,,,,,,,,,,,,,,,,,,,,,,,,,,,,,,,,,,,,,,,,,,,,,,,,,,,,,,,,,,,,,,,,,,,,,,,,,,,,,,,,,,,,,,,,,,,,,,,,,,,,,,,,,,,,,,,,,,,,,,,,,,,,,,,,,,,,,,,,,,,,,,,,,,,,,,,,,,,,,,,,,,,,,,,,,,,,,,,,,,,,,,,,,,,,,,,,,,,,,,,,,,,,,,,,,,,,,,,,,,,,,,,,,,,,,,,,,,,,,,,,,,,,,,,,,,,,,,,,,,,,,,,,,,,,,,,,,,,,,,,,,,,,,,,,,,,,,,,,,,,,,,,,,,,,,,,,,,,,,,,,,,,,,,,,,,,,,,,,,,,,,,,,,,,,,,,,,,,,,,,,,,,,,,,,,,,,,,,,,,,,,,,,,,,,,,,,,,,,,,,,,,,,,,,,,,,,,,,,,,,,,,,,,,,,,,,,,,,,,,,,,,,,,,,,,,,,,,,,,,,,,,,,,,,,,,,,,,,,,,,,,,,,,,,,,,,,,,,,,,,,,,,,,,,,,,,,,,,,,,,,,,,,,,,,,,,,,,,,,,,,,,,,,,,,,,,,,,,,,,,,,,,,,,,,,,,,,,,,,,,,,,,,,,,,,,,,,,,,,,,,,,,,,,,,,,,,,,,,,,,,,,,,,,,,,,,,,,,,,,,,,,,,,,,,,,,,,,,,,,,,,,,,,,,,,,,,,,,,,,,,,,,,,,,,,,,,,,,,,,,,,,,,,,,,,,,,,,,,,,,,,,,,,,,,,,,,,,,,,,,,,,,,,,,,,,,,,,,,,,,,,,,,,,,,,,,,,,,,,,,,,,,,,,,,,,,,,,,,,,,,,,,,,,,,,,,,,,,,,,,,,,,,,,,,,,,,,,,,,,,,,,,,,,,,,,,,,,,,,,,,,,,,,,,,,,,,,,,,,,,,,,,,,,,,,,,,,,,,,,,,,,,,,,,,,,,,,,,,,,,,,,,,,,,,,,,,,,,,,,,,,,,,,,,,,,,,,,,,,,,,,,,,,,,,,,,,,,,,,,,,,,,,,,,,,,,,,,,,,,,,,,,,,,,,,,,,,,,,,,,,,,,,,,,,,,,,,,,,,,,,,,,,,,,,,,,,,,,,,,,,,,,,,,,,,,,,,,,,,,,,,,,,,,,,,,,,,,,,,,,,,,,,,,,,,,,,,,,,,,,,,,,,,,,,,,,,,,,,,,,,,,,,,,,,,,,,,,,,,,,,,,,,,,,,,,,,,,,,,,,,,,,,,,,,,,,,,,,,,,,,,,,,,,,,,,,,,,,,,,,,,,,,,,,,,,,,,,,,,,,,,,,,,,,,,,,,,,,,,,,,,,,,,,,,,,,,,,,,,,,,,,,,,,,,,,,,,,,,,,,,,,,,,,,,,,,,,,,,,,,,,,,,,,,,,,,,,,,,,,,,,,,,,,,,,,,,,,,,,,,,,,,,,,,,,,,,,,,,,,,,,,,,,,,,,,,,,,,,,,,,,,,,,,,,,,,,,,,,,,,,,,,,,,,,,,,,,,,,,,,,,,,,,,,,,,,,,,,,,,,,,,,,,,,,,,,,,,,,,,,,,,,,,,,,,,,,,,,,,,,,,,,,,,,,,,,,,,,,,,,,,,,,,,,,,,,,,,,,,,,,,,,,,,,,,,,,,,,,,,,,,,,,,,,,,,,,,,,,,,,,,,,,,,,,,,,,,,,,,,,,,,,,,,,,,,,,,,,,,,,,,,,,,,,,,,,,,,,,,,,,,,,,,,,,,,,,,,,,,,,,,,,,,,,,,,,,,,,,,,,,,,,,,,,,,,,,,,,,,,,,,,,,,,,,,,,,,,,,,,,,,,,,,,,,,,,,,,,,,,,,,,,,,,,,,,,,,,,,,,,,,,,,,,,,,,,,,,,,,,,,,,,,,,,,,,,,,,,,,,,,,,,,,,,,,,,,,,,,,,,,,,,,,,,,,,,,,,,,,,,,,,,,,,,,,,,,,,,,,,,,,,,,,,,,,,,,,,,,,,,,,,,,,,,,,,,,,,,,,,,,,,,,,,,,,,,,,,,,,,,,,,,,,,,,,,,,,,,,,,,,,,,,,,,,,,,,,,,,,,,,,,,,,,,,,,,,,,,,,,,,,,,,,,,,,,,,,,,,,,,,,,,,,,,,,,,,,,,,,,,,,,,,,,,,,,,,,,,,,,,,,,,,,,,,,,,,,,,,,,,,,,,,,,,,,,,,,,,,,,,,,,,,,,,,,,,,,,,,,,,,,,,,,,,,,,,,,,,,,,,,,,,,,,,,,,,,,,,,,,,,,,,,,,,,,,,,,,,,,,,,,,,,,,,,,,,,,,,,,,,,,,,,,,,,,,,,,,,,,,,,,,,,,,,,,,,,,,,,,,,,,,,,,,,,,,,,,,,,,,,,,,,,,,,,,,,,,,,,,,,,,,,,,,,,,,,,,,}",
                    "NameOfGroup": "Unallocated",
                    "EquationToParse": "{,2.20246780920544,2.20456875983267,1.57731331840189,2.07560481184924,1.44511863586346,1.81564096524298,1.38675696207438,1.72931944030973,1.3947925224563,1.39884280911618,,,,,,,,,,,,,,,,,,,,,,,,,,,,,,,,,,,,,,,,,,,,,,,,,,,,,,,,,,,,,,,,,,,,,,,,,,,,,,,,,,,,,,,,,,,,,,,,,,,,,,,,,,,,,,,,,,,,,,,,,,,,,,,,,,,,,,,,,,,,,,,,,,,,,,,,,,,,,,,,,,,,,,,,,,,,,,,,,,,,,,,,,,,,,,,,,,,,,,,,,,,,,,,,,,,,,,,,,,,,,,,,,,,,,,,,,,,,,,,,,,,,,,,,,,,,,,,,,,,,,,,,,,,,,,,,,,,,,,,,,,,,,,,,,,,,,,,,,,,,,,,,,,,,,,,,,,,,,,,,,,,,,,,,,,,,,,,,,,,,,,,,,,,,,,,,,,,,,,,,,,,,,,,,,,,,,,,,,,,,,,,,,,,,,,,,,,,,,,,,,,,,,,,,,,,,,,,,,,,,,,,,,,,,,,,,,,,,,,,,,,,,,,,,,,,,,,,,,,,,,,,,,,,,,,,,,,,,,,,,,,,,,,,,,,,,,,,,,,,,,,,,,,,,,,,,,,,,,,,,,,,,,,,,,,,,,,,,,,,,,,,,,,,,,,,,,,,,,,,,,,,,,,,,,,,,,,,,,,,,,,,,,,,,,,,,,,,,,,,,,,,,,,,,,,,,,,,,,,,,,,,,,,,,,,,,,,,,,,,,,,,,,,,,,,,,,,,,,,,,,,,,,,,,,,,,,,,,,,,,,,,,,,,,,,,,,,,,,,,,,,,,,,,,,,,,,,,,,,,,,,,,,,,,,,,,,,,,,,,,,,,,,,,,,,,,,,,,,,,,,,,,,,,,,,,,,,,,,,,,,,,,,,,,,,,,,,,,,,,,,,,,,,,,,,,,,,,,,,,,,,,,,,,,,,,,,,,,,,,,,,,,,,,,,,,,,,,,,,,,,,,,,,,,,,,,,,,,,,,,,,,,,,,,,,,,,,,,,,,,,,,,,,,,,,,,,,,,,,,,,,,,,,,,,,,,,,,,,,,,,,,,,,,,,,,,,,,,,,,,,,,,,,,,,,,,,,,,,,,,,,,,,,,,,,,,,,,,,,,,,,,,,,,,,,,,,,,,,,,,,,,,,,,,,,,,,,,,,,,,,,,,,,,,,,,,,,,,,,,,,,,,,,,,,,,,,,,,,,,,,,,,,,,,,,,,,,,,,,,,,,,,,,,,,,,,,,,,,,,,,,,,,,,,,,,,,,,,,,,,,,,,,,,,,,,,,,,,,,,,,,,,,,,,,,,,,,,,,,,,,,,,,,,,,,,,,,,,,,,,,,,,,,,,,,,,,,,,,,,,,,,,,,,,,,,,,,,,,,,,,,,,,,,,,,,,,,,,,,,,,,,,,,,,,,,,,,,,,,,,,,,,,,,,,,,,,,,,,,,,,,,,,,,,,,,,,,,,,,,,,,,,,,,,,,,,,,,,,,,,,,,,,,,,,,,,,,,,,,,,,,,,,,,,,,,,,,,,,,,,,,,,,,,,,,,,,,,,,,,,,,,,,,,,,,,,,,,,,,,,,,,,,,,,,,,,,,,,,,,,,,,,,,,,,,,,,,,,,,,,,,,,,,,,,,,,,,,,,,,,,,,,,,,,,,,,,,,,,,,,,,,,,,,,,,,,,,,,,,,,,,,,,,,,,,,,,,,,,,,,,,,,,,,,,,,,,,,,,,,,,,,,,,,,,,,,,,,,,,,,,,,,,,,,,,,,,,,,,,,,,,,,,,,,,,,,,,,,,,,,,,,,,,,,,,,,,,,,,,,,,,,,,,,,,,,,,,,,,,,,,,,,,,,,,,,,,,,,,,,,,,,,,,,,,,,,,,,,,,,,,,,,,,,,,,,,,,,,,,,,,,,,,,,,,,,,,,,,,,,,,,,,,,,,,,,,,,,,,,,,,,,,,,,,,,,,,,,,,,,,,,,,,,,,,,,,,,,,,,,,,,,,,,,,,,,,,,,,,,,,,,,,,,,,,,,,,,,,,,,,,,,,,,,,,,,,,,,,,,,,,,,,,,,,,,,,,,,,,,,,,,,,,,,,,,,,,,,,,,,,,,,,,,,,,,,,,,,,,,,,,,,,,,,,,,,,,,,,,,,,,,,,,,,,,,,,,,,,,,,,,,,,,,,,,,,,,,,,,,,,,,,,,,,,,,,,,,,,,,,,,,,,,,,,,,,,,,,,,,,,,,,,,,,,,,,,,,,,,,,,,,,,,,,,,,,,,,,,,,,,,,,,,,,,,,,,,,,,,,,,,,,,,,,,,,,,,,,,,,,,,,,,,,,,,,,,,,,,,,,,,,,,,,,,,,,,,,,,,,,,,,,,,,,,,,,,,,,,,,,,,,,,,,,,,,,,,,,,,,,,,,,,,,,,,,,,,,,,,,,,,,,,,,,,,,,,,,,,,,,,,,,,,,,,,,,,,,,,,,,,,,,,,,,,,,,,,,,,,,,,,,,,,,,,,,,,,,,,,,,,,,,,,,,,,,,,,,,,,,,,,,,,,,,,,,,,,,,,,,,,,,,,,,,,,,,,,,,,,,,,,,,,,,,,,,,,,,,,,,,,,,,,,,,,,,,,,,,,,,,,,,,,,,,,,,,,,,,,,,,,,,,,,,,,,,,,,,,,,,,,,,,,,,,,,,,,,,,,,,,,,,,,,,,,,,,,,,,,,,,,,,,,,,,,,,,,,,,,,,,,,,,,,,,,,,,,,,,,,,,,,,,,,,,,,,,,,,,,,,,,,,,,,,,,,,,,,,,,,,,,,,,,,,,,,,,,,,,,,,,,,,,,,,,,,,,,,,,,,,,,,,,,,,,,,,,,,,,,,,,,,,,,,,,,,,,,,,,,,,,,,,,,,,,,,,,,,,,,,,,,,,,,,,,,,,,,,,,,,,,,,,,,,,,,,,,,,,,,,,,,,,,,,,,,,,,,,,,,,,,,,,,,,,,,,,,,,,,,,,,,,,,,,,,,,,,,,,,,,,,,,,,,,,,,,,,,,,,,,,,,,,,,,,,,,,,,,,,,,,,,,,,,,,,,,,,,,,,,,,,,,,,,,,,,,,,,,,,,,,,,,,,,,,,,,,,,,,,,,,,,,,,,,,,,,,,,,,,,,,,,,,,,,,,,,,,,,,,,,,,,,,,,,,,,,,,,,,,,,,,,,,,,,,,,,,,,,,,,,,,,,,,,,,,,,,,,,,,,,,,,,,,,,,,,,,,,,,,,,,,,,,,,,,,,,,,,,,,,,,,,,,,,,,,,,,,,,,,,,,,,,,,,,,,,,,,,,,,,,,,,,,,,,,,,,,,,,,,,,,,,,,,,,,,,,,,,,,,,,,,,,,,,,,,,,,,,,,,,,,,,,,,,,,,,,,,,,,,,,,,,,,,,,,,,,,,,,,,,,,,,,,,,,,,,,,,,,,,,,,,,,,,,,,,,,,,,,,,,,,,,,,,,,,,,,,,,,,,,,,,,,,,,,,,,,,,,,,,,,,,,,,,,,,,,,,,,,,,,,,,,,,,,,,,,,,,,,,,,,,,,,,,,,,,,,,,,,,,,,,,,,,,,,,,,,,,,,,,,,,,,,,,,,,,,,,,,,,,,,,,,,,,,,,,,,,,,,,,,,,,,,,,,,,,,,,,,,,,,,,,,,,,,,,,,,,,,,,,,,,,,,,,,,,,,,,,,,,,,,,,,,,,,,,,,,,,,,,,,,,,,,,,,,,,,,,,,,,,,,,,,,,,,,,,,,,,,,,,,,,,,,,,,,,,,,,,,,,,,,,,,,,,,,,,,,,,,,,,,,,,,,,,,,,,,,,,,,,,,,,,,,,,,,,,,,,,,,,,,,,,,,,,,,,,,,,,,,,,,,,,,,,,,,,,,,,,,,,,,,,,,,,,,,,,,,,,,,,,,,,,,,,,,,,,,,,,,,,,,,,,,,,,,,,,,,,,,,,,,,,,,,,,,,,,,,,,,,,,,,,,,,,,,,,,,,,,,,,,,,,,,,,,,,,,,,,,,,,,,,,,,,,,,,,,,,,,,,,,,,,,,,,,,,,,,,,,,,,,,,,,,,,,,,,,,,,,,,,,,,,,,,,,,,,,,,,,,,,,,,,,,,,,,,,,,,,,,,,,,,,,,,,,,,,,,,,,,,,,,,,,,,,,,,,,,,,,,,,,,,,,,,,,,,,,,,,,,,,,,,,,,,,,,,,,,,,,,,,,,,,,,,,,,,,,,,,,,,,,,,,,,,,,,,,,,,,,,,,,,,,,,,,,,,,,,,,,,,,,,,,,,,,,,,,,,,,,,,,,,,,,,,,,,,,,,,,,,,,,,,,,,,,,,,,,,,,,,,,,,,,,,,,,,,,,,,,,,,,,,,,,,,,,,,,,,,,,,,,,,,,,,,,,,,,,,,,,,,,,,,,,,,,,,,,,,,,,,,,,,,,,,,,,,,,,,,,,,,,,,,,,,,,,,,,,,,,,,,,,,,,,,,,,,,,,,,,,,,,,,,,,,,,,,,,,,,,,,,,,,,,,,,,,,,,,,,,,,,,,,,,,,,,,,,,,,,,,,,,,,,,,,,,,,,,,,,,,,,,,,,,,,,,,,,,,,,,,,,,,,,,,,,,,,,,,,,,,,,,,,,,,,,,,,,,,,,,,,,,,,,,,,,,,,,,,,,,,,,,,,,,,,,,,,,,,,,,,,,,,,,,,,,,,,,,,,,,,,,,,,,,,,,,,,,,,,,,,,,,,,,,,,,,,,,,,,,,,,,,,,,,,,,,,,,,,,,,,,,,,,,,,,,,,,,,,,,,,,,,,,,,,,,,,,,,,,,,,,,,,,,,,,,,,,,,,,,,,,,,,,,,,,,,,,,,,,,,,,,,,,,,,,,,,,,,,,,,,,,,,,,,,,,,,,,,,,,,,,,,,,,,,,,,,,,,,,,,,,,,,,,,,,,,,,,,,,,,,,,,,,,,,,,,,,,,,,,,,,,,,,,,,,,,,,,,,,,,,,,,,,,,,,,,,,,,,,,,,,,,,,,,,,,,,,,,,,,,,,,,,,,,,,,,,,,,,,,,,,,,,,,,,,,,,,,,,,,,,,,,,,,,,,,,,,,,,,,,,,,,,,,,,,,,,,,,,,,,,,,,,,,,,,,,,,,,,,,,,,,,,,,,,,,,,,,,,,,,,,,,,,,,,,,,,,,,,,,,,,,,,,,,,,,,,,,,,,,,,,,,,,,,,,,,,,,,,,,,,,,,,,,,,,,,,,,,,,,,,,,,,,,,,,,,,,,,,,,,,,,,,,,,,,,,,,,,,,,,,,,,,,,,,,,,,,,,,,,,,,,,,,,,,,,,,,,,,,,,,,,,,,,,,,,,,,,,,,,,,,,,,,,,,,,,,,,,,,,,,,,,,,,,,,,,,,,,,,,,,,,,,,,,,,,,,,,,,,,,,,,,,,,,,,,,,,,,,,,,,,,,,,,,,,,,,,,,,,,,,,,,,,,,,,,,,,,,,,,,,,,,,,,,,,,,,,,,,,,,,,,,,,,,,,,,,,,,,,,,,,,,,,,,,,,,,,,,,,,,,,,,,,,,,,,,,,,,,,,,,,,,,,,,,,,,,,,,,,,,,,,,,,,,,,,,,,,,,,,,,,,,,,,,,,,,,,,,,,,,,,,,,,,,,,,,,,,,,,,,,,,,,,,,,,,,,,,,,,,,,,,,,,,,,,,,,,,,,,,,,,,,,,,,,,,,,,,,,,,,,,,,,,,,,,,,,,,,,,,,,,,,,,,,,,,,,,,,,,,,,,,,,,,,,,,,,,,,,,,,,,,,,,,,,,,,,,,,,,,,,,,,,,,,,,,,,,,,,,,,,,,,,,,,,,,,,,,,,,,,,,,,,,,,,,,,,,,,,,,,,,,,,,,,,,,,,,,,,,,,,,,,,,,,,,,,,,,,,,,,,,,,,,,,,,,,,,,,,,,,,,,,,,,,,,,,,,,,,,,,,,,,,,,,,,,,,,,,,,,,,,,,,,,,,,,,,,,,,,,,,,,,,,,,,,,,,,,,,,,,,,,,,,,,,,,,,,,,,,,,,,,,,,,,,,,,,,,,,,,,,,,,,,,,,,,,,,,,,,,,,,,,,,,,,,,,,,,,,,,,,,,,,,,,,,,,,,,,,,,,,,,,,,,,,,,,,,,,,,,,,,,,,,,,,,,,,,,,,,,,,,,,,,,,,,,,,,,,,,,,,,,,,,,,,,,,,,,,,,,,,,,,,,,,,,,,,,,,,,,,,,,,,,,,,,,,,,,,,,,,,,,,,,,,,,,,,,,,,,,,,,,,,,,,,,,,,,,,,,,,,,,,,,,,,,,,,,,,,,,,,,,,,,,,,,,,,,,,,,,,,,,,,,,,,,,,,,,,,,,,,,,,,,,,,,,,,,,,,,,,,,,,,,,,,,,,,,,,,,,,,,,,,,,,,,,,,,,,,,,,,,,,,,,,,,,,,,,,,,,,,,,,,,,,,,,,,,,,,,,,,,,,,,,,,,,,,,,,,,,,,,,,,,,,,,,,,,,,,,,,,,,,,,,,,,,,,,,,,,,,,,,,,,,,,,,,,,,,,,,,,,,,,,,,,,,,,,,,,,,,,,,,,,,,,,,,,,,,,,,,,,,,,,,,,,,,,,,,,,,,,,,,,,,,,,,,,,,,,,,,,,,,,,,,,,,,,,,,,,,,,,,,,,,,,,,,,,,,,,,,,,,,,,,,,,,,,,,,,,,,,,,,,,,,,,,,,,,,,,,,,,,,,,,,,,,,,,,,,,,,,,,,,,,,,,,,,,,,,,,,,,,,,,,,,,,,,,,,,,,,,,,,,,,,,,,,,,,,,,,,,,,,,,,,,,,,,,,,,,,,,,,,,,,,,,,,,,,,,,,,,,,,,,,,,,,,,,,,,,,,,,,,,,,,,,,,,,,,,,,,,,,,,,,,,,,,,,,,,,,,,,,,,,,,,,,,,,,,,,,,,,,,,,,,,,,,,,,,,,,,,,,,,,,,,,,,,,,,,,,,,,,,,,,,,,,,,,,,,,,,,,,,,,,,,,,,,,,,,,,,,,,,,,,,,,,,,,,,,,,,,,,,,,,,,,,,,,,,,,,,,,,,,,,,,,,,,,,,,,,,,,,,,,,,,,,,,,,,,,,,,,,,,,,,,,,,,,,,,,,,,,,,,,,,,,,,,,,,,,,,,,,,,,,,,,,,,,,,,,,,,,,,,,,,,,,,,,,,,,,,,,,,,,,,,,,,,,,,,,,,,,,,,,,,,,,,,,,,,,,,,,,,,,,,,,,,,,,,,,,,,,,,,,,,,,,,,,,,,,,,,,,,,,,,,,,,,,,,,,,,,,,,,,,,,,,,,,,,,,,,,,,,,,,,,,,,,,,,,,,,,,,,,,,,,,,,,,,,,,,,,,,,,,,,,,,,,,,,,,,,,,,,,,,,,,,,,,,,,,,,,,,,,,,,,,,,,,,,,,,,,,,,,,,,,,,,,,,,,,,,,,,,,,,,,,,,,,,,,,,,,,,,,,,,,,,,,,,,,,,,,,,,,,,,,,,,,,,,,,,,,,,,,,,,,,,,,,,,,,,,,,,,,,,,,,,,,,,,,,,,,,,,,,,,,,,,,,,,,,,,,,,,,,,,,,,,,,,,,,,,,,,,,,,,,,,,,,,,,,,,,,,,,,,,,,,,,,,,,,,,,,,,,,,,,,,,,,,,,,,,,,,,,,,,,,,,,,,,,,,,,,,,,,,,,,,,,,,,,,,,,,,,,,,,,,,,,,,,,,,,,,,,,,,,,,,,,,,,,,,,,,,,,,,,,,,,,,,,,,,,,,,,,,,,,,,,,,,,,,,,,,,,,,,,,,,,,,,,,,,,,,,,,,,,,,,,,,,,,,,,,,,,,,,,,,,,,,,,,,,,,,,,,,,,,,,,,,,,,,,,,,,,,,,,,,,,,,,,,,,,,,,,,,,,,,,,,,,,,,,,,,,,,,,,,,,,,,,,,,,,,,,,,,,,,,,,,,,,,,,,,,,,,,,,,,,,,,,,,,,,,,,,,,,,,,,,,,,,,,,,,,,,,,,,,,,,,,,,,,,,,,,,,,,,,,,,,,,,,,,,,,,,,,,,,,,,,,,,,,,,,,,,,,,,,,,,,,,,,,,,,,,,,,,,,,,,,,,,,,,,,,,,,,,,,,,,,,,,,,,,,,,,,,,,,,,,,,,,,,,,,,,,,,,,,,,,,,,,,,,,,,,,,,,,,,,,,,,,,,,,,,,,,,,,,,,,,,,,,,,,,,,,,,,,,,,,,,,,,,,,,,,,,,,,,,,,,,,,,,,,,,,,,,,,,,,,,,,,,,,,,,,,,,,,,,,,,,,,,,,,,,,,,,,,,,,,,,,,,,,,,,,,,,,,,,,,,,,,,,,,,,,,,,,,,,,,,,,,,,,,,,,,,,,,,,,,,,,,,,,,,,,,,,,,,,,,,,,,,,,,,,,,,,,,,,,,,,,,,,,,,,,,,,,,,,,,,,,,,,,,,,,,,,,,,,,,,,,,,,,,,,,,,,,,,,,,,,,,,,,,,,,,,,,,,,,,,,,,,,,,,,,,,,,,,,,,,,,,,,,,,,,,,,,,,,,,,,,,,,,,,,,,,,,,,,,,,,,,,,,,,,,,,,,,,,,,,,,,,,,,,,,,,,,,,,,,,,,,,,,,,,,,,,,,,,,,,,,,,,,,,,,,,,,,,,,,,,,,,,,,,,,,,,,,,,,,,,,,,,,,,,,,,,,,,,,,,,,,,,,,,,,,,,,,,,,,,,,,,,,,,,,,,,,,,,,,,,,,,,,,,,,,,,,,,,,,,,,,,,,,,,,,,,,,,,,,,,,,,,,,,,,,,,,,,,,,,,,,,,,,,,,,,,,,,,,,,,,,,,,,,,,,,,,,,,,,,,,,,,,,,,,,,,,,,,,,,,,,,,,,,,,,,,,,,,,,,,,,,,,,,,,,,,,,,,,,,,,,,,,,,,,,,,,,,,,,,,,,,,,,,,,,,,,,,,,,,,,,,,,,,,,,,,,,,,,,,,,,,,,,,,,,,,,,,,,,,,,,,,,,,,,,,,,,,,,,,,,,,,,,,,,,,,,,,,,,,,,,,,,,,,,,,,,,,,,,,,,,,,,,,,,,,,,,,,,,,,,,,,,,,,,,,,,,,,,,,,,,,,,,,,,,,,,,,,,,,,,,,,,,,,,,,,,,,,,,,,,,,,,,,,,,,,,,,,,,,,,,,,,,,,,,,,,,,,,,,,,,,,,,,,,,,,,,,,,,,,,,,,,,,,,,,,,,,,,,,,,,,,,,,,,,,,,,,,,,,,,,,,,,,,,,,,,,,,,,,,,,,,,,,,,,,,,,,,,,,,,,,,,,,,,,,,,,,,,,,,,,,,,,,,,,,,,,,,,,,,,,,,,,,,,,,,,,,,,,,,,,,,,,,,,,,,,,,,,,,,,,,,,,,,,,,,,,,,,,,,,,,,,,,,,,,,,,,,,,,,,,,,,,,,,,,,,,,,,,,,,,,,,,,,,,,,,,,,,,,,,,,,,,,,,,,,,,,,,,,,,,,,,,,,,,,,,,,,,,,,,,,,,,,,,,,,,,,,,,,,,,,,,,,,,,,,,,,,,,,,,,,,,,,,,,,,,,,,,,,,,,,,,,,,,,,,,,,,,,,,,,,,,,,,,,,,,,,,,,,,,,,,,,,,,,,,,,,,,,,,,,,,,,,,,,,,,,,,,,,,,,,,,,,,,,,,,,,,,,,,,,,,,,,,,,,,,,,,,,,,,,,,,,,,,,,,,,,,,,,,,,,,,,,,,,,,,,,,,,,,,,,,,,,,,,,,,,,,,,,,,,,,,,,,,,,,,,,,,,,,,,,,,,,,,,,,,,,,,,,,,,,,,,,,,,,,,,,,,,,,,,,,,,,,,,,,,,,,,,,,,,,,,,,,,,,,,,,,,,,,,,,,,,,,,,,,,,,,,,,,,,,,,,,,,,,,,,,,,,,,,,,,,,,,,,,,,,,,,,,,,,,,,,,,,,,,,,,,,,,,,,,,,,,,,,,,,,,,,,,,,,,,,,,,,,,,,,,,,,,,,,,,,,,,,,,,,,,,,,,,,,,,,,,,,,,,,,,,,,,,,,,,,,,,,,,,,,,,,,,,,,,,,,,,,,,,,,,,,,,,,,,,,,,,,,,,,,,,,,,,,,,,,,,,,,,,,,,,,,,,,,,,,,,,,,,,,,,,,,,,,,,,,,,,,,,,,,,,,,,,,,,,,,,,,,,,,,,,,,,,,,,,,,,,,,,,,,,,,,,,,,,,,,,,,,,,,,,,,,,,,,,,,,,,,,,,,,,,,,,,,,,,,,,,,,,,,,,,,,,,,,,,,,,,,,,,,,,,,,,,,,,,,,,,,,,,,,,,,,,,,,,,,,,,,,,,,,,,,,,,,,,,,,,,,,,,,,,,,,,,,,,,,,,,,,,,,,,,,,,,,,,,,,,,,,,,,,,,,,,,,,,,,,,,,,,,,,,,,,,,,,,,,,,,,,,,,,,,,,,,,,,,,,,,,,,,,,,,,,,,,,,,,,,,,,,,,,,,,,,,,,,,,,,,,,,,,,,,,,,,,,,,,,,,,,,,,,,,,,,,,,,,,,,,,,,,,,,,,,,,,,,,,,,,,,,,,,,,,,,,,,,,,,,,,,,,,,,,,,,,,,,,,,,,,,,,,,,,,,,,,,,,,,,,,,,,,,,,,,,,,,,,,,,,,,,,,,,,,,,,,,,,,,,,,,,,,,,,,,,,,,,,,,,,,,,,,,,,,,,,,,,,,,,,,,,,,,,,,,,,,,,,,,,,,,,,,,,,,,,,,,,,,,,,,,,,,,,,,,,,,,,,,,,,,,,,,,,,,,,,,,,,,,,,,,,,,,,,,,,,,,,,,,,,,,,,,,,,,,,,,,,,,,,,,,,,,,,,,,,,,,,,,,,,,,,,,,,,,,,,,,,,,,,,,,,,,,,,,,,,,,,,,,,,,,,,,,,,,,,,,,,,,,,,,,,,,,,,,,,,,,,,,,,,,,,,,,,,,,,,,,,,,,,,,,,,,,,,,,,,,,,,,,,,,,,,,,,,,,,,,,,,,,,,,,,,,,,,,,,,,,,,,,,,,,,,,,,,,,,,,,,,,,,,,,,,,,,,,,,,,,,,,,,,,,,,,,,,,,,,,,,,,,,,,,,,,,,,,,,,,,,,,,,,,,,,,,,,,,,,,,,,,,,,,,,,,,,,,,,,,,,,,,,,,,,,,,,,,,,,,,,,,,,,,,,,,,,,,,,,,,,,,,,,,,,,,,,,,,,,,,,,,,,,,,,,,,,,,,,,,,,,,,,,,,,,,,,,,,,,,,,,,,,,,,,,,,,,,,,,,,,,,,,,,,,,,,,,,,,,,,,,,,,,,,,,,,,,,,,,,,,,,,,,,,,,,,,,,,,,,,,,,,,,,,,,,,,,,,,,,,,,,,,,,,,,,,,,,,,,,,,,,,,,,,,,,,,,,,,,,,,,,,,,,,,,,,,,,,,,,,,,,,,,,,,,,,,,,,,,,,,,,,,,,,,,,,,,,,,,,,,,,,,,,,,,,,,,,,,,,,,,,,,,,,,,,,,,,,,,,,,,,,,,,,,,,,,,,,,,,,,,,,,,,,,,,,,,,,,,,,,,,,,,,,,,,,,,,,,,,,,,,,,,,,,,,,,,,,,,,,,,,,,,,,,,,,,,,,,,,,,,,,,,,,,,,,,,,,,,,,,,,,,,,,,,,,,,,,,,,,,,,,,,,,,,,,,,,,,,,,,,,,,,,,,,,,,,,,,,,,,,,,,,,,,,,,,,,,,,,,,,,,,,,,,,,,,,,,,,,,,,,,,,,,,,,,,,,,,,,,,,,,,,,,,,,,,,,,,,,,,,,,,,,,,,,,,,,,,,,,,,,,,,,,,,,,,,,,,,,,,,,,,,,,,,,,,,,,,,,,,,,,,,,,,,,,,,,,,,,,,,,,,,,,,,,,,,,,,,,,,,,,,,,,,,,,,,,,,,,,,,,,,,,,,,,,,,,,,,,,,,,,,,,,,,,,,,,,,,,,,,,,,,,,,,,,,,,,,,,,,,,,,,,,,,,,,,,,,,,,,,,,,,,,,,,,,,,,,,,,,,,,,,,,,,,,,,,,,,,,,,,,,,,,,,,,,,,,,,,,,,,,,,,,,,,,,,,,,,,,,,,,,,,,,,,,,,,,,,,,,,,,,,,,,,,,,,,,,,,,,,,,,,,,,,,,,,,,,,,,,,,,,,,,,,,,,,,,,,,,,,,,,,,,,,,,,,,,,,,,,,,,,,,,,,,,,,,,,,,,,,,,,,,,,,,,,,,,,,,,,,,,,,,,,,,,,,,,,,,,,,,,,,,,,,,,,,,,,,,,,,,,,,,,,,,,,,,,,,,,,,,,,,,,,,,,,,,,,,,,,,,,,,,,,,,,,,,,,,,,,,,,,,,,,,,,,,,,,,,,,,,,,,,,,,,,,,,,,,,,,,,,,,,,,,,,,,,,,,,,,,,,,,,,,,,,,,,,,,,,,,,,,,,,,,,,,,,,,,,,,,,,,,,,,,,,,,,,,,,,,,,,,,,,,,,,,,,,,,,,,,,,,,,,,,,,,,,,,,,,,,,,,,,,,,,,,,,,,,,,,,,,,,,,,,,,,,,,,,,,,,,,,,,,,,,,,,,,,,,,,,,,,,,,,,,,,,,,,,,,,,,,,,,,,,,,,,,,,,,,,,,,,,,,,,,,,,,,,,,,,,,,,,,,,,,,,,,,,,,,,,,,,,,,,,,,,,,,,,,,,,,,,,,,,,,,,,,,,,,,,,,,,,,,,,,,,,,,,,,,,,,,,,,,,,,,,,,,,,,,,,,,,,,,,,,,,,,,,,,,,,,,,,,,,,,,,,,,,,,,,,,,,,,,,,,,,,,,,,,,,,,,,,,,,,,,,,,,,,,,,,,,,,,,,,,,,,,,,,,,,,,,,,,,,,,,,,,,,,,,,,,,,,,,,,,,,,,,,,,,,,,,,,,,,,,,,,,,,,,,,,,,,,,,,,,,,,,,,,,,,,,,,,,,,,,,,,,,,,,,,,,,,,,,,,,,,,,,,,,,,,,,,,,,,,,,,,,,,,,,,,,,,,,,,,,,,,,,,,,,,,,,,,,,,,,,,,,,,,,,,,,,,,,,,,,,,,,,,,,,,,,,,,,,,,,,,,,,,,,,,,,,,,,,,,,,,,,,,,,,,,,,,,,,,,,,,,,,,,,,,,,,,,,,,,,,,,,,,,,,,,,,,,,,,,,,,,,,,,,,,,,,,,,,,,,,,,,,,,,,,,,,,,,,,,,,,,,,,,,,,,,,,,,,,,,,,,,,,,,,,,,,,,,,,,,,,,,,,,,,,,,,,,,,,,,,,,,,,,,,,,,,,,,,,,,,,,,,,,,,,,,,,,,,,,,,,,,,,,,,,,,,,,,,,,,,,,,,,,,,,,,,,,,,,,,,,,,,,,,,,,,,,,,,,,,,,,,,,,,,,,,,,,,,,,,,,,,,,,,,,,,,,,,,,,,,,,,,,,,,,,,,,,,,,,,,,,,,,,,,,,,,,,,,,,,,,,,,,,,,,,,,,,,,,,,,,,,,,,,,,,,,,,,,,,,,,,,,,,,,,,,,,,,,,,,,,,,,,,,,,,,,,,,,,,,,,,,,,,,,,,,,,,,,,,,,,,,,,,,,,,,,,,,,,,,,,,,,,,,,,,,,,,,,,,,,,,,,,,,,,,,,,,,,,,,,,,,,,,,,,,,,,,,,,,,,,,,,,,,,,,,,,,,,,,,,,,,,,,,,,,,,,,,,,,,,,,,,,,,,,,,,,,,,,,,,,,,,,,,,,,,,,,,,,,,,,,,,,,,,,,,,,,,,,,,,,,,,,,,,,,,,,,,,,,,,,,,,,,,,,,,,,,,,,,,,,,,,,,,,,,,,,,,,,,,,,,,,,,,,,,,,,,,,,,,,,,,,,,,,,,,,,,,,,,,,,,,,,,,,,,,,,,,,,,,,,,,,,,,,,,,,,,,,,,,,,,,,,,,,,,,,,,,,,,,,,,,,,,,,,,,,,,,,,,,,,,,,,,,,,,,,,,,,,,,,,,,,,,,,,,,,,,,,,,,,,,,,,,,,,,,,,,,,,,,,,,,,,,,,,,,,,,,,,,,,,,,,,,,,,,,,,,,,,,,,,,,,,,,,,,,,,,,,,,,,,,,,,,,,,,,,,,,,,,,,,,,,,,,,,,,,,,,,,,,,,,,,,,,,,,,,,,,,,,,,,,,,,,,,,,,,,,,,,,,,,,,,,,,,,,,,,,,,,,,,,,,,,,,,,,,,,,,,,,,,,,,,,,,,,,,,,,,,,,,,,,,,,,,,,,,,,,,,,,,,,,,,,,,,,,,,,,,,,,,,,,,,,,,,,,,,,,,,,,,,,,,,,,,,,,,,,,,,,,,,,,,,,,,,,,,,,,,,,,,,,,,,,,,,,,,,,,,,,,,,,,,,,,,,,,,,,,,,,,,,,,,,,,,,,,,,,,,,,,,,,,,,,,,,,,,,,,,,,,,,,,,,,,,,,,,,,,,,,,,,,,,,,,,,,,,,,,,,,,,,,,,,,,,,,,,,,,,,,,,,,,,,,,,,,,,,,,,,,,,,,,,,,,,,,,,,,,,,,,,,,,,,,,,,,,,,,,,,,,,,,,,,,,,,,,,,,,,,,,,,,,,,,,,,,,,,,,,,,,,,,,,,,,,,,,,,,,,,,,,,,,,,,,,,,,,,,,,,,,,,,,,,,,,,,,,,,,,,,,,,,,,,,,,,,,,,,,,,,,,,,,,,,,,,,,,,,,,,,,,,,,,,,,,,,,,,,,,,,,,,,,,,,,,,,,,,,,,,,,,,,,,,,,,,,,,,,,,,,,,,,,,,,,,,,,,,,,,,,,,,,,,,,,,,,,,,,,,,,,,,,,,,,,,,,,,,,,,,,,,,,,,,,,,,,,,,,,,,,,,,,,,,,,,,,,,,,,,,,,,,,,,,,,,,,,,,,,,,,,,,,,,,,,,,,,,,,,,,,,,,,,,,,,,,,,,,,,,,,,,,,,,,,,,,,,,,,,,,,,,,,,,,,,,,,,,,,,,,,,,,,,,,,,,,,,,,,,,,,,,,,,,,,,,,,,,,,,,,,,,,,,,,,,,,,,,,,,,,,,,,,,,,,,,,,,,,,,,,,,,,,,,,,,,,,,,,,,,,,,,,,,,,,,,,,,,,,,,,,,,,,,,,,,,,,,,,,,,,,,,,,,,,,,,,,,,,,,,,,,,,,,,,,,,,,,,,,,,,,,,,,,,,,,,,,,,,,,,,,,,,,,,,,,,,,,,,,,,,,,,,,,,,,,,,,,,,,,,,,,,,,,,,,,,,,,,,,,,,,,,,,,,,,,,,,,,,,,,,,,,,,,,,,,,,,,,,,,,,,,,,,,,,,,,,,,,,,,,,,,,,,,,,,,,,,,,,,,,,,,,,,,,,,,,,,,,,,,,,,,,,,,,,,,,,,,,,,,,,,,,,,,,,,,,,,,,,,,,,,,,,,,,,,,,,,,,,,,,,,,,,,,,,,,,,,,,,,,,,,,,,,,,,,,,,,,,,,,,,,,,,,,,,,,,,,,,,,,,,,,,,,,,,,,,,,,,,,,,,,,,,,,,,,,,,,,,,,,,,,,,,,,,,,,,,,,,,,,,,,,,,,,,,,,,,,,,,,,,,,,,,,,,,,,,,,,,,,,,,,,,,,,,,,,,,,,,,,,,,,,,,,,,,,,,,,,,,,,,,,,,,,,,,,,,,,,,,,,,,,,,,,,,,,,,,,,,,,,,,,,,,,,,,,,,,,,,,,,,,,,,,,,,,,,,,,,,,,,,,,,,,,,,,,,,,,,,,,,,,,,,,,,,,,,,,,,,,,,,,,,,,,,,,,,,,,,,,,,,,,,,,,,,,,,,,,,,,,,,,,,,,,,,,,,,,,,,,,,,,,,,,,,,,,,,,,,,,,,,,,,,,,,,,,,,,,,,,,,,,,,,,,,,,,,,,,,,,,,,,,,,,,,,,,,,,,,,,,,,,,,,,,,,,,,,,,,,,,,,,,,,,,,,,,,,,,,,,,,,,,,,,,,,,,,,,,,,,,,,,,,,,,,,,,,,,,,,,,,,,,,,,,,,,,,,,,,,,,,,,,,,,,,,,,,,,,,,,,,,,,,,,,,,,,,,,,,,,,,,,,,,,,,,,,,,,,,,,,,,,,,,,,,,,,,,,,,,,,,,,,,,,,,,,,,,,,,,,,,,,,,,,,,,,,,,,,,,,,,,,,,,,,,,,,,,,,,,,,,,,,,,,,,,,,,,,,,,,,,,,,,,,,,,,,,,,,,,,,,,,,,,,,,,,,,,,,,,,,,,,,,,,,,,,,,,,,,,,,,,,,,,,,,,,,,,,,,,,,,,,,,,,,,,,,,,,,,,,,,,,,,,,,,,,,,,,,,,,,,,,,,,,,,,,,,,,,,,,,,,,,,,,,,,,,,,,,,,,,,,,,,,,,,,,,,,,,,,,,,,,,,,,,,,,,,,,,,,,,,,,,,,,,,,,,,,,,,,,,,,,,,,,,,,,,,,,,,,,,,,,,,,,,,,,,,,,,,,,,,,,,,,,,,,,,,,,,,,,,,,,,,,,,,,,,,,,,,,,,,,,,,,,,,,,,,,,,,,,,,,,,,,,,,,,,,,,,,,,,,,,,,,,,,,,,,,,,,,,,,,,,,,,,,,,,,,,,,,,,,,,,,,,,,,,,,,,,,,,,,,,,,,,,,,,,,,,,,,,,,,,,,,,,,,,,,,,,,,,,,,,,,,,,,,,,,,,,,,,,,,,,,,,,,,,,,,,,,,,,,,,,,,,,,,,,,,,,,,,,,,,,,,,,,,,,,,,,,,,,,,,,,,,,,,,,,,,,,,,,,,,,,,,,,,,,,,,,,,,,,,,,,,,,,,,,,,,,,,,,,,,,,,,,,,,,,,,,,,,,,,,,,,,,,,,,,,,,,,,,,,,,,,,,,,,,,,,,,,,,,,,,,,,,,,,,,,,,,,,,,,,,,,,,,,,,,,,,,,,,,,,,,,,,,,,,,,,,,,,,,,,,,,,,,,,,,,,,,,,,,,,,,,,,,,,,,,,,,,,,,,,,,,,,,,,,,,,,,,,,,,,,,,,,,,,,,,,,,,,,,,,,,,,,,,,,,,,,,,,,,,,,,,,,,,,,,,,,,,,,,,,,,,,,,,,,,,,,,,,,,,,,,,,,,,,,,,,,,,,,,,,,,,,,,,,,,,,,,,,,,,,,,,,,,,,,,,,,,,,,,,,,,,,,,,,,,,,,,,,,,,,,,,,,,,,,,,,,,,,,,,,,,,,,,,,,,,,,,,,,,,,,,,,,,,,,,,,,,,,,,,,,,,,,,,,,,,,,,,,,,,,,,,,,,,,,,,,,,,,,,,,,,,,,,,,,,,,,,,,,,,,,,,,,,,,,,,,,,,,,,,,,,,,,,,,,,,,,,,,,,,,,,,,,,,,,,,,,,,,,,,,,,,,,,,,,,,,,,,,,,,,,,,,,,,,,,,,,,,,,,,,,,,,,,,,,,,,,,,,,,,,,,,,,,,,,,,,,,,,,,,,,,,,,,,,,,,,,,,,,,,,,,,,,,,,,,,,,,,,,,,,,,,,,,,,,,,,,,,,,,,,,,,,,,,,,,,,,,,,}",
                    "MostRecentExpectedUnitErrors": null,
                    "Units": {
                      "$id": "305",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SU Opex nominal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06",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307",
                          "$type": "ModelMaker.DimensionedArrayValues, ModelMaker",
                          "Elements": {
                            "$type": "ModelMakerEngine.MMElements, ModelMakerEngine",
                            "$values": []
                          },
                          "Values": {
                            "$type": "System.Collections.Generic.List`1[[System.Object, mscorlib]], mscorlib",
                            "$values": [
                              null,
                              26296.331641708908,
                              26296.331641708908,
                              18825.277843688335,
                              24650.559757443381,
                              17116.370637479235,
                              21411.062560040387,
                              16306.270060040391,
                              20275.696310040388,
                              16306.270060040391,
                              16306.270060040391,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9f827265-c53b-4235-9d06-76a896572dc4",
                    "Dimensions": {
                      "$type": "ModelMakerEngine.MMDimensions, ModelMakerEngine",
                      "$values": []
                    },
                    "EquationOBXInternal": "{,26296.3316417089,26296.3316417089,18825.2778436883,24650.5597574434,17116.3706374792,21411.0625600404,16306.2700600404,20275.6963100404,16306.2700600404,16306.2700600404,,,,,,,,,,,,,,,,,,,,,,,,,,,,,,,,,,,,,,,,,,,,,,,,,,,,,,,,,,,,,,,,,,,,,,,,,,,,,,,,,,,,,,,,,,,,,,,,,,,,,,,,,,,,,,,,,,,,,,,,,,,,,,,,,,,,,,,,,,,,,,,,,,,,,,,,,,,,,,,,,,,,,,,,,,,,,,,,,,,,,,,,,,,,,,,,,,,,,,,,,,,,,,,,,,,,,,,,,,,,,,,,,,,,,,,,,,,,,,,,,,,,,,,,,,,,,,,,,,,,,,,,,,,,,,,,,,,,,,,,,,,,,,,,,,,,,,,,,,,,,,,,,,,,,,,,,,,,,,,,,,,,,,,,,,,,,,,,,,,,,,,,,,,,,,,,,,,,,,,,,,,,,,,,,,,,,,,,,,,,,,,,,,,,,,,,,,,,,,,,,,,,,,,,,,,,,,,,,,,,,,,,,,,,,,,,,,,,,,,,,,,,,,,,,,,,,,,,,,,,,,,,,,,,,,,,,,,,,,,,,,,,,,,,,,,,,,,,,,,,,,,,,,,,,,,,,,,,,,,,,,,,,,,,,,,,,,,,,,,,,,,,,,,,,,,,,,,,,,,,,,,,,,,,,,,,,,,,,,,,,,,,,,,,,,,,,,,,,,,,,,,,,,,,,,,,,,,,,,,,,,,,,,,,,,,,,,,,,,,,,,,,,,,,,,,,,,,,,,,,,,,,,,,,,,,,,,,,,,,,,,,,,,,,,,,,,,,,,,,,,,,,,,,,,,,,,,,,,,,,,,,,,,,,,,,,,,,,,,,,,,,,,,,,,,,,,,,,,,,,,,,,,,,,,,,,,,,,,,,,,,,,,,,,,,,,,,,,,,,,,,,,,,,,,,,,,,,,,,,,,,,,,,,,,,,,,,,,,,,,,,,,,,,,,,,,,,,,,,,,,,,,,,,,,,,,,,,,,,,,,,,,,,,,,,,,,,,,,,,,,,,,,,,,,,,,,,,,,,,,,,,,,,,,,,,,,,,,,,,,,,,,,,,,,,,,,,,,,,,,,,,,,,,,,,,,,,,,,,,,,,,,,,,,,,,,,,,,,,,,,,,,,,,,,,,,,,,,,,,,,,,,,,,,,,,,,,,,,,,,,,,,,,,,,,,,,,,,,,,,,,,,,,,,,,,,,,,,,,,,,,,,,,,,,,,,,,,,,,,,,,,,,,,,,,,,,,,,,,,,,,,,,,,,,,,,,,,,,,,,,,,,,,,,,,,,,,,,,,,,,,,,,,,,,,,,,,,,,,,,,,,,,,,,,,,,,,,,,,,,,,,,,,,,,,,,,,,,,,,,,,,,,,,,,,,,,,,,,,,,,,,,,,,,,,,,,,,,,,,,,,,,,,,,,,,,,,,,,,,,,,,,,,,,,,,,,,,,,,,,,,,,,,,,,,,,,,,,,,,,,,,,,,,,,,,,,,,,,,,,,,,,,,,,,,,,,,,,,,,,,,,,,,,,,,,,,,,,,,,,,,,,,,,,,,,,,,,,,,,,,,,,,,,,,,,,,,,,,,,,,,,,,,,,,,,,,,,,,,,,,,,,,,,,,,,,,,,,,,,,,,,,,,,,,,,,,,,,,,,,,,,,,,,,,,,,,,,,,,,,,,,,,,,,,,,,,,,,,,,,,,,,,,,,,,,,,,,,,,,,,,,,,,,,,,,,,,,,,,,,,,,,,,,,,,,,,,,,,,,,,,,,,,,,,,,,,,,,,,,,,,,,,,,,,,,,,,,,,,,,,,,,,,,,,,,,,,,,,,,,,,,,,,,,,,,,,,,,,,,,,,,,,,,,,,,,,,,,,,,,,,,,,,,,,,,,,,,,,,,,,,,,,,,,,,,,,,,,,,,,,,,,,,,,,,,,,,,,,,,,,,,,,,,,,,,,,,,,,,,,,,,,,,,,,,,,,,,,,,,,,,,,,,,,,,,,,,,,,,,,,,,,,,,,,,,,,,,,,,,,,,,,,,,,,,,,,,,,,,,,,,,,,,,,,,,,,,,,,,,,,,,,,,,,,,,,,,,,,,,,,,,,,,,,,,,,,,,,,,,,,,,,,,,,,,,,,,,,,,,,,,,,,,,,,,,,,,,,,,,,,,,,,,,,,,,,,,,,,,,,,,,,,,,,,,,,,,,,,,,,,,,,,,,,,,,,,,,,,,,,,,,,,,,,,,,,,,,,,,,,,,,,,,,,,,,,,,,,,,,,,,,,,,,,,,,,,,,,,,,,,,,,,,,,,,,,,,,,,,,,,,,,,,,,,,,,,,,,,,,,,,,,,,,,,,,,,,,,,,,,,,,,,,,,,,,,,,,,,,,,,,,,,,,,,,,,,,,,,,,,,,,,,,,,,,,,,,,,,,,,,,,,,,,,,,,,,,,,,,,,,,,,,,,,,,,,,,,,,,,,,,,,,,,,,,,,,,,,,,,,,,,,,,,,,,,,,,,,,,,,,,,,,,,,,,,,,,,,,,,,,,,,,,,,,,,,,,,,,,,,,,,,,,,,,,,,,,,,,,,,,,,,,,,,,,,,,,,,,,,,,,,,,,,,,,,,,,,,,,,,,,,,,,,,,,,,,,,,,,,,,,,,,,,,,,,,,,,,,,,,,,,,,,,,,,,,,,,,,,,,,,,,,,,,,,,,,,,,,,,,,,,,,,,,,,,,,,,,,,,,,,,,,,,,,,,,,,,,,,,,,,,,,,,,,,,,,,,,,,,,,,,,,,,,,,,,,,,,,,,,,,,,,,,,,,,,,,,,,,,,,,,,,,,,,,,,,,,,,,,,,,,,,,,,,,,,,,,,,,,,,,,,,,,,,,,,,,,,,,,,,,,,,,,,,,,,,,,,,,,,,,,,,,,,,,,,,,,,,,,,,,,,,,,,,,,,,,,,,,,,,,,,,,,,,,,,,,,,,,,,,,,,,,,,,,,,,,,,,,,,,,,,,,,,,,,,,,,,,,,,,,,,,,,,,,,,,,,,,,,,,,,,,,,,,,,,,,,,,,,,,,,,,,,,,,,,,,,,,,,,,,,,,,,,,,,,,,,,,,,,,,,,,,,,,,,,,,,,,,,,,,,,,,,,,,,,,,,,,,,,,,,,,,,,,,,,,,,,,,,,,,,,,,,,,,,,,,,,,,,,,,,,,,,,,,,,,,,,,,,,,,,,,,,,,,,,,,,,,,,,,,,,,,,,,,,,,,,,,,,,,,,,,,,,,,,,,,,,,,,,,,,,,,,,,,,,,,,,,,,,,,,,,,,,,,,,,,,,,,,,,,,,,,,,,,,,,,,,,,,,,,,,,,,,,,,,,,,,,,,,,,,,,,,,,,,,,,,,,,,,,,,,,,,,,,,,,,,,,,,,,,,,,,,,,,,,,,,,,,,,,,,,,,,,,,,,,,,,,,,,,,,,,,,,,,,,,,,,,,,,,,,,,,,,,,,,,,,,,,,,,,,,,,,,,,,,,,,,,,,,,,,,,,,,,,,,,,,,,,,,,,,,,,,,,,,,,,,,,,,,,,,,,,,,,,,,,,,,,,,,,,,,,,,,,,,,,,,,,,,,,,,,,,,,,,,,,,,,,,,,,,,,,,,,,,,,,,,,,,,,,,,,,,,,,,,,,,,,,,,,,,,,,,,,,,,,,,,,,,,,,,,,,,,,,,,,,,,,,,,,,,,,,,,,,,,,,,,,,,,,,,,,,,,,,,,,,,,,,,,,,,,,,,,,,,,,,,,,,,,,,,,,,,,,,,,,,,,,,,,,,,,,,,,,,,,,,,,,,,,,,,,,,,,,,,,,,,,,,,,,,,,,,,,,,,,,,,,,,,,,,,,,,,,,,,,,,,,,,,,,,,,,,,,,,,,,,,,,,,,,,,,,,,,,,,,,,,,,,,,,,,,,,,,,,,,,,,,,,,,,,,,,,,,,,,,,,,,,,,,,,,,,,,,,,,,,,,,,,,,,,,,,,,,,,,,,,,,,,,,,,,,,,,,,,,,,,,,,,,,,,,,,,,,,,,,,,,,,,,,,,,,,,,,,,,,,,,,,,,,,,,,,,,,,,,,,,,,,,,,,,,,,,,,,,,,,,,,,,,,,,,,,,,,,,,,,,,,,,,,,,,,,,,,,,,,,,,,,,,,,,,,,,,,,,,,,,,,,,,,,,,,,,,,,,,,,,,,,,,,,,,,,,,,,,,,,,,,,,,,,,,,,,,,,,,,,,,,,,,,,,,,,,,,,,,,,,,,,,,,,,,,,,,,,,,,,,,,,,,,,,,,,,,,,,,,,,,,,,,,,,,,,,,,,,,,,,,,,,,,,,,,,,,,,,,,,,,,,,,,,,,,,,,,,,,,,,,,,,,,,,,,,,,,,,,,,,,,,,,,,,,,,,,,,,,,,,,,,,,,,,,,,,,,,,,,,,,,,,,,,,,,,,,,,,,,,,,,,,,,,,,,,,,,,,,,,,,,,,,,,,,,,,,,,,,,,,,,,,,,,,,,,,,,,,,,,,,,,,,,,,,,,,,,,,,,,,,,,,,,,,,,,,,,,,,,,,,,,,,,,,,,,,,,,,,,,,,,,,,,,,,,,,,,,,,,,,,,,,,,,,,,,,,,,,,,,,,,,,,,,,,,,,,,,,,,,,,,,,,,,,,,,,,,,,,,,,,,,,,,,,,,,,,,,,,,,,,,,,,,,,,,,,,,,,,,,,,,,,,,,,,,,,,,,,,,,,,,,,,,,,,,,,,,,,,,,,,,,,,,,,,,,,,,,,,,,,,,,,,,,,,,,,,,,,,,,,,,,,,,,,,,,,,,,,,,,,,,,,,,,,,,,,,,,,,,,,,,,,,,,,,,,,,,,,,,,,,,,,,,,,,,,,,,,,,,,,,,,,,,,,,,,,,,,,,,,,,,,,,,,,,,,,,,,,,,,,,,,,,,,,,,,,,,,,,,,,,,,,,,,,,,,,,,,,,,,,,,,,,,,,,,,,,,,,,,,,,,,,,,,,,,,,,,,,,,,,,,,,,,,,,,,,,,,,,,,,,,,,,,,,,,,,,,,,,,,,,,,,,,,,,,,,,,,,,,,,,,,,,,,,,,,,,,,,,,,,,,,,,,,,,,,,,,,,,,,,,,,,,,,,,,,,,,,,,,,,,,,,,,,,,,,,,,,,,,,,,,,,,,,,,,,,,,,,,,,,,,,,,,,,,,,,,,,,,,,,,,,,,,,,,,,,,,,,,,,,,,,,,,,,,,,,,,,,,,,,,,,,,,,,,,,,,,,,,,,,,,,,,,,,,,,,,,,,,,,,,,,,,,,,,,,,,,,,,,,,,,,,,,,,,,,,,,,,,,,,,,,,,,,,,,,,,,,,,,,,,,,,,,,,,,,,,,,,,,,,,,,,,,,,,,,,,,,,,,,,,,,,,,,,,,,,,,,,,,,,,,,,,,,,,,,,,,,,,,,,,,,,,,,,,,,,,,,,,,,,,,,,,,,,,,,,,,,,,,,,,,,,,,,,,,,,,,,,,,,,,,,,,,,,,,,,,,,,,,,,,,,,,,,,,,,,,,,,,,,,,,,,,,,,,,,,,,,,,,,,,,,,,,,,,,,,,,,,,,,,,,,,,,,,,,,,,,,,,,,,,,,,,,,,,,,,,,,,,,,,,,,,,,,,,,,,,,,,,,,,,,,,,,,,,,,,,,,,,,,,,,,,,,,,,,,,,,,,,,,,,,,,,,,,,,,,,,,,,,,,,,,,,,,,,,,,,,,,,,,,,,,,,,,,,,,,,,,,,,,,,,,,,,,,,,,,,,,,,,,,,,,,,,,,,,,,,,,,,,,,,,,,,,,,,,,,,,,,,,,,,,,,,,,,,,,,,,,,,,,,,,,,,,,,,,,,,,,,,,,,,,,,,,,,,,,,,,,,,,,,,,,,,,,,,,,,,,,,,,,,,,,,,,,,,,,,,,,,,,,,,,,,,,,,,,,,,,,,,,,,,,,,,,,,,,,,,,,,,,,,,,,,,,,,,,,,,,,,,,,,,,,,,,,,,,,,,,,,,,,,,,,,,,,,,,,,,,,,,,,,,,,,,,,,,,,,,,,,,,,,,,,,,,,,,,,,,,,,,,,,,,,,,,,,,,,,,,,,,,,,,,,,,,,,,,,,,,,,,,,,,,,,,,,,,,,,,,,,,,,,,,,,,,,,,,,,,,,,,,,,,,,,,,,,,,,,,,,,,,,,,,,,,,,,,,,,,,,,,,,,,,,,,,,,,,,,,,,,,,,,,,,,,,,,,,,,,,,,,,,,,,,,,,,,,,,,,,,,,,,,,,,,,,,,,,,,,,,,,,,,,,,,,,,,,,,,,,,,,,,,,,,,,,,,,,,,,,,,,,,,,,,,,,,,,,,,,,,,,,,,,,,,,,,,,,,,,,,,,,,,,,,,,,,,,,,,,,,,,,,,,,,,,,,,,,,,,,,,,,,,,,,,,,,,,,,,,,,,,,,,,,,,,,,,,,,,,,,,,,,,,,,,,,,,,,,,,,,,,,,,,,,,,,,,,,,,,,,,,,,,,,,,,,,,,,,,,,,,,,,,,,,,,,,,,,,,,,,,,,,,,,,,,,,,,,,,,,,,,,,,,,,,,,,,,,,,,,,,,,,,,,,,,,,,,,,,,,,,,,,,,,,,,,,,,,,,,,,,,,,,,,,,,,,,,,,,,,,,,,,,,,,,,,,,,,,,,,,,,,,,,,,,,,,,,,,,,,,,,,,,,,,,,,,,,,,,,,,,,,,,,,,,,,,,,,,,,,,,,,,,,,,,,,,,,,,,,,,,,,,,,,,,,,,,,,,,,,,,,,,,,,,,,,,,,,,,,,,,,,,,,,,,,,,,,,,,,,,,,,,,,,,,,,,,,,,,,,,,,,,,,,,,,,,,,,,,,,,,,,,,,,,,,,,,,,,,,,,,,,,,,,,,,,,,,,,,,,,,,,,,,,,,,,,,,,,,,,,,,,,,,,,,,,,,,,,,,,,,,,,,,,,,,,,,,,,,,,,,,,,,,,,,,,,,,,,,,,,,,,,,,,,,,,,,,,,,,,,,,,,,,,,,,,,,,,,,,,,,,,,,,,,,,,,,,,,,,,,,,,,,,,,,,,,,,,,,,,,,,,,,,,,,,,,,,,,,,,,,,,,,,,,,,,,,,,,,,,,,,,,,,,,,,,,,,,,,,,,,,,,,,,,,,,,,,,,,,,,,,,,,,,,,,,,,,,,,,,,,,,,,,,,,,,,,,,,,,,,,,,,,,,,,,,,,,,,,,,,,,,,,,,,,,,,,,,,,,,,,,,,,,,,,,,,,,,,,,,,,,,,,,,,,,,,,,,,,,,,,,,,,,,,,,,,,,,,,,,,,,,,,,,,,,,,,,,,,,,,,,,,,,,,,,,,,,,,,,,,,,,,,,,,,,,,,,,,,,,,,,,,,,,,,,,,,,,,,,,,,,,,,,,,,,,,,,,,,,,,,,,,,,,,,,,,,,,,,,,,,,,,,,,,,,,,,,,,,,,,,,,,,,,,,,,,,,,,,,,,,,,,,,,,,,,,,,,,,,,,,,,,,,,,,,,,,,,,,,,,,,,,,,,,,,,,,,,,,,,,,,,,,,,,,,,,,,,,,,,,,,,,,,,,,,,,,,,,,,,,,,,,,,,,,,,,,,,,,,,,,,,,,,,,,,,,,,,,,,,,,,,,,,,,,,,,,,,,,,,,,,,,,,,,,,,,,,,,,,,,,,,,,,,,,,,,,,,,,,,,,,,,,,,,,,,,,,,,,,,,,,,,,,,,,,,,,,,,,,,,,,,,,,,,,,,,,,,,,,,,,,,,,,,,,,,,,,,,,,,,,,,,,,,,,,,,,,,,,,,,,,,,,,,,,,,,,,,,,,,,,,,,,,,,,,,,,,,,,,,,,,,,,,,,,,,,,,,,,,,,,,,,,,,,,,,,,,,,,,,,,,,,,,,,,,,,,,,,,,,,,,,,,,,,,,,,,,,,,,,,,,,,,,,,,,,,,,,,,,,,,,,,,,,,,,,,,,,,,,,,,,,,,,,,,,,,,,,,,,,,,,,,,,,,,,,,,,,,,,,,,,,,,,,,,,,,,,,,,,,,,,,,,,,,,,,,,,,,,,,,,,,,,,,,,,,,,,,,,,,,,,,,,,,,,,,,,,,,,,,,,,,,,,,,,,,,,,,,,,,,,,,,,,,,,,,,,,,,,,,,,,,,,,,,,,,,,,,,,,,,,,,,,,,,,,,,,,,,,,,,,,,,,,,,,,,,,,,,,,,,,,,,,,,,,,,,,,,,,,,,,,,,,,,,,,,,,,,,,,,,,,,,,,,,,,,,,,,,,,,,,,,,,,,,,,,,,,,,,,,,,,,,,,,,,,,,,,,,,,,,,,,,,,,,,,,,,,,,,,,,,,,,,,,,,,,,,,,,,,,,,,,,,,,,,,,,,,,,,,,,,,,,,,,,,,,,,,,,,,,,,,,,,,,,,,,,,,,,,,,,,,,,,,,,,,,,,,,,,,,,,,,,,,,,,,,,,,,,,,,,,,,,,,,,,,,,,,,,,,,,,,,,,,,,,,,,,,,,,,,,,,,,,,,,,,,,,,,,,,,,,,,,,,,,,,,,,,,,,,,,,,,,,,,,,,,,,,,,,,,,,,,,,,,,,,,,,,,,,,,,,,,,,,,,,,,,,,,,,,,,,,,,,,,,,,,,,,,,,,,,,,,,,,,,,,,,,,,,,,,,,,,,,,,,,,,,,,,,,,,,,,,,,,,,,,,,,,,,,,,,,,,,,,,,,,,,,,,,,,,,,,,,,,,,,,,,,,,,,,,,,,,,,,,,,,,,,,,,,,,,,,,,,,,,,,,,,,,,,,,,,,,,,,,,,,,,,,,,,,,,,,,,,,,,,,,,,,,,,,,,,,,,,,,,,,,,,,,,,,,,,,,,,,,,,,,,,,,,,,,,,,,,,,,,,,,,,,,,,,,,,,,,,,,,,,,,,,,,,,,,,,,,,,,,,,,,,,,,,,,,,,,,,,,,,,,,,,,,,,,,,,,,,,,,,,,,,,,,,,,,,,,,,,,,,,,,,,,,,,,,,,,,,,,,,,,,,,,,,,,,,,,,,,,,,,,,,,,,,,,,,,,,,,,,,,,,,,,,,,,,,,,,,,,,,,,,,,,,,,,,,,,,,,,,,,,,,,,,,,,,,,,,,,,,,,,,,,,,,,,,,,,,,,,,,,,,,,,,,,,,,,,,,,,,,,,,,,,,,,,,,,,,,,,,,,,,,,,,,,,,,,,,,,,,,,,,,,,,,,,,,,,,,,,,,,,,,,,,,,,,,,,,,,,,,,,,,,,,,,,,,,,,,,,,,,,,,,,,,,,,,,,,,,,,,,,,,,,,,,,,,,,,,,,,,,,,,,,,,,,,,,,,,,,,,,,,,,,,,,,,,,,,,,,,,,,,,,,,,,,,,,,,,,,,,,,,,,,,,,,,,,,,,,,,,,,,,,,,,,,,,,,,,,,,,,,,,,,,,,,,,,,,,,,,,,,,,,,,,,,,,,,,,,,,,,,,,,,,,,,,,,,,,,,,,,,,,,,,,,,,,,,,,,,,,,,,,,,,,,,,,,,,,,,,,,,,,,,,,,,,,,,,,,,,,,,,,,,,,,,,,,,,,,,,,,,,,,,,,,,,,,,,,,,,,,,,,,,,,,,,,,,,,,,,,,,,,,,,,,,,,,,,,,,,,,,,,,,,,,,,,,,,,,,,,,,,,,,,,,,,,,,,,,,,,,,,,,,,,,,,,,,,,,,,,,,,,,,,,,,,,,,,,,,,,,,,,,,,,,,,,,,,,,,,,,,,,,,,,,,,,,,,,,,,,,,,,,,,,,,,,,,,,,,,,,,,,,,,,,,,,,,,,,,,,,,,,,,,,,,,,,,,,,,,,,,,,,,,,,,,,,,,,,,,,,,,,,,,,,,,,,,,,,,,,,,,,,,,,,,,,,,,,,,,,,,,,,,,,,,,,,,,,,,,,,,,,,,,,,,,,,,,,,,,,,,,,,,,,,,,,,,,,,,,,,,,,,,,,,,,,,,,,,,,,,,,,,,,,,,,,,,,,,,,,,,,,,,,,,,,,,,,,,,,,,,,,,,,,,,,,,,,,,,,,,,,,,,,,,,,,,,,,,,,,,,,,,,,,,,,,,,,,,,,,,,,,,,,,,,,,,,,,,,,,,,,,,,,,,,,,,,,,,,,,,,,,,,,,,,,,,,,,,,,,,,,,,,,,,,,,,,,,,,,,,,,,,,,,,,,,,,,,,,,,,,,,,,,,,,,,,,,,,,,,,,,,,,,,,,,,,,,,,,,,,,,,,,,,,,,,,,,,,,,,,,,,,,,,,,,,,,,,,,,,,,,,,,,,,,,,,,,,,,,,,,,,,,,,,,,,,,,,,,,,,,,,,,,,,,,,,,,,,,,,,,,,,,,,,,,,,,,,,,,,,,,,,,,,,,,,,,,,,,,,,,,,,,,,,,,,,,,,,,,,,,,,,,,,,,,,,,,,,,,,,,,,,,,,,,,,,,,,,,,,,,,,,,,,,,,,,,,,,,,,,,,,,,,,,,,,,,,,,,,,,,,,,,,,,,,,,,,,,,,,,,,,,,,,,,,,,,,,,,,,,,,,,,,,,,,,,,,,,,,,,,,,,,,,,,,,,,,,,,,,,,,,,,,,,,,,,,,,,,,,,,,,,,,,,,,,,,,,,,,,,,,,,,,,,,,,,,,,,,,,,,,,,,,,,,,,,,,,,,,,,,,,,,,,,,,,,,,,,,,,,,,,,,,,,,,,,,,,,,,,,,,,,,,,,,,,,,,,,,,,,,,,,,,,,,,,,,,,,,,,,,,,,,,,,,,,,,,,,,,,,,,,,,,,,,,,,,,,,,,,,,,,,,,,,,,,,,,,,,,,,,,,,,,,,,,,,,,,,,,,,,,,,,,,,,,,,,,,,,,,,,,,,,,,,,,,,,,,,,,,,,,,,,,,,,,,,,,,,,,,,,,,,,,,,,,,,,,,,,,,,,,,,,,,,,,,,,,,,,,,,,,,,,,,,,,,,,,,,,,,,,,,,,,,,,,,,,,,,,,,,,,,,,,,,,,,,,,,,,,,,,,,,,,,,,,,,,,,,,,,,,,,,,,,,,,,,,,,,,,,,,,,,,,,,,,,,,,,,,,,,,,,,,,,,,,,,,,,,,,,,,,,,,,,,,,,,,,,,,,,,,,,,,,,,,,,,,,,,,,,,,,,,,,,,,,,,,,,,,,,,,,,,,,,,,,,,,,,,,,,,,,,,,,,,,,,,,,,,,,,,,,,,,,,,,,,,,,,,,,,,,,,,,,,,,,,,,,,,,,,,,,,,,,,,,,,,,,,,,,,,,,,,,,,,,,,,,,,,,,,,,,,,,,,,,,,,,,,,,,,,,,,,,,,,,,,,,,,,,,,,,,,,,,,,,,,,,,,,,,,,,,,,,,,,,,,,,,,,,,,,,,,,,,,,,,,,,,,,,,,,,,,,,,,,,,,,,,,,,,,,,,,,,,,,,,,,,,,,,,,,,,,,,,,,,,,,,,,,,,,,,,,,,,,,,,,,,,,,,,,,,,,,,,,,,,,,,,,,,,,,,,,,,,,,,,,,,,,,,,,,,,,,,,,,,,,,,,,,,,,,,,,,,,,,,,,,,,,,,,,,,,,,,,,,,,,,,,,,,,,,,,,,,,,,,,,,,,,,,,,,,,,,,,,,,,,,,,,,,,,,,,,,,,,,,,,,,,,,,,,,,,,,,,,,,,,,,,,,,,,,,,,,,,,,,,,,,,,,,,,,,,,,,,,,,,,,,,,,,,,,,,,,,,,,,,,,,,,,,,,,,,,,,,,,,,,,,,,,,,,,,,,,,,,,,,,,,,,,,,,,,,,,,,,,,,,,,,,,,,,,,,,,,,,,,,,,,,,,,,,,,,,,,,,,,,,,,,,,,,,,,,,,,,,,,,,,,,,,,,,,,,,,,,,,,,,,,,,,,,,,,,,,,,,,,,,,,,,,,,,,,,,,,,,,,,,,,,,,,,,,,,,,,,,,,,,,,,,,,,,,,,,,,,,,,,,,,,,,,,,,,,,,,,,,,,,,,,,,,,,,,,,,,,,,,,,,,,,,,,,,,,,,,,,,,,,,,,,,,,,,,,,,,,,,,,,,,,,,,,,,,,,,,,,,,,,,,,,,,,,,,,,,,,,,,,,,,,,,,,,,,,,,,,,,,,,,,,,,,,,,,,,,,,,,,,,,,,,,,,,,,,,,,,,,,,,,,,,,,,,,,,,,,,,,,,,,,,,,,,,,,,,,,,,,,,,,,,,,,,,,,,,,,,,,,,,,,,,,,,,,,,,,,,,,,,,,,,,,,,,,,,,,,,,,,,,,,,,,,,,,,,,,,,,,,,,,,,,,,,,,,,,,,,,,,,,,,,,,,,,,,,,,,,,,,,,,,,,,,,,,,,,,,,,,,,,,,,,,,,,,,,,,,,,,,,,,,,,,,,,,,,,,,,,,,,,,,,,,,,,,,,,,,,,,,,,,,,,,,,,,,,,,,,,,,,,,,,,,,,,,,,,,,,,,,,,,,,,,,,,,,,,,,,,,,,,,,,,,,,,,,,,,,,,,,,,,,,,,,,,,,,,,,,,,,,,,,,,,,,,,,,,,,,,,,,,,,,,,,,,,,,,,,,,,,,,,,,,,,,,,,,,,,,,,,,,,,,,,,,,,,,,,,,,,,,,,,,,,,,,,,,,,,,,,,,,,,,,,,,,,,,,,,,,,,,,,,,,,,,,,,,,,,,,,,,,,,,,,,,,,,,,,,,,,,,,,,,,,,,,,,,,,,,,,,,,,,,,,,,,,,,,,,,,,,,,,,,,,,,,,,,,,,,,,,,,,,,,,,,,,,,,,,,,,,,,,,,,,,,,,,,,,,,,,,,,,,,,,,,,,,,,,,,,,,,,,,,,,,,,,,,,,,,,,,,,,,,,,,,,,,,,,,,,,,,,,,,,,,,,,,,,,,,,,,,,,,,,,,,,,,,,,,,,,,,,,,,,,,,,,,,,,,,,,,,,,,,,,,,,,,,,,,,,,,,,,,,,,,,,,,,,,,,,,,,,,,,,,,,,,,,,,,,,,,,,,,,,,,,,,,,,,,,,,,,,,,,,,,,,,,,,,,,,,,,,,,,,,,,,,,,,,,,,,,,,,,,,,,,,,,,,,,,,,,,,,,,,,,,,,,,,,,,,,,,,,,,,,,,,,,,,,,,,,,,,,,,,,,,,,,,,,,,,,,,,,,,,,,,,,,,,,,,,,,,,,,,,,,,,,,,,,,,,,,,,,,,,,,,,,,,,,,,,,,,,,,,,,,,,,,,,,,,,,,,,,,,,,,,,,,,,,,,,,,,,,,,,,,,,,,,,,,,,,,,,,,,,,,,,,,,,,,,,,,,,,,,,,,,,,,,,,,,,,,,,,,,,,,,,,,,,,,,,,,,,,,,,,,,,,,,,,,,,,,,,,,,,,,,,,,,,,,,,,,,,,,,,,,,,,,,,,,,,,,,,,,,,,,,,,,,,,,,,,,,,,,,,,,,,,,,,,,,,,,,,,,,,,,,,,,,,,,,,,,,,,,,,,,,,,,,,,,,,,,,,,,,,,,,,,,,,,,,,,,,,,,,,,,,,,,,,,,,,,,,,,,,,,,,,,,,,,,,,,,,,,,,,,,,,,,,,,,,,,,,,,,,,,,,,,,,,,,,,,,,,,,,,,,,,,,,,,,,,,,,,,,,,,,,,,,,,,,,,,,,,,,,,,,,,,,,,,,,,,,,,,,,,,,,,,,,,,,,,,,,,,,,,,,,,,,,,,,,,,,,,,,,,,,,,,,,,,,,,,,,,,,,,,,,,,,,,,,,,,,,,,,,,,,,,,,,,,,,,,,,,,,,,,,,,,,,,,,,,,,,,,,,,,,,,,,,,,,,,,,,,,,,,,,,,,,,,,,,,,,,,,,,,,,,,,,,,,,,,,,,,,,,,,,,,,,,,,,,,,,,,,,,,,,,,,,,,,,,,,,,,,,,,,,,,,,,,,,,,,,,,,,,,,,,,,,,,,,,,,,,,,,,,,,,,,,,,,,,,,,,,,,,,,,,,,,,,,,,,,,,,,,,,,,,,,,,,,,,,,,,,,,,,,,,,,,,,,,,,,,,,,,,,,,,,,,,,,,,,,,,,,,,,,,,,,,,,,,,,,,,,,,,,,,,,,,,,,,,,,,,,,,,,,,,,,,,,,,,,,,,,,,,,,,,,,,,,,,,,,,,,,,,,,,,,,,,,,,,,,,,,,,,,,,,,,,,,,,,,,,,,,,,,,,,,,,,,,,,,,,,,,,,,,,,,,,,,,,,,,,,,,,,,,,,,,,,,,,,,,,,,,,,,,,,,,,,,,,,,,,,,,,,,,,,,,,,,,,,,,,,,,,,,,,,,,,,,,,,,,,,,,,,,,,,,,,,,,,,,,,,,,,,,,,,,,,,,,,,,,,,,,,,,,,,,,,,,,,,,,,,,,,,,,,,,,,,,,,,,,,,,,,,,,,,,,,,,,,,,,,,,,,,,,,,,,,,,,,,,,,,,,,,,,,,,,,,,,,,,,,,,,,,,,,,,,,,,,,,,,,,,,,,,,,,,,,,,,,,,,,,,,,,,,,,,,,,,,,,,,,,,,,,,,,,,,,,,,,,,,,,,,,,,,,,,,,,,,,,,,,,,,,,,,,,,,,,,,,,,,,,,,,,,,,,,,,,,,,,,,,,,,,,,,,,,,,,,,,,,,,,,,,,,,,,,,,,,,,,,,,,,,,,,,,,,,,,,,,,,,,,,,,,,,,,,,,,,,,,,,,,,,,,,,,,,,,,,,,,,,,,,,,,,,,,,,,,,,,,,,,,,,,,,,,,,,,,,,,,,,,,,,,,,,,,,,,,,,,,,,,,,,,,,,,,,,,,,,,,,,,,,,,,,,,,,,,,,,,,,,,,,,,,,,,,,,,,,,,,,,,,,,,,,,,,,,,,,,,,,,,,,,,,,,,,,,,,,,,,,,,,,,,,,,,,,,,,,,,,,,,,,,,,,,,,,,,,,,,,,,,,,,,,,,,,,,,,,,,,,,,,,,,,,,,,,,,,,,,,,,,,,,,,,,,,,,,,,,,,,,,,,,,,,,,,,,,,,,,,,,,,,,,,,,,,,,,,,,,,,,,,,,,,,,,,,,,,,,,,,,,,,,,,,,,,,,,,,,,,,,,,,,,,,,,,,,,,,,,,,,,,,,,,,,,,,,,,,,,,,,,,,,,,,,,,,,,,,,,,,,,,,,,,,,,,,,,,,,,,,,,,,,,,,,,,,,,,,,,,,,,,,,,,,,,,,,,,,,,,,,,,,,,,,,,,,,,,,,,,,,,,,,,,,,,,,,,,,,,,,,,,,,,,,,,,,,,,,,,,,,,,,,,,,,,,,,,,,,,,,,,,,,,,,,,,,,,,,,,,,,,,,,,,,,,,,,,,,,,,,,,,,,,,,,,,,,,,,,,,,,,,,,,,,,,,,,,,,,,,,,,,,,,,,,,,,,,,,,,,,,,,,,,,,,,,,,,,,,,,,,,,,,,,,,,,,,,,,,,,,,,,,,,,,,,,,,,,,,,,,,,,,,,,,,,,,,,,,,,,,,,,,,,,,,,,,,,,,,,,,,,,,,,,,,,,,,,,,,,,,,,,,,,,,,,,,,,,,,,,,,,,,,,,,,,,,,,,,,,,,,,,,,,,,,,,,,,,,,,,,,,,,,,,,,,,,,,,,,,,,,,,,,,,,,,,,,,,,,,,,,,,,,,,,,,,,,,,,,,,,,,,,,,,,,,,,,,,,,,,,,,,,,,,,,,,,,,,,,,,,,,,,,,,,,,,,,,,,,,,,,,,,,,,,,,,,,,,,,,,,,,,,,,,,,,,,,,,,,,,,,,,,,,,,,,,,,,,,,,,,,,,,,,,,,,,,,,,,,,,,,,,,,,,,,,,,,,,,,,,,,,,,,,,,,,,,,,,,,,,,,,,,,,,,,,,,,,,,,,,,,,,,,,,,,,,,,,,,,,,,,,,,,,,,,,,,,,,,,,,,,,,,,,,,,,,,,,,,,,,,,,,,,,,,,,,,,,,,,,,,,,,,,,,,,,,,,,,,,,,,,,,,,,,,,,,,,,,,,,,,,,,,,,,,,,,,,,,,,,,,,,,,,,,,,,,,,,,,,,,,,,,,,,,,,,,,,,,,,,,,,,,,,,,,,,,,,,,,,,,,,,,,,,,,,,,,,,,,,,,,,,,,,,,,,,,,,,,,,,,,,,,,,,,,,,,,,,,,,,,,,,,,,,,,,,,,,,,,,,,,,,,,,,,,,,,,,,,,,,,,,,,,,,,,,,,,,,,,,,,,,,,,,,,,,,,,,,,,,,,,,,,,,,,,,,,,,,,,,,,,,,,,,,,,,,,,,,,,,,,,,,,,,,,,,,,,,,,,,,,,,,,,,,,,,,,,,,,,,,,,,,,,,,,,,,,,,,,,,,,,,,,,,,,,,,,,,,,,,,,,,,,,,,,,,,,,,,,,,,,,,,,,,,,,,,,,,,,,,,,,,,,,,,,,,,,,,,,,,,,,,,,,,,,,,,,,,,,,,,,,,,,,,,,,,,,,,,,,,,,,,,,,,,,,,,,,,,,,,,,,,,,,,,,,,,,,,,,,,,,,,,,,,,,,,,,,,,,,,,,,,,,,,,,,,,,,,,,,,,,,,,,,,,,,,,,,,,,,,,,,,,,,,,,,,,,,,,,,,,,,,,,,,,,,,,,,,,,,,,,,,,,,,,,,,,,,,,,,,,,,,,,,,,,,,,,,,,,,,,,,,,,,,,,,,,,,,,,,,,,,,,,,,,,,,,,,,,,,,,,,,,,,,,,,,,,,,,,,,,,,,,,,,,,,,,,,,,,,,,,,,,,,,,,,,,,,,,,,,,,,,,,,,,,,,,,,,,,,,,,,,,,,,,,,,,,,,,,,,,,,,,,,,,,,,,,,,,,,,,,,,,,,,,,,,,,,,,,,,,,,,,,,,,,,,,,,,,,,,,,,,,,,,,,,,,,,,,,,,,,,,,,,,,,,,,,,,,,,,,,,,,,,,,,,,,,,,,,,,,,,,,,,,,,,,,,,,,,,,,,,,,,,,,,,,,,,,,,,,,,,,,,,,,,,,,,,,,,,,,,,,,,,,,,,,,,,,,,,,,,,,,,,,,,,,,,,,,,,,,,,,,,,,,,,,,,,,,,,,,,,,,,,,,,,,,,,,,,,,,,,,,,,,,,,,,,,,,,,,,,,,,,,,,,,,,,,,,,,,,,,,,,,,,,,,,,,,,,,,,,,,,,,,,,,,,,,,,,,,,,,,,,,,,,,,,,,,,,,,,,,,,,,,,,,,,,,,,,,,,,,,,,,,,,,,,,,,,,,,,,,,,,,,,,,,,,,,,,,,,,,,,,,,,,,,,,,,,,,,,,,,,,,,,,,,,,,,,,,,,,,,,,,,,,,,,,,,,,,,,,,,,,,,,,,,,,,,,,,,,,,,,,,,,,,,,,,,,,,,,,,,,,,,,,,,,,,,,,,,,,,,,,,,,,,,,,,,,,,,,,,,,,,,,,,,,,,,,,,,,,,,,,,,,,,,,,,,,,,,,,,,,,,,,,,,,,,,,,,,,,,,,,,,,,,,,,,,,,,,,,,,,,,,,,,,,,,,,,,,,,,,,,,,,,,,,,,,,,,,,,,,,,,,,,,,,,,,,,,,,,,,,,,,,,,,,,,,,,,,,,,,,,,,,,,,,,,,,,,,,,,,,,,,}",
                    "NameOfGroup": "Unallocated.Actual data from preliminary model",
                    "EquationToParse": "{,26296.3316417089,26296.3316417089,18825.2778436883,24650.5597574434,17116.3706374792,21411.0625600404,16306.2700600404,20275.6963100404,16306.2700600404,16306.2700600404,,,,,,,,,,,,,,,,,,,,,,,,,,,,,,,,,,,,,,,,,,,,,,,,,,,,,,,,,,,,,,,,,,,,,,,,,,,,,,,,,,,,,,,,,,,,,,,,,,,,,,,,,,,,,,,,,,,,,,,,,,,,,,,,,,,,,,,,,,,,,,,,,,,,,,,,,,,,,,,,,,,,,,,,,,,,,,,,,,,,,,,,,,,,,,,,,,,,,,,,,,,,,,,,,,,,,,,,,,,,,,,,,,,,,,,,,,,,,,,,,,,,,,,,,,,,,,,,,,,,,,,,,,,,,,,,,,,,,,,,,,,,,,,,,,,,,,,,,,,,,,,,,,,,,,,,,,,,,,,,,,,,,,,,,,,,,,,,,,,,,,,,,,,,,,,,,,,,,,,,,,,,,,,,,,,,,,,,,,,,,,,,,,,,,,,,,,,,,,,,,,,,,,,,,,,,,,,,,,,,,,,,,,,,,,,,,,,,,,,,,,,,,,,,,,,,,,,,,,,,,,,,,,,,,,,,,,,,,,,,,,,,,,,,,,,,,,,,,,,,,,,,,,,,,,,,,,,,,,,,,,,,,,,,,,,,,,,,,,,,,,,,,,,,,,,,,,,,,,,,,,,,,,,,,,,,,,,,,,,,,,,,,,,,,,,,,,,,,,,,,,,,,,,,,,,,,,,,,,,,,,,,,,,,,,,,,,,,,,,,,,,,,,,,,,,,,,,,,,,,,,,,,,,,,,,,,,,,,,,,,,,,,,,,,,,,,,,,,,,,,,,,,,,,,,,,,,,,,,,,,,,,,,,,,,,,,,,,,,,,,,,,,,,,,,,,,,,,,,,,,,,,,,,,,,,,,,,,,,,,,,,,,,,,,,,,,,,,,,,,,,,,,,,,,,,,,,,,,,,,,,,,,,,,,,,,,,,,,,,,,,,,,,,,,,,,,,,,,,,,,,,,,,,,,,,,,,,,,,,,,,,,,,,,,,,,,,,,,,,,,,,,,,,,,,,,,,,,,,,,,,,,,,,,,,,,,,,,,,,,,,,,,,,,,,,,,,,,,,,,,,,,,,,,,,,,,,,,,,,,,,,,,,,,,,,,,,,,,,,,,,,,,,,,,,,,,,,,,,,,,,,,,,,,,,,,,,,,,,,,,,,,,,,,,,,,,,,,,,,,,,,,,,,,,,,,,,,,,,,,,,,,,,,,,,,,,,,,,,,,,,,,,,,,,,,,,,,,,,,,,,,,,,,,,,,,,,,,,,,,,,,,,,,,,,,,,,,,,,,,,,,,,,,,,,,,,,,,,,,,,,,,,,,,,,,,,,,,,,,,,,,,,,,,,,,,,,,,,,,,,,,,,,,,,,,,,,,,,,,,,,,,,,,,,,,,,,,,,,,,,,,,,,,,,,,,,,,,,,,,,,,,,,,,,,,,,,,,,,,,,,,,,,,,,,,,,,,,,,,,,,,,,,,,,,,,,,,,,,,,,,,,,,,,,,,,,,,,,,,,,,,,,,,,,,,,,,,,,,,,,,,,,,,,,,,,,,,,,,,,,,,,,,,,,,,,,,,,,,,,,,,,,,,,,,,,,,,,,,,,,,,,,,,,,,,,,,,,,,,,,,,,,,,,,,,,,,,,,,,,,,,,,,,,,,,,,,,,,,,,,,,,,,,,,,,,,,,,,,,,,,,,,,,,,,,,,,,,,,,,,,,,,,,,,,,,,,,,,,,,,,,,,,,,,,,,,,,,,,,,,,,,,,,,,,,,,,,,,,,,,,,,,,,,,,,,,,,,,,,,,,,,,,,,,,,,,,,,,,,,,,,,,,,,,,,,,,,,,,,,,,,,,,,,,,,,,,,,,,,,,,,,,,,,,,,,,,,,,,,,,,,,,,,,,,,,,,,,,,,,,,,,,,,,,,,,,,,,,,,,,,,,,,,,,,,,,,,,,,,,,,,,,,,,,,,,,,,,,,,,,,,,,,,,,,,,,,,,,,,,,,,,,,,,,,,,,,,,,,,,,,,,,,,,,,,,,,,,,,,,,,,,,,,,,,,,,,,,,,,,,,,,,,,,,,,,,,,,,,,,,,,,,,,,,,,,,,,,,,,,,,,,,,,,,,,,,,,,,,,,,,,,,,,,,,,,,,,,,,,,,,,,,,,,,,,,,,,,,,,,,,,,,,,,,,,,,,,,,,,,,,,,,,,,,,,,,,,,,,,,,,,,,,,,,,,,,,,,,,,,,,,,,,,,,,,,,,,,,,,,,,,,,,,,,,,,,,,,,,,,,,,,,,,,,,,,,,,,,,,,,,,,,,,,,,,,,,,,,,,,,,,,,,,,,,,,,,,,,,,,,,,,,,,,,,,,,,,,,,,,,,,,,,,,,,,,,,,,,,,,,,,,,,,,,,,,,,,,,,,,,,,,,,,,,,,,,,,,,,,,,,,,,,,,,,,,,,,,,,,,,,,,,,,,,,,,,,,,,,,,,,,,,,,,,,,,,,,,,,,,,,,,,,,,,,,,,,,,,,,,,,,,,,,,,,,,,,,,,,,,,,,,,,,,,,,,,,,,,,,,,,,,,,,,,,,,,,,,,,,,,,,,,,,,,,,,,,,,,,,,,,,,,,,,,,,,,,,,,,,,,,,,,,,,,,,,,,,,,,,,,,,,,,,,,,,,,,,,,,,,,,,,,,,,,,,,,,,,,,,,,,,,,,,,,,,,,,,,,,,,,,,,,,,,,,,,,,,,,,,,,,,,,,,,,,,,,,,,,,,,,,,,,,,,,,,,,,,,,,,,,,,,,,,,,,,,,,,,,,,,,,,,,,,,,,,,,,,,,,,,,,,,,,,,,,,,,,,,,,,,,,,,,,,,,,,,,,,,,,,,,,,,,,,,,,,,,,,,,,,,,,,,,,,,,,,,,,,,,,,,,,,,,,,,,,,,,,,,,,,,,,,,,,,,,,,,,,,,,,,,,,,,,,,,,,,,,,,,,,,,,,,,,,,,,,,,,,,,,,,,,,,,,,,,,,,,,,,,,,,,,,,,,,,,,,,,,,,,,,,,,,,,,,,,,,,,,,,,,,,,,,,,,,,,,,,,,,,,,,,,,,,,,,,,,,,,,,,,,,,,,,,,,,,,,,,,,,,,,,,,,,,,,,,,,,,,,,,,,,,,,,,,,,,,,,,,,,,,,,,,,,,,,,,,,,,,,,,,,,,,,,,,,,,,,,,,,,,,,,,,,,,,,,,,,,,,,,,,,,,,,,,,,,,,,,,,,,,,,,,,,,,,,,,,,,,,,,,,,,,,,,,,,,,,,,,,,,,,,,,,,,,,,,,,,,,,,,,,,,,,,,,,,,,,,,,,,,,,,,,,,,,,,,,,,,,,,,,,,,,,,,,,,,,,,,,,,,,,,,,,,,,,,,,,,,,,,,,,,,,,,,,,,,,,,,,,,,,,,,,,,,,,,,,,,,,,,,,,,,,,,,,,,,,,,,,,,,,,,,,,,,,,,,,,,,,,,,,,,,,,,,,,,,,,,,,,,,,,,,,,,,,,,,,,,,,,,,,,,,,,,,,,,,,,,,,,,,,,,,,,,,,,,,,,,,,,,,,,,,,,,,,,,,,,,,,,,,,,,,,,,,,,,,,,,,,,,,,,,,,,,,,,,,,,,,,,,,,,,,,,,,,,,,,,,,,,,,,,,,,,,,,,,,,,,,,,,,,,,,,,,,,,,,,,,,,,,,,,,,,,,,,,,,,,,,,,,,,,,,,,,,,,,,,,,,,,,,,,,,,,,,,,,,,,,,,,,,,,,,,,,,,,,,,,,,,,,,,,,,,,,,,,,,,,,,,,,,,,,,,,,,,,,,,,,,,,,,,,,,,,,,,,,,,,,,,,,,,,,,,,,,,,,,,,,,,,,,,,,,,,,,,,,,,,,,,,,,,,,,,,,,,,,,,,,,,,,,,,,,,,,,,,,,,,,,,,,,,,,,,,,,,,,,,,,,,,,,,,,,,,,,,,,,,,,,,,,,,,,,,,,,,,,,,,,,,,,,,,,,,,,,,,,,,,,,,,,,,,,,,,,,,,,,,,,,,,,,,,,,,,,,,,,,,,,,,,,,,,,,,,,,,,,,,,,,,,,,,,,,,,,,,,,,,,,,,,,,,,,,,,,,,,,,,,,,,,,,,,,,,,,,,,,,,,,,,,,,,,,,,,,,,,,,,,,,,,,,,,,,,,,,,,,,,,,,,,,,,,,,,,,,,,,,,,,,,,,,,,,,,,,,,,,,,,,,,,,,,,,,,,,,,,,,,,,,,,,,,,,,,,,,,,,,,,,,,,,,,,,,,,,,,,,,,,,,,,,,,,,,,,,,,,,,,,,,,,,,,,,,,,,,,,,,,,,,,,,,,,,,,,,,,,,,,,,,,,,,,,,,,,,,,,,,,,,,,,,,,,,,,,,,,,,,,,,,,,,,,,,,,,,,,,,,,,,,,,,,,,,,,,,,,,,,,,,,,,,,,,,,,,,,,,,,,,,,,,,,,,,,,,,,,,,,,,,,,,,,,,,,,,,,,,,,,,,,,,,,,,,,,,,,,,,,,,,,,,,,,,,,,,,,,,,,,,,,,,,,,,,,,,,,,,,,,,,,,,,,,,,,,,,,,,,,,,,,,,,,,,,,,,,,,,,,,,,,,,,,,,,,,,,,,,,,,,,,,,,,,,,,,,,,,,,,,,,,,,,,,,,,,,,,,,,,,,,,,,,,,,,,,,,,,,,,,,,,,,,,,,,,,,,,,,,,,,,,,,,,,,,,,,,,,,,,,,,,,,,,,,,,,,,,,,,,,,,,,,,,,,,,,,,,,,,,,,,,,,,,,,,,,,,,,,,,,,,,,,,,,,,,,,,,,,,,,,,,,,,,,,,,,,,,,,,,,,,,,,,,,,,,,,,,,,,,,,,,,,,,,,,,,,,,,,,,,,,,,,,,,,,,,,,,,,,,,,,,,,,,,,,,,,,,,,,,,,,,,,,,,,,,,,,,,,,,,,,,,,,,,,,,,,,,,,,,,,,,,,,,,,,,,,,,,,,,,,,,,,,,,,,,,,,,,,,,,,,,,,,,,,,,,,,,,,,,,,,,,,,,,,,,,,,,,,,,,,,,,,,,,,,,,,,,,,,,,,,,,,,,,,,,,,,,,,,,,,,,,,,,,,,,,,,,,,,,,,,,,,,,,,,,,,,,,,,,,,,,,,,,,,,,,,,,,,,,,,,,,,,,,,,,,,,,,,,,,,,,,,,,,,,,,,,,,,,,,,,,,,,,,,,,,,,,,,,,,,,,,,,,,,,,,,,,,,,,,,,,,,,,,,,,,,,,,,,,,,,,,,,,,,,,,,,,,,,,,,,,,,,,,,,,,,,,,,,,,,,,,,,,,,,,,,,,,,,,,,,,,,,,,,,,,,,,,,,,,,,,,,,,,,,,,,,,,,,,,,,,,,,,,,,,,,,,,,,,,,,,,,,,,,,,,,,,,,,,,,,,,,,,,,,,,,,,,,,,,,,,,,,,,,,,,,,,,,,,,,,,,,,,,,,,,,,,,,,,,,,,,,,,,,,,,,,,,,,,,,,,,,,,,,,,,,,,,,,,,,,,,,,,,,,,,,,,,,,,,,,,,,,,,,,,,,,,,,,,,,,,,,,,,,,,,,,,,,,,,,,,,,,,,,,,,,,,,,,,,,,,,,,,,,,,,,,,,,,,,,,,,,,,,,,,,,,,,,,,,,,,,,,,,,,,,,,,,,,,,,,,,,,,,,,,,,,,,,,,,,,,,,,,,,,,,,,,,,,,,,,,,,,,,,,,,,,,,,,,,,,,,,,,,,,,,,,,,,,,,,,,,,,,,,,,,,,,,,,,,,,,,,,,,,,,,,,,,,,,,,,,,,,,,,,,,,,,,,,,,,,,,,,,,,,,,,,,,,,,,,,,,,,,,,,,,,,,,,,,,,,,,,,,,,,,,,,,,,,,,,,,,,,,,,,,,,,,,,,,,,,,,,,,,,,,,,,,,,,,,,,,,,,,,,,,,,,,,,,,,,,,,,,,,,,,,,,,,,,,,,,,,,,,,,,,,,,,,,,,,,,,,,,,,,,,,,,,,,,,,,,,,,,,,,,,,,,,,,,,,,,,,,,,,,,,,,,,,,,,,,,,,,,,,,,,,,,,,,,,,,,,,,,,,,,,,,,,,,,,,,,,,,,,,,,,,,,,,,,,,,,,,,,,,,,,,,,,,,,,,,,,,,,,,,,,,,,,,,,,,,,,,,,,,,,,,,,,,,,,,,,,,,,,,,,,,,,,,,,,,,,,,,,,,,,,,,,,,,,,,,,,,,,,,,,,,,,,,,,,,,,,,,,,,,,,,,,,,,,,,,,,,,,,,,,,,,,,,,,,,,,,,,,,,,,,,,,,,,,,,,,,,,,,,,,,,,,,,,,,,,,,,,,,,,,,,,,,,,,,,,,,,,,,,,,,,,,,,,,,,,,,,,,,,,,,,,,,,,,,,,,,,,,,,,,,,,,,,,,,,,,,,,,,,,,,,,,,,,,,,,,,,,,,,,,,,,,,,,,,,,,,,,,,,,,,,,,,,,,,,,,,,,,,,,,,,,,,,,,,,,,,,,,,,,,,,,,,,,,,,,,,,,,,,,,,,,,,,,,,,,,,,,,,,,,,,,,,,,,,,,,,,,,,,,,,,,,,,,,,,,,,,,,,,,,,,,,,,,,,,,,,,,,,,,,,,,,,,,,,,,,,,,,,,,,,,,,,,,,,,,,,,,,,,,,,,,,,,,,,,,,,,,,,,,,,,,,,,,,,,,,,,,,,,,,,,,,,,,,,,,,,,,,,,,,,,,,,,,,,,,,,,,,,,,,,,,,,,,,,,,,,,,,,,,,,,,,,,,,,,,,,,,,,,,,,,,,,,,,,,,,,,,,,,,,,,,,,,,,,,,,,,,,,,,,,,,,,,,,,,,,,,,,,,,,,,,,,,,,,,,,,,,,,,,,,,,,,,,,,,,,,,,,,,,,,,,,,,,,,,,,,,,,,,,,,,,,,,,,,,,,,,,,,,,,,,,,,,,,,,,,,,,,,,,,,,,,,,,,,,,,,,,,,,,,,,,,,,,,,,,,,,,,,,,,,,,,,,,,,,,,,,,,,,,,,,,,,,,,,,,,,,,,,,,,,,,,,,,,,,,,,,,,,,,,,,,,,,,,,,,,,,,,,,,,,,,,,,,,,,,,,,,,,,,,,,,,,,,,,,,,,,,,,,,,,,,,,,,,,,,,,,,,,,,,,,,,,,,,,,,,,,,,,,,,,,,,,,,,,,,,,,,,,,,,,,,,,,,,,,,,,,,,,,,,,,,,,,,,,,,,,,,,,,,,,,,,,,,,,,,,,,,,,,,,,,,,,,,,,,,,,,,,,,,,,,,,,,,,,,,,,,,,,,,,,,,,,,,,,,,,,,,,,,,,,,,,,,,,,,,,,,,,,,,,,,,,,,,,,,,,,,,,,,,,,,,,,,,,,,,,,,,,,,,,,,,,,,,,,,,,,,,,,,,,,,,,,,,,,,,,,,,,,,,,,,,,,,,,,,,,,,,,,,,,,,,,,,,,,,,,,,,,,,,,,,,,,,,,,,,,,,,,,,,,,,,,,,,,,,,,,,,,,,,,,,,,,,,,,,,,,,,,,,,,,,,,,,,,,,,,,,,,,,,,,,,,,,,,,,,,,,,,,,,,,,,,,,,,,,,,,,,,,,,,,,,,,,,,,,,,,,,,,,,,,,,,,,,,,,,,,,,,,,,,,,,,,,,,,,,,,,,,,,,,,,,,,,,,,,,,,,,,,,,,,,,,,,,,,,,,,,,,,,,,,,,,,,,,,,,,,,,,,,,,,,,,,,,,,,,,,,,,,,,,,,,,,,,,,,,,,,,,,,,,,,,,,,,,,,,,,,,,,,,,,,,,,,,,,,,,,,,,,,,,,,,,,,,,,,,,,,,,,,,,,,,,,,,,,,,,,,,,,,,,,,,,,,,,,,,,,,,,,,,,,,,,,,,,,,,,,,,,,,,,,,,,,,,,,,,,,,,,,,,,,,,,,,,,,,,,,,,,,,,,,,,,,,,,,,,,,,,,,,,,,,,,,,,,,,,,,,,,,,,,,,,,,,,,,,,,,,,,,,,,,,,,,,,,,,,,,,,,,,,,,,,,,,,,,,,,,,,,,,,,,,,,,,,,,,,,,,,,,,,,,,,,,,,,,,,,,,,,,,,,,,,,,,,,,,,,,,,,,,,,,,,,,,,,,,,,,,,,,,,,,,,,,,,,,,,,,,,,,,,,,,,,,,,,,,,,,,,,,,,,,,,,,,,,,,,,,,,,,,,,,,,,,,,,,,,,,,,,,,,,,,,,,,,,,,,,,,,,,,,,,,,,,,,,,,,,,,,,,,,,,,,,,,,,,,,,,,,,,,,,,,,,,,,,,,,,,,,,,,,,,,,,,,,,,,,,,,,,,,,,,,,,,,,,,,,,,,,,,,,,,,,,,,,,,,,,,,,,,,,,,,,,,,,,,,,,,,,,,,,,,,,,,,,,,,,,,,,,,,,,,,,,,,,,,,,,,,,,,,,,,,,,,,,,,,,,,,,,,,,,,,,,,,,,,,,,,,,,,,,,,,,,,,,,,,,,,,,,,,,,,,,,,,,,,,,,,,,,,,,,,,,,,,,,,,,,,,,,,,,,,,,,,,,,,,,,,,,,,,,,,,,,,,,,,,,,,,,,,,,,,,,,,,,,,,,,,,,,,,,,,,,,,,,,,,,,,,,,,,,,,,,,,,,,,,,,,,,,,,,,,,,,,,,,,,,,,,,,,,,,,,,,,,,,,,,,,,,,,,,,,,,,,,,,,,,,,,,,,,,,,,,,,,,,,,,,,,,,,,,,,,,,,,,,,,,,,,,,,,,,,,,,,,,,,,,,,,,,,,,,,,,,,,,,,,,,,,,,,,,,,,,,,,,,,,,,,,,,,,,,,,,,,,,,,,,,,,,,,,,,,,,,,,,,,,,,,,,,,,,,,,,,,,,,,,,,,,,,,,,,,,,,,,,,,,,,,,,,,,,,,,,,,,,,,,,,,,,,,,,,,,,,,,,,,,,,,,,,,,,,,,,,,,,,,,,,,,,,,,,,,,,,,,,,,,,,,,,,,,,,,,,,,,,,,,,,,,,,,,,,,,,,,,,,,,,,,,,,,,,,,,,,,,,,,,,,,,,,,,,,,,,,,,,,,,,,,,,,,,,,,,,,,,,,,,,,,,,,,,,,,,,,,,,,,,,,,,,,,,,,,,,,,,,,,,,,,,,,,,,,,,,,,,,,,,,,,,,,,,,,,,,,,,,,,,,,,,,,,,,,,,,,,,,,,,,,,,,,,,,,,,,,,,,,,,,,,,,,,,,,,,,,,,,,,,,,,,,,,,,,,,,,,,,,,,,,,,,,,,,,,,,,,,,,,,,,,,,,,,,,,,,,,,,,,,,,,,,,,,,,,,,,,,,,,,,,,,,,,,,,,,,,,,,,,,,,,,,,,,,,,,,,,,,,,,,,,,,,,,,,,,,,,,,,,,,,,,,,,,,,,,,,,,,,,,,,,,,,,,,,,,,,,,,,,,,,,,,,,,,,,,,,,,,,,,,,,,,,,,,,,,,,,,,,,,,,,,,,,,,,,,,,,,,,,,,,,,,,,,,,,,,,,,,,,,,,,,,,,,,,,,,,,,,,,,,,,,,,,,,,,,,,,,,,,,,,,,,,,,,,,,,,,,,,,,,,,,,,,,,,,,,,,,,,,,,,,,,,,,,,,,,,,,,,,,,,,,,,,,,,,,,,,,,,,,,,,,,,,,,,,,,,,,,,,,,,,,,,,,,,,,,,,,,,,,,,,,,,,,,,,,,,,,,,,,,,,,,,,,,,,,,,,,,,,,,,,,,,,,,,,,,,,,,,,,,,,,,,,,,,,,,,,,,,,,,,,,,,,,,,,,,,,,,,,,,,,,,,,,,,,,,,,,,,,,,,,,,,,,,,,,,,,,,,,,,,,,,,,,,,,,,,,,,,,,,,,,,,,,,,,,,,,,,,,,,,,,,,,,,,,,,,,,,,,,,,,,,,,,,,,,,,,,,,,,,,,,,,,,,,,,,,,,,,,,,,,,,,,,,,,,,,,,,,,,,,,,,,,,,,,,,,,,,,,,,,,,,,,,,,,,,,,,,,,,,,,,,,,,,,,,,,,,,,,,,,,,,,,,,,,,,,,,,,,,,,,,,,,,,,,,,,,,,,,,,,,,,,,,,,,,,,,,,,,,,,,,,,,,,,,,,,,,,,,,,,,,,,,,,,,,,,,,,,,,,,,,,,,,,,,,,,,,,,,,,,,,,,,,,,,,,,,,,,,,,,,,,,,,,,,,,,,,,,,,,,,,,,,,,,,,,,,,,,,,,,,,,,,,,,,,,,,,,,,,,,,,,,,,,,,,,,,,,,,,,,,,,,,,,,,,,,,,,,,,,,,,,,,,,,,,,,,,,,,,,,,,,,,,,,,,,,,,,,,,,,,,,,,,,,,,,,,,,,,,,,,,,,,,,,,,,,,,,,,,,,,,,,,,,,,,,,,,,,,,,,,,,,,,,,,,,,,,,,,,,,,,,,,,,,,,,,,,,,,,,,,,,,,,,,,,,,,,,,,,,,,,,,,,,,,,,,,,,,,,,,,,,,,,,,,,,,,,,,,,,,,,,,,,,,,,,,,,,,,,,,,,,,,,,,,,,,,,,,,,,,,,,,,,,,,,,,,,,,,,,,,,,,,,,,,,,,,,,,,,,,,,,,,,,,,,,,,,,,,,,,,,,,,,,,,,,,,,,,,,,,,,,,,,,,,,,,,,,,,,,,,,,,,,,,,,,,,,,,,,,,,,,,,,,,,,,,,,,,,,,,,,,,,,,,,,,,,,,,,,,,,,,,,,,,,,,,,,,,,,,,,,,,,,,,,,,,,,,,,,,,,,,,,,,,,,,,,,,,,,,,,,,,,,,,,,,,,,,,,,,,,,,,,,,,,,,,,,,,,,,,,,,,,,,,,,,,,,,,,,,,,,,,,,,,,,,,,,,,,,,,,,,,,,,,,,,,,,,,,,,,,,,,,,,,,,,,,,,,,,,,,,,,,,,,,,,,,,,,,,,,,,,,,,,,,,,,,,,,,,,,,,,,,,,,,,,,,,,,,,,,,,,,,,,,,,,,,,,,,,,,,,,,,,,,,,,,,,,,,,,,,,,,,,,,,,,,,,,,,,,,,,,,,,,,,,,,,,,,,,,,,,,,,,,,,,,,,,,,,,,,,,,,,,,,,,,,,,,,,,,,,,,,,,,,,,,,,,,,,,,,,,,,,,,,,,,,,,,,,,,,,,,,,,,,,,,,,,,,,,,,,,,,,,,,,,,,,,,,,,,,,,,,,,,,,,,,,,,,,,,,,,,,,,,,,,,,,,,,,,,,,,,,,,,,,,,,,,,,,,,,,,,,,,,,,,,,,,,,,,,,,,,,,,,,,,,,,,,,,,,,,,,,,,,,,,,,,,,,,,,,,,,,,,,,,,,,,,,,,,,,,,,,,,,,,,,,,,,,,,,,,,,,,,,,,,,,,,,,,,,,,,,,,,,,,,,,,,,,,,,,,,,,,,,,,,,,,,,,,,,,,,,,,,,,,,,,,,,,,,,,,,,,,,,,,,,,,,,,,,,,,,,,,,,,,,,,,,,,,,,,,,,,,,,,,,,,,,,,,,,,,,,,,,,,,,,,,,,,,,,,,,,,,,,,,,,,,,,,,,,,,,,,,,,,,,,,,,,,,,,,,,,,,,,,,,,,,,,,,,,,,,,,,,,,,,,,,,,,,,,,,,,,,,,,,,,,,,,,,,,,,,,,,,,,,,,,,,,,,,,,,,,,,,,,,,,,,,,,,,,,,,,,,,,,,,,,,,,,,,,,,,,,,,,,,,,,,,,,,,,,,,,,,,,,,,,,,,,,,,,,,,,,,,,,,,,,,,,,,,,,,,,,,,,,,,,,,,,,,,,,,,,,,,,,,,,,,,,,,,,,,,,,,,,,,,,,,,,,,,,,,,,,,,,,,,,,,,,,,,,,,,,,,,,,,,,,,,,,,,,,,,,,,,,,,,,,,,,,,,,,,,,,,,,,,,,,,,,,,,,,,,,,,,,,,,,,,,,,,,,,,,,,,,,,,,,,,,,,,,,,,,,,,,,,,,,,,,,,,,,,,,,,,,,,,,,,,,,,,,,,,,,,,,,,,,,,,,,,,,,,,,,,,,,,,,,,,,,,,,,,,,,,,,,,,,,,,,,,,,,,,,,,,,,,,,,,,,,,,,,,,,,,,,,,,,,,,,,,,,,,,,,,,,,,,,,,,,,,,,,,,,,,,,,,,,,,,,,,,,,,,,,,,,,,,,,,,,,,,,,,,,,,,,,,,,,,,,,,,,,,,,,,,,,,,,,,,,,,,,,,,,,,,,,,,,,,,,,,,,,,,,,,,,,,,,,,,,,,,,,,,,,,,,,,,,,,,,,,,,,,,,,,,,,,,,,,,,,,,,,,,,,,,,,,,,,,,,,,,,,,,,,,,,,,,,,,,,,,,,,,,,,,,,,,,,,,,,,,,,,,,,,,,,,,,,,,,,,,,,,,,,,,,,,,,,,,,,,,,,,,,,,,,,,,,,,,,,,,,,,,,,,,,,,,,,,,,,,,,,,,,,,,,,,,,,,,,,,,,,,,,,,,,,,,,,,,,,,,,,,,,,,,,,,,,,,,,,,,,,,,,,,,,,,,,,,,,,,,,,,,,,,,,,,,,,,,,,,,,,,,,,,,,,,,,,,,,,,,,,,,,,,,,,,,,,,,,,,,,,,,,,,,,,,,,,,,,,,,,,,,,,,,,,,,,,,,,,,,,,,,,,,,,,,,,,,,,,,,,,,,,,,,,,,,,,,,,,,,,,,,,,,,,,,,,,,,,,,,,,,,,,,,,,,,,,,,,,,,,,,,,,,,,,,,,,,,,,,,,,,,,,,,,,,,,,,,,,,,,,,,,,,,,,,,,,,,,,,,,,,,,,,,,,,,,,,,,,,,,,,,,,,,,,,,,,,,,,,,,,,,,,,,,,,,,,,,,,,,,,,,,,,,,,,,,,,,,,,,,,,,,,,,,,,,,,,,,,,,,,,,,,,,,,,,,,,,,,,,,,,,,,,,,,,,,,,,,,,,,,,,,,,,,,,,,,,,,,,,,,,,,,,,,,,,,,,,,,,,,,,,,,,,,,,,,,,,,,,,,,,,,,,,,,,,,,,,,,,,,,,,,,,,,,,,,,,,,,,,,,,,,,,,,,,,,,,,,,,,,,,,,,,,,,,,,,,,,,,,,,,,,,,,,,,,,,,,,,,,,,,,,,,,,,,,,,,,,,,,,,,,,,,,,,,,,,,,,,,,,,,,,,,,,,,,,,,,,,,,,,,,,,,,,,,,,,,,,,,,,,,,,,,,,,,,,,,,,,,,,,,,,,,,,,,,,,,,,,,,,,,,,,,,,,,,,,,,,,,,,,,,,,,,,,,,,,,,,,,,,,,,,,,,,,,,,,,,,,,,,,,,,,,,,,,,,,,,,,,,,,,,,,,,,,,,,,,,,,,,,,,,,,,,,,,,,,,,,,,,,,,,,,,,,,,,,,,,,,,,,,,,,,,,,,,,,,,,,,,,,,,,,,,,,,,,,,,,,,,,,,,,,,,,,,,,,,,,,,,,,,,,,,,,,,,,,,,,,,,,,,,,,,,,,,,,,,,,,,,,,,,,,,,,,,,,,,,,,,,,,,,,,,,,,,,,,,,,,,,,,,,,,,,,,,,,,,,,,,,,,,,,,,,,,,,,,,,,,,,,,,,,,,,,,,,,,,,,,,,,,,,,,,,,,,,,,,,,,,,,,,,,,,,,,,,,,,,,,,,,,,,,,,,,,,,,,,,,,,,,,,,,,,,,,,,,,,,,,,,,,,,,,,,,,,,,,,,,,,,,,,,,,,,,,,,,,,,,,,,,,,,,,,,,,,,,,,,,,,,,,,,,,,,,,,,,,,,,,,,,,,,,,,,,,,,,,,,,,,,,,,,,,,,,,,,,,,,,,,,,,,,,,,,,,,,,,,,,,,,,,,,,,,,,,,,,,,,,,,,,,,,,,,,,,,,,,,,,,,,,,,,,,,,,,,,,,,,,,,,,,,,,,,,,,,,,,,,,,,,,,,,,,,,,,,,,,,,,,,,,,,,,,,,,,,,,,,,,,,,,,,,,,,,,,,,,,,,,,,,,,,,,,,,,,,,,,,,,,,,,,,,,,,,,,,,,,,,,,,,,,,,,,,,,,,,,,,,,,,,,,,,,,,,,,,,,,,,,,,,,,,,,,,,,,,,,,,,,,,,,,,,,,,,,,,,,,,,,,,,,,,,,,,,,,,,,,,,,,,,,,,,,,,,,,,,,,,,,,,,,,,,,,,,,,,,,,,,,,,,,,,,,,,,,,,,,,,,,,,,,,,,,,,,,,,,,,,,,,,,,,,,,,,,,,,,,,,,,,,,,,,,,,,,,,,,,,,,,,,,,,,,,,,,,,,,,,,,,,,,,,,,,,,,,,,,,,,,,,,,,,,,,,,,,,,,,,,,,,,,,,,,,,,,,,,,,,,,,,,,,,,,,,,,,,,,,,,,,,,,,,,,,,,,,,,,,,,,,,,,,,,,,,,,,,,,,,,,,,,,,,,,,,,,,,,,,,,,,,,,,,,,,,,,,,,,,,,,,,,,,,,,,,,,,,,,,,,,,,,,,,,,,,,,,,,,,,,,,,,,,,,,,,,,,,,,,,,,,,,,,,,,,,,,,,,,,,,,,,,,,,,,,,,,,,,,,,,,,,,,,,,,,,,,,,,,,,,,,,,,,,,,,,,,,,,,,,,,,,,,,,,,,,,,,,,,,,,,,,,,,,,,,,,,,,,,,,,,,,,,,,,,,,,,,,,,,,,,,,,,,,,,,,,,,,,,,,,,,,,,,,,,,,,,,,,,,,,,,,,,,,,,,,,,,,,,,,,,,,,,,,,,,,,,,,,,,,,,,,,,,,,,,,,,,,,,,,,,,,,,,,,,,,,,,,,,,,,,,,,,,,,,,,,,,,,,,,,,,,,,,,,,,,,,,,,,,,,,,,,,,,,,,,,,,,,,,,,,,,,,,,,,,,,,,,,,,,,,,,,,,,,,,,,,,,,,,,,,,,,,,,,,,,,,,,,,,,,,,,,,,,,,,,,,,,,,,,,,,,,,,,,,,,,,,,,,,,,,,,,,,,,,,,,,,,,,,,,,,,,,,,,,,,,,,,,,,,,,,,,,,,,,,,,,,,,,,,,,,,,,,,,,,,,,,,,,,,,,,,,,,,,,,,,,,,,,,,,,,,,,,,,,,,,,,,,,,,,,,,,,,,,,,,,,,,,,,,,,,,,,,,,,,,,,,,,,,,,,,,,,,,,,,,,,,,,,,,,,,,,,,,,,,,,,,,,,,,,,,,,,,,,,,,,,,,,,,,,,,,,,,,,,,,,,,,,,,,,,,,,,,,,,,,,,,,,,,,,,,,,,,,,,,,,,,,,,,,,,,,,,,,,,,,,,,,,,,,,,,,,,,,,,,,,,,,,,,,,,,,,,,,,,,,,,,,,,,,,,,,,,,,,,,,,,,,,,,,,,,,,,,,,,,,,,,,,,,,,,,,,,,,,,,,,,,,,,,,,,,,,,,,,,,,,,,,,,,,,,,,,,,,,,,,,,,,,,,,,,,,,,,,,,,,,,,,,,,,,,,,,,,,,,,,,,,,,,,,,,,,,,,,,,,,,,,,,,,,,,,,,,,,,,,,,,,,,,,,,,,,,,,,,,,,,,,,,,,,,,,,,,,,,,,,,,,,,,,,,,,,,,,,,,,,,,,,,,,,,,,,,,,,,,,,,,,,,,,,,,,,,,,,,,,,,,,,,,,,,,,,,,,,,,,,,,,,,,,,,,,,,,,,,,,,,,,,,,,,,,,,,,,,,,,,,,,,,,,,,,,,,,,,,,,,,,,,,,,,,,,,,,,,,,,,,,,,,,,,,,,,,,,,,,,,,,,,,,,,,,,,,,,,,,,,,,,,,,,,,,,,,,,,,,,,,,,,,,,,,,,,,,,,,,,,,,,,,,,,,,,,,,,,,,,,,,,,,,,,,,,,,,,,,,,,,,,,,,,,,,,,,,,,,,,,,,,,,,,,,,,,,,,,,,,,,,,,,,,,,,,,,,,,,,,,,,,,,,,,,,,,,,,,,,,,,,,,,,,,,,,,,,,,,,,,,,,,,,,,,,,,,,,,,,,,,,,,,,,,,,,,,,,,,,,,,,,,,,,,,,,,,,,,,,,,,,,,,,,,,,,,,,,,,,,,,,,,,,,,,,,,,,,,,,,,,,,,,,,,,,,,,,,,,,,,,,,,,,,,,,,,,,,,,,,,,,,,,,,,,,,,,,,,,,,,,,,,,,,,,,,,,,,,,,,,,,,,,,,,,,,,,,,,,,,,,,,,,,,,,,,,,,,,,,,,,,,,,,,,,,,,,,,,,,,,,,,,,,,,,,,,,,,,,,,,,,,,,,,,,,,,,,,,,,,,,,,,,,,,,,,,,,,,,,,,,,,,,,,,,,,,,,,,,,,,,,,,,,,,,,,,,,,,,,,,,,,,,,,,,,,,,,,,,,,,,,,,,,,,,,,,,,,,,,,,,,,,,,,,,,,,,,,,,,,,,,,,,,,,,,,,,,,,,,,,,,,,,,,,,,,,,,,,,,,,,,,,,,,,,,,,,,,,,,,,,,,,,,,,,,,,,,,,,,,,,,,,,,,,,,,,,,,,,,,,,,,,,,,,,,,,,,,,,,,,,,,,,,,,,,,,,,,,,,,,,,,,,,,,,,,,,,,,,,,,,,,,,,,,,,,,,,,,,,,,,,,,,,,,,,,,,,,,,,,,,,,,,,,,,,,,,,,,,,,,,,,,,,,,,,,,,,,,,,,,,,,,,,,,,,,,,,,,,,,,,,,,,,,,,,,,,,,,,,,,,,,,,,,,,,,,,,,,,,,,,,,,,,,,,,,,,,,,,,,,,,,,,,,,,,,,,,,,,,,,,,,,,,,,,,,,,,,,,,,,,,,,,,,,,,,,,,,,,,,,,,,,,,,,,,,,,,,,,,,,,,,,,,,,,,,,,,,,,,,,,,,,,,,,,,,,,,,,,,,,,,,,,,,,,,,,,,,,,,,,,,,,,,,,,,,,,,,,,,,,,,,,,,,,,,,,,,,,,,,,,,,,,,,,,,,,,,,,,,,,,,,,,,,,,,,,,,,,,,,,,,,,,,,,,,,,,,,,,,,,,,,,,,,,,,,,,,,,,,,,,,,,,,,,,,,,,,,,,,,,,,,,,,,,,,,,,,,,,,,,,,,,,,,,,,,,,,,,,,,,,,,,,,,,,,,,,,,,,,,,,,,,,,,,,,,,,,,,,,,,,,,,,,,,,,,,,,,,,,,,,,,,,,,,,,,,,,,,,,,,,,,,,,,,,,,,,,,,,,,,,,,,,,,,,,,,,,,,,,,,,,,,,,,,,,,,,,,,,,,,,,,,,,,,,,,,,,,,,,,,,,,,,,,,,,,,,,,,,,,,,,,,,,,,,,,,,,,,,,,,,,,,,,,,,,,,,,,,,,,,,,,,,,,,,,,,,,,,,,,,,,,,,,,,,,,,,,,,,,,,,,,,,,,,,,,,,,,,,,,,,,,,,,,,,,,,,,,,,,,,,,,,,,,,,,,,,,,,,,,,,,,,,,,,,,,,,,,,,,,,,,,,,,,,,,,,,,,,,,,,,,,,,,,,,,,,,,,,,,,,,,,,,,,,,,,,,,,,,,,,,,,,,,,,,,,,,,,,,,,,,,,,,,,,,,,,,,,,,,,,}",
                    "MostRecentExpectedUnitErrors": null,
                    "Units": {
                      "$id": "308",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 from 2026 real Opex prelim mode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Results from preliminary model",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true,
        "IsFlag": false,
        "IsTimeAndFlagsGroup": false,
        "DimensionsAcross": {
          "$type": "ModelMakerEngine.MMDimensions, ModelMakerEngine",
          "$values": []
        },
        "TimeAxis": 0,
        "IndexInParent": 1,
        "HasOneSheetPerElem": false,
        "OneSheetPerElem": null,
        "Name": "Input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false,
        "Issues": null
      },
      {
        "$id": "309",
        "$type": "ModelMaker.GroupNode, ModelMaker",
        "TabOrHeaderColour": "",
        "Comment": "",
        "NameOfGroup": null,
        "YPosition": 0,
        "Folded": false,
        "Font": null,
        "Children": {
          "$type": "ModelMaker.GroupNodeChildCollection, ModelMaker",
          "$values": [
            {
              "$id": "310",
              "$type": "ModelMaker.GroupNode, ModelMaker",
              "TabOrHeaderColour": "",
              "Comment": "",
              "NameOfGroup": "Calculations",
              "YPosition": 0,
              "Folded": false,
              "Font": null,
              "Children": {
                "$type": "ModelMaker.GroupNodeChildCollection, ModelMaker",
                "$values": [
                  {
                    "$id": "31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b635e03e-294f-4154-bfdd-3cb22ec23155",
                    "Dimensions": {
                      "$type": "ModelMakerEngine.MMDimensions, ModelMakerEngine",
                      "$values": []
                    },
                    "EquationOBXInternal": "IF([CPI Index forecast flag], (PREVIOUSVALUE()*[Forecast CPI  growth from 2030]),[CPI Index Forecast])",
                    "NameOfGroup": "Chosen Scenarios",
                    "EquationToParse": "IF([CPI Index forecast flag], (PREVIOUSVALUE()*[Forecast CPI  growth from 2030]),[CPI Index Forecast])",
                    "MostRecentExpectedUnitErrors": {
                      "$type": "System.Collections.Generic.List`1[[System.String, mscorlib]], mscorlib",
                      "$values": [
                        "The TRUE part of the IF function that has no units but the FALSE part measured in index (2015=100)"
                      ]
                    },
                    "Units": {
                      "$id": "312",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CPI Index Forecast (Calculations)",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false,
                    "UnitsErrorMessage": "The TRUE part of the IF function that has no units but the FALSE part measured in index (2015=100)",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1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6e4fa216-ab24-4183-9a1f-3947b26d55d3",
                    "Dimensions": {
                      "$type": "ModelMakerEngine.MMDimensions, ModelMakerEngine",
                      "$values": []
                    },
                    "EquationOBXInternal": "(IF([Period number]=1,([CPI Index Forecast (Calculations)]/[CPI Index 2024])-1,([CPI Index Forecast (Calculations)]/PREVIOUSVALUE([CPI Index Forecast (Calculations)])-1)))",
                    "NameOfGroup": "Calculations.CPI Calculations",
                    "EquationToParse": "(IF([Period number]=1,([CPI Index Forecast (Calculations)]/[CPI Index 2024])-1,([CPI Index Forecast (Calculations)]/PREVIOUSVALUE([CPI Index Forecast (Calculations)])-1)))",
                    "MostRecentExpectedUnitErrors": {
                      "$type": "System.Collections.Generic.List`1[[System.String, mscorlib]], mscorlib",
                      "$values": [
                        "The TRUE part of the IF function measured in 1/index (2015=100 but the FALSE part that has no units"
                      ]
                    },
                    "Units": {
                      "$id": "314",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CPI Inflation",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The TRUE part of the IF function measured in 1/index (2015=100 but the FALSE part that has no unit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CPI Calculation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315",
              "$type": "ModelMaker.GroupNode, ModelMaker",
              "TabOrHeaderColour": "",
              "Comment": "",
              "NameOfGroup": "Time",
              "YPosition": 1,
              "Folded": false,
              "Font": null,
              "Children": {
                "$type": "ModelMaker.GroupNodeChildCollection, ModelMaker",
                "$values": [
                  {
                    "$id": "316",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
                      "$type": "System.Collections.Generic.List`1[[ModelMaker.DimensionedArrayValues, ModelMaker]], mscorlib",
                      "$values": [
                        {
                          "$id": "317",
                          "$type": "ModelMaker.DimensionedArrayValues, ModelMaker",
                          "Elements": {
                            "$type": "ModelMakerEngine.MMElements, ModelMakerEngine",
                            "$values": []
                          },
                          "Values": {
                            "$type": "System.Collections.Generic.List`1[[System.Object, mscorlib]], mscorlib",
                            "$values": [
                              "NR23",
                              "NR23",
                              "NR23",
                              "NR28",
                              "NR28",
                              "NR28",
                              "NR28",
                              "NR28",
                              "NR33",
                              "NR33",
                              "NR33",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null
                            ]
                          }
                        }
                      ]
                    },
                    "NonPrimaryInput": false,
                    "Max": "NaN",
                    "Min": "NaN",
                    "IsBalanceButNotCorkscrew": false,
                    "IsEditable": true,
                    "IsConstant": false,
                    "UniqueID": "b5f4bf30-2bc5-45e1-bcc8-cb872581d97e",
                    "Dimensions": {
                      "$type": "ModelMakerEngine.MMDimensions, ModelMakerEngine",
                      "$values": []
                    },
                    "EquationOBXInternal": "{NR23,NR23,NR23,NR28,NR28,NR28,NR28,NR28,NR33,NR33,NR33,,,,,,,,,,,,,,,,,,,,,,,,,,,,,,,,,,,,,,,,,,,,,,,,,,,,,,,,,,,,,,,,,,,,,,,,,,,,,,,,,,,,,,,,,,,,,,,,,,,,,,,,,,,,,,,,,,,,,,,,,,,,,,,,,,,,,,,,,,,,,,,,,,,,,,,,,,,,,,,,,,,,,,,,,,,,,,,,,,,,,,,,,,,,,,,,,,,,,,,,,,,,,,,,,,,,,,,,,,,,,,,,,,,,,,,,,,,,,,,,,,,,,,,,,,,,,,,,,,,,,,,,,,,,,,,,,,,,,,,,,,,,,,,,,,,,,,,,,,,,,,,,,,,,,,,,,,,,,,,,,,,,,,,,,,,,,,,,,,,,,,,,,,,,,,,,,,,,,,,,,,,,,,,,,,,,,,,,,,,,,,,,,,,,,,,,,,,,,,,,,,,,,,,,,,,,,,,,,,,,,,,,,,,,,,,,,,,,,,,,,,,,,,,,,,,,,,,,,,,,,,,,,,,,,,,,,,,,,,,,,,,,,,,,,,,,,,,,,,,,,,,,,,,,,,,,,,,,,,,,,,,,,,,,,,,,,,,,,,,,,,,,,,,,,,,,,,,,,,,,,,,,,,,,,,,,,,,,,,,,,,,,,,,,,,,,,,,,,,,,,,,,,,,,,,,,,,,,,,,,,,,,,,,,,,,,,,,,,,,,,,,,,,,,,,,,,,,,,,,,,,,,,,,,,,,,,,,,,,,,,,,,,,,,,,,,,,,,,,,,,,,,,,,,,,,,,,,,,,,,,,,,,,,,,,,,,,,,,,,,,,,,,,,,,,,,,,,,,,,,,,,,,,,,,,,,,,,,,,,,,,,,,,,,,,,,,,,,,,,,,,,,,,,,,,,,,,,,,,,,,,,,,,,,,,,,,,,,,,,,,,,,,,,,,,,,,,,,,,,,,,,,,,,,,,,,,,,,,,,,,,,,,,,,,,,,,,,,,,,,,,,,,,,,,,,,,,,,,,,,,,,,,,,,,,,,,,,,,,,,,,,,,,,,,,,,,,,,,,,,,,,,,,,,,,,,,,,,,,,,,,,,,,,,,,,,,,,,,,,,,,,,,,,,,,,,,,,,,,,,,,,,,,,,,,,,,,,,,,,,,,,,,,,,,,,,,,,,,,,,,,,,,,,,,,,,,,,,,,,,,,,,,,,,,,,,,,,,,,,,,,,,,,,,,,,,,,,,,,,,,,,,,,,,,,,,,,,,,,,,,,,,,,,,,,,,,,,,,,,,,,,,,,,,,,,,,,,,,,,,,,,,,,,,,,,,,,,,,,,,,,,,,,,,,,,,,,,,,,,,,,,,,,,,,,,,,,,,,,,,,,,,,,,,,,,,,,,,,,,,,,,,,,,,,,,,,,,,,,,,,,,,,,,,,,,,,,,,,,,,,,,,,,,,,,,,,,,,,,,,,,,,,,,,,,,,,,,,,,,,,,,,,,,,,,,,,,,,,,,,,,,,,,,,,,,,,,,,,,,,,,,,,,,,,,,,,,,,,,,,,,,,,,,,,,,,,,,,,,,,,,,,,,,,,,,,,,,,,,,,,,,,,,,,,,,,,,,,,,,,,,,,,,,,,,,,,,,,,,,,,,,,,,,,,,,,,,,,,,,,,,,,,,,,,,,,,,,,,,,,,,,,,,,,,,,,,,,,,,,,,,,,,,,,,,,,,,,,,,,,,,,,,,,,,,,,,,,,,,,,,,,,,,,,,,,,,,,,,,,,,,,,,,,,,,,,,,,,,,,,,,,,,,,,,,,,,,,,,,,,,,,,,,,,,,,,,,,,,,,,,,,,,,,,,,,,,,,,,,,,,,,,,,,,,,,,,,,,,,,,,,,,,,,,,,,,,,,,,,,,,,,,,,,,,,,,,,,,,,,,,,,,,,,,,,,,,,,,,,,,,,,,,,,,,,,,,,,,,,,,,,,,,,,,,,,,,,,,,,,,,,,,,,,,,,,,,,,,,,,,,,,,,,,,,,,,,,,,,,,,,,,,,,,,,,,,,,,,,,,,,,,,,,,,,,,,,,,,,,,,,,,,,,,,,,,,,,,,,,,,,,,,,,,,,,,,,,,,,,,,,,,,,,,,,,,,,,,,,,,,,,,,,,,,,,,,,,,,,,,,,,,,,,,,,,,,,,,,,,,,,,,,,,,,,,,,,,,,,,,,,,,,,,,,,,,,,,,,,,,,,,,,,,,,,,,,,,,,,,,,,,,,,,,,,,,,,,,,,,,,,,,,,,,,,,,,,,,,,,,,,,,,,,,,,,,,,,,,,,,,,,,,,,,,,,,,,,,,,,,,,,,,,,,,,,,,,,,,,,,,,,,,,,,,,,,,,,,,,,,,,,,,,,,,,,,,,,,,,,,,,,,,,,,,,,,,,,,,,,,,,,,,,,,,,,,,,,,,,,,,,,,,,,,,,,,,,,,,,,,,,,,,,,,,,,,,,,,,,,,,,,,,,,,,,,,,,,,,,,,,,,,,,,,,,,,,,,,,,,,,,,,,,,,,,,,,,,,,,,,,,,,,,,,,,,,,,,,,,,,,,,,,,,,,,,,,,,,,,,,,,,,,,,,,,,,,,,,,,,,,,,,,,,,,,,,,,,,,,,,,,,,,,,,,,,,,,,,,,,,,,,,,,,,,,,,,,,,,,,,,,,,,,,,,,,,,,,,,,,,,,,,,,,,,,,,,,,,,,,,,,,,,,,,,,,,,,,,,,,,,,,,,,,,,,,,,,,,,,,,,,,,,,,,,,,,,,,,,,,,,,,,,,,,,,,,,,,,,,,,,,,,,,,,,,,,,,,,,,,,,,,,,,,,,,,,,,,,,,,,,,,,,,,,,,,,,,,,,,,,,,,,,,,,,,,,,,,,,,,,,,,,,,,,,,,,,,,,,,,,,,,,,,,,,,,,,,,,,,,,,,,,,,,,,,,,,,,,,,,,,,,,,,,,,,,,,,,,,,,,,,,,,,,,,,,,,,,,,,,,,,,,,,,,,,,,,,,,,,,,,,,,,,,,,,,,,,,,,,,,,,,,,,,,,,,,,,,,,,,,,,,,,,,,,,,,,,,,,,,,,,,,,,,,,,,,,,,,,,,,,,,,,,,,,,,,,,,,,,,,,,,,,,,,,,,,,,,,,,,,,,,,,,,,,,,,,,,,,,,,,,,,,,,,,,,,,,,,,,,,,,,,,,,,,,,,,,,,,,,,,,,,,,,,,,,,,,,,,,,,,,,,,,,,,,,,,,,,,,,,,,,,,,,,,,,,,,,,,,,,,,,,,,,,,,,,,,,,,,,,,,,,,,,,,,,,,,,,,,,,,,,,,,,,,,,,,,,,,,,,,,,,,,,,,,,,,,,,,,,,,,,,,,,,,,,,,,,,,,,,,,,,,,,,,,,,,,,,,,,,,,,,,,,,,,,,,,,,,,,,,,,,,,,,,,,,,,,,,,,,,,,,,,,,,,,,,,,,,,,,,,,,,,,,,,,,,,,,,,,,,,,,,,,,,,,,,,,,,,,,,,,,,,,,,,,,,,,,,,,,,,,,,,,,,,,,,,,,,,,,,,,,,,,,,,,,,,,,,,,,,,,,,,,,,,,,,,,,,,,,,,,,,,,,,,,,,,,,,,,,,,,,,,,,,,,,,,,,,,,,,,,,,,,,,,,,,,,,,,,,,,,,,,,,,,,,,,,,,,,,,,,,,,,,,,,,,,,,,,,,,,,,,,,,,,,,,,,,,,,,,,,,,,,,,,,,,,,,,,,,,,,,,,,,,,,,,,,,,,,,,,,,,,,,,,,,,,,,,,,,,,,,,,,,,,,,,,,,,,,,,,,,,,,,,,,,,,,,,,,,,,,,,,,,,,,,,,,,,,,,,,,,,,,,,,,,,,,,,,,,,,,,,,,,,,,,,,,,,,,,,,,,,,,,,,,,,,,,,,,,,,,,,,,,,,,,,,,,,,,,,,,,,,,,,,,,,,,,,,,,,,,,,,,,,,,,,,,,,,,,,,,,,,,,,,,,,,,,,,,,,,,,,,,,,,,,,,,,,,,,,,,,,,,,,,,,,,,,,,,,,,,,,,,,,,,,,,,,,,,,,,,,,,,,,,,,,,,,,,,,,,,,,,,,,,,,,,,,,,,,,,,,,,,,,,,,,,,,,,,,,,,,,,,,,,,,,,,,,,,,,,,,,,,,,,,,,,,,,,,,,,,,,,,,,,,,,,,,,,,,,,,,,,,,,,,,,,,,,,,,,,,,,,,,,,,,,,,,,,,,,,,,,,,,,,,,,,,,,,,,,,,,,,,,,,,,,,,,,,,,,,,,,,,,,,,,,,,,,,,,,,,,,,,,,,,,,,,,,,,,,,,,,,,,,,,,,,,,,,,,,,,,,,,,,,,,,,,,,,,,,,,,,,,,,,,,,,,,,,,,,,,,,,,,,,,,,,,,,,,,,,,,,,,,,,,,,,,,,,,,,,,,,,,,,,,,,,,,,,,,,,,,,,,,,,,,,,,,,,,,,,,,,,,,,,,,,,,,,,,,,,,,,,,,,,,,,,,,,,,,,,,,,,,,,,,,,,,,,,,,,,,,,,,,,,,,,,,,,,,,,,,,,,,,,,,,,,,,,,,,,,,,,,,,,,,,,,,,,,,,,,,,,,,,,,,,,,,,,,,,,,,,,,,,,,,,,,,,,,,,,,,,,,,,,,,,,,,,,,,,,,,,,,,,,,,,,,,,,,,,,,,,,,,,,,,,,,,,,,,,,,,,,,,,,,,,,,,,,,,,,,,,,,,,,,,,,,,,,,,,,,,,,,,,,,,,,,,,,,,,,,,,,,,,,,,,,,,,,,,,,,,,,,,,,,,,,,,,,,,,,,,,,,,,,,,,,,,,,,,,,,,,,,,,,,,,,,,,,,,,,,,,,,,,,,,,,,,,,,,,,,,,,,,,,,,,,,,,,,,,,,,,,,,,,,,,,,,,,,,,,,,,,,,,,,,,,,,,,,,,,,,,,,,,,,,,,,,,,,,,,,,,,,,,,,,,,,,,,,,,,,,,,,,,,,,,,,,,,,,,,,,,,,,,,,,,,,,,,,,,,,,,,,,,,,,,,,,,,,,,,,,,,,,,,,,,,,,,,,,,,,,,,,,,,,,,,,,,,,,,,,,,,,,,,,,,,,,,,,,,,,,,,,,,,,,,,,,,,,,,,,,,,,,,,,,,,,,,,,,,,,,,,,,,,,,,,,,,,,,,,,,,,,,,,,,,,,,,,,,,,,,,,,,,,,,,,,,,,,,,,,,,,,,,,,,,,,,,,,,,,,,,,,,,,,,,,,,,,,,,,,,,,,,,,,,,,,,,,,,,,,,,,,,,,,,,,,,,,,,,,,,,,,,,,,,,,,,,,,,,,,,,,,,,,,,,,,,,,,,,,,,,,,,,,,,,,,,,,,,,,,,,,,,,,,,,,,,,,,,,,,,,,,,,,,,,,,,,,,,,,,,,,,,,,,,,,,,,,,,,,,,,,,,,,,,,,,,,,,,,,,,,,,,,,,,,,,,,,,,,,,,,,,,,,,,,,,,,,,,,,,,,,,,,,,,,,,,,,,,,,,,,,,,,,,,,,,,,,,,,,,,,,,,,,,,,,,,,,,,,,,,,,,,,,,,,,,,,,,,,,,,,,,,,,,,,,,,,,,,,,,,,,,,,,,,,,,,,,,,,,,,,,,,,,,,,,,,,,,,,,,,,,,,,,,,,,,,,,,,,,,,,,,,,,,,,,,,,,,,,,,,,,,,,,,,,,,,,,,,,,,,,,,,,,,,,,,,,,,,,,,,,,,,,,,,,,,,,,,,,,,,,,,,,,,,,,,,,,,,,,,,,,,,,,,,,,,,,,,,,,,,,,,,,,,,,,,,,,,,,,,,,,,,,,,,,,,,,,,,,,,,,,,,,,,,,,,,,,,,,,,,,,,,,,,,,,,,,,,,,,,,,,,,,,,,,,,,,,,,,,,,,,,,,,,,,,,,,,,,,,,,,,,,,,,,,,,,,,,,,,,,,,,,,,,,,,,,,,,,,,,,,,,,,,,,,,,,,,,,,,,,,,,,,,,,,,,,,,,,,,,,,,,,,,,,,,,,,,,,,,,,,,,,,,,,,,,,,,,,,,,,,,,,,,,,,,,,,,,,,,,,,,,,,,,,,,,,,,,,,,,,,,,,,,,,,,,,,,,,,,,,,,,,,,,,,,,,,,,,,,,,,,,,,,,,,,,,,,,,,,,,,,,,,,,,,,,,,,,,,,,,,,,,,,,,,,,,,,,,,,,,,,,,,,,,,,,,,,,,,,,,,,,,,,,,,,,,,,,,,,,,,,,,,,,,,,,,,,,,,,,,,,,,,,,,,,,,,,,,,,,,,,,,,,,,,,,,,,,,,,,,,,,,,,,,,,,,,,,,,,,,,,,,,,,,,,,,,,,,,,,,,,,,,,,,,,,,,,,,,,,,,,,,,,,,,,,,,,,,,,,,,,,,,,,,,,,,,,,,,,,,,,,,,,,,,,,,,,,,,,,,,,,,,,,,,,,,,,,,,,,,,,,,,,,,,,,,,,,,,,,,,,,,,,,,,,,,,,,,,,,,,,,,,,,,,,,,,,,,,,,,,,,,,,,,,,,,,,,,,,,,,,,,,,,,,,,,,,,,,,,,,,,,,,,,,,,,,,,,,,,,,,,,,,,,,,,,,,,,,,,,,,,,,,,,,,,,,,,,,,,,,,,,,,,,,,,,,,,,,,,,,,,,,,,,,,,,,,,,,,,,,,,,,,,,,,,,,,,,,,,,,,,,,,,,,,,,,,,,,,,,,,,,,,,,,,,,,,,,,,,,,,,,,,,,,,,,,,,,,,,,,,,,,,,,,,,,,,,,,,,,,,,,,,,,,,,,,,,,,,,,,,,,,,,,,,,,,,,,,,,,,,,,,,,,,,,,,,,,,,,,,,,,,,,,,,,,,,,,,,,,,,,,,,,,,,,,,,,,,,,,,,,,,,,,,,,,,,,,,,,,,,,,,,,,,,,,,,,,,,,,,,,,,,,,,,,,,,,,,,,,,,,,,,,,,,,,,,,,,,,,,,,,,,,,,,,,,,,,,,,,,,,,,,,,,,,,,,,,,,,,,,,,,,,,,,,,,,,,,,,,,,,,,,,,,,,,,,,,,,,,,,,,,,,,,,,,,,,,,,,,,,,,,,,,,,,,,,,,,,,,,,,,,,,,,,,,,,,,,,,,,,,,,,,,,,,,,,,,,,,,,,,,,,,,,,,,,,,,,,,,,,,,,,,,,,,,,,,,,,,,,,,,,,,,,,,,,,,,,,,,,,,,,,,,,,,,,,,,,,,,,,,,,,,,,,,,,,,,,,,,,,,,,,,,,,,,,,,,,,,,,,,,,,,,,,,,,,,,,,,,,,,,,,,,,,,,,,,,,,,,,,,,,,,,,,,,,,,,,,,,,,,,,,,,,,,,,,,,,,,,,,,,,,,,,,,,,,,,,,,,,,,,,,,,,,,,,,,,,,,,,,,,,,,,,,,,,,,,,,,,,,,,,,,,,,,,,,,,,,,,,,,,,,,,,,,,,,,,,,,,,,,,,,,,,,,,,,,,,,,,,,,,,,,,,,,,,,,,,,,,,,,,,,,,,,,,,,,,,,,,,,,,,,,,,,,,,,,,,,,,,,,,,,,,,,,,,,,,,,,,,,,,,,,,,,,,,,,,,,,,,,,,,,,,,,,,,,,,,,,,,,,,,,,,,,,,,,,,,,,,,,,,,,,,,,,,,,,,,,,,,,,,,,,,,,,,,,,,,,,,,,,,,,,,,,,,,,,,,,,,,,,,,,,,,,,,,,,,,,,,,,,,,,,,,,,,,,,,,,,,,,,,,,,,,,,,,,,,,,,,,,,,,,,,,,,,,,,,,,,,,,,,,,,,,,,,,,,,,,,,,,,,,,,,,,,,,,,,,,,,,,,,,,,,,,,,,,,,,,,,,,,,,,,,,,,,,,,,,,,,,,,,,,,,,,,,,,,,,,,,,,,,,,,,,,,,,,,,,,,,,,,,,,,,,,,,,,,,,,,,,,,,,,,,,,,,,,,,,,,,,,,,,,,,,,,,,,,,,,,,,,,,,,,,,,,,,,,,,,,,,,,,,,,,,,,,,,,,,,,,,,,,,,,,,,,,,,,,,,,,,,,,,,,,,,,,,,,,,,,,,,,,,,,,,,,,,,,,,,,,,,,,,,,,,,,,,,,,,,,,,,,,,,,,,,,,,,,,,,,,,,,,,,,,,,,,,,,,,,,,,,,,,,,,,,,,,,,,,,,,,,,,,,,,,,,,,,,,,,,,,,,,,,,,,,,,,,,,,,,,,,,,,,,,,,,,,,,,,,,,,,,,,,,,,,,,,,,,,,,,,,,,,,,,,,,,,,,,,,,,,,,,,,,,,,,,,,,,,,,,,,,,,,,,,,,,,,,,,,,,,,,,,,,,,,,,,,,,,,,,,,,,,,,,,,,,,,,,,,,,,,,,,,,,,,,,,,,,,,,,,,,,,,,,,,,,,,,,,,,,,,,,,,,,,,,,,,,,,,,,,,,,,,,,,,,,,,,,,,,,,,,,,,,,,,,,,,,,,,,,,,,,,,,,,,,,,,,,,,,,,,,,,,,,,,,,,,,,,,,,,,,,,,,,,,,,,,,,,,,,,,,,,,,,,,,,,,,,,,,,,,,,,,,,,,,,,,,,,,,,,,,,,,,,,,,,,,,,,,,,,,,,,,,,,,,,,,,,,,,,,,,,,,,,,,,,,,,,,,,,,,,,,,,,,,,,,,,,,,,,,,,,,,,,,,,,,,,,,,,,,,,,,,,,,,,,,,,,,,,,,,,,,,,,,,,,,,,,,,,,,,,,,,,,,,,,,,,,,,,,,,,,,,,,,,,,,,,,,,,,,,,,,,,,,,,,,,,,,,,,,,,,,,,,,,,,,,,,,,,,,,,,,,,,,,,,,,,,,,,,,,,,,,,,,,,,,,,,,,,,,,,,,,,,,,,,,,,,,,,,,,,,,,,,,,,,,,,,,,,,,,,,,,,,,,,,,,,,,,,,,,,,,,,,,,,,,,,,,,,,,,,,,,,,,,,,,,,,,,,,,,,,,,,,,,,,,,,,,,,,,,,,,,,,,,,,,,,,,,,,,,,,,,,,,,,,,,,,,,,,,,,,,,,,,,,,,,,,,,,,,,,,,,,,,,,,,,,,,,,,,,,,,,,,,,,,,,,,,,,,,,,,,,,,,,,,,,,,,,,,,,,,,,,,,,,,,,,,,,,,,,,,,,,,,,,,,,,,,,,,,,,,,,,,,,,,,,,,,,,,,,,,,,,,,,,,,,,,,,,,,,,,,,,,,,,,,,,,,,,,,,,,,,,,,,,,,,,,,,,,,,,,,,,,,,,,,,,,,,,,,,,,,,,,,,,,,,,,,,,,,,,,,,,,,,,,,,,,,,,,,,,,,,,,,,,,,,,,,,,,,,,,,,,,,,,,,,,,,,,,,,,,,,,,,,,,,,,,,,,,,,,,,,,,,,,,,,,,,,,,,,,,,,,,,,,,,,,,,,,,,,,,,,,,,,,,,,,,,,,,,,,,,,,,,,,,,,,,,,,,,,,,,,,,,,,,,,,,,,,,,,,,,,,,,,,,,,,,,,,,,,,,,,,,,,,,,,,,,,,,,,,,,,,,,,,,,,,,,,,,,,,,,,,,,,,,,,,,,,,,,,,,,,,,,,,,,,,,,,,,,,,,,,,,,,,,,,,,,,,,,,,,,,,,,,,,,,,,,,,,,,,,,,,,,,,,,,,,,,,,,,,,,,,,,,,,,,,,,,,,,,,,,,,,,,,,,,,,,,,,,,,,,,,,,,,,,,,,,,,,,,,,,,,,,,,,,,,,,,,,,,,,,,,,,,,,,,,,,,,,,,,,,,,,,,,,,,,,,,,,,,,,,,,,,,,,,,,,,,,,,,,,,,,,,,,,,,,,,,,,,,,,,,,,,,,,,,,,,,,,,,,,,,,,,,,,,,,,,,,,,,,,,,,,,,,,,,,,,,,,,,,,,,,,,,,,,,,,,,,,,,,,,,,,,,,,,,,,,,,,,,,,,,,,,,,,,,,,,,,,,,,,,,,,,,,,,,,,,,,,,,,,,,,,,,,,,,,,,,,,,,,,,,,,,,,,,,,,,,,,,,,,,,,,,,,,,,,,,,,,,,,,,,,,,,,,,,,,,,,,,,,,,,,,,,,,,,,,,,,,,,,,,,,,,,,,,,,,,,,,,,,,,,,,,,,,,,,,,,,,,,,,,,,,,,,,,,,,,,,,,,,,,,,,,,,,,,,,,,,,,,,,,,,,,,,,,,,,,,,,,,,,,,,,,,,,,,,,,,,,,,,,,,,,,,,,,,,,,,,,,,,,,,,,,,,,,,,,,,,,,,,,,,,,,,,,,,,,,,,,,,,,,,,,,,,,,,,,,,,,,,,,,,,,,,,,,,,,,,,,,,,,,,,,,,,,,,,,,,,,,,,,,,,,,,,,,,,,,,,,,,,,,,,,,,,,,,,,,,,,,,,,,,,,,,,,,,,,,,,,,,,,,,,,,,,,,,,,,,,,,,,,,,,,,,,,,,,,,,,,,,,,,,,,,,,,,,,,,,,,,,,,,,,,,,,,,,,,,,,,,,,,,,,,,,,,,,,,,,,,,,,,,,,,,,,,,,,,,,,,,,,,,,,,,,,,,,,,,,,,,,,,,,,,,,,,,,,,,,,,,,,,,,,,,,,,,,,,,,,,,,,,,,,,,,,,,,,,,,,,,,,,,,,,,,,,,,,,,,,,,,,,,,,,,,,,,,,,,,,,,,,,,,,,,,,,,,,,,,,,,,,,,,,,,,,,,,,,,,,,,,,,,,,,,,,,,,,,,,,,,,,,,,,,,,,,,,,,,,,,,,,,,,,,,,,,,,,,,,,,,,,,,,,,,,,,,,,,,,,,,,,,,,,,,,,,,,,,,,,,,,,,,,,,,,,,,,,,,,,,,,,,,,,,,,,,,,,,,,,,,,,,,,,,,,,,,,,,,,,,,,,,,,,,,,,,,,,,,,,,,,,,,,,,,,,,,,,,,,,,,,,,,,,,,,,,,,,,,,,,,,,,,,,,,,,,,,,,,,,,,,,,,,,,,,,,,,,,,,,,,,,,,,,,,,,,,,,,,,,,,,,,,,,,,,,,,,,,,,,,,,,,,,,,,,,,,,,,,,,,,,,,,,,,,,,,,,,,,,,,,,,,,,,,,,,,,,,,,,,,,,,,,,,,,,,,,,,,,,,,,,,,,,,,,,,,,,,,,,,,,,,,,,,,,,,,,,,,,,,,,,,,,,,,,,,,,,,,,,,,,,,,,,,,,,,,,,,,,,,,,,,,,,,,,,,,,,,,,,,,,,,,,,,,,,,,,,,,,,,,,,,,,,,,,,,,,,,,,,,,,,,,,,,,,,,,,,,,,,,,,,,,,,,,,,,,,,,,,,,,,,,,,,,,,,,,,,,,,,,,,,,,,,,,,,,,,,,,,,,,,,,,,,,,,,,,,,,,,,,,,,,,,,,,,,,,,,,,,,,,,,,,,,,,,,,,,,,,,,,,,,,,,,,,,,,,,,,,,,,,,,,,,,,,,,,,,,,,,,,,,,,,,,,,,,,,,,,,,,,,,,,,,,,,,,,,,,,,,,,,,,,,,,,,,,,,,,,,,,,,,,,,,,,,,,,,,,,,,,,,,,,,,,,,,,,,,,,,,,,,,,,,,,,,,,,,,,,,,,,,,,,,,,,,,,,,,,,,,,,,,,,,,,,,,,,,,,,,,,,,,,,,,,,,,,,,,,,,,,,,,,,,,,,,,,,,,,,,,,,,,,,,,,,,,,,,,,,,,,,,,,,,,,,,,,,,,,,,,,,,,,,,,,,,,,,,,,,,,,,,,,,,,,,,,,,,,,,,,,,,,,,,,,,,,,,,,,,,,,,,,,,,,,,,,,,,,,,,,,,,,,,,,,,,,,,,,,,,,,,,,,,,,,,,,,,,,,,,,,,,,,,,,,,,,,,,,,,,,,,,,,,,,,,,,,,,,,,,,,,,,,,,,,,,,,,,,,,,,,,,,,,,,,,,,,,,,,,,,,,,,,,,,,,,,,,,,,,,,,,,,,,,,,,,,,,,,,,,,,,,,,,,,,,,,,,,,,,,,,,,,,,,,,,,,,,,,,,,,,,,,,,,,,,,,,,,,,,,,,,,,,,,,,,,,,,,,,,,,,,,,,,,,,,,,,,,,,,,,,,,,,,,,,,,,,,,,,,,,,,,,,,,,,,,,,,,,,,,,,,,,,,,,,,,,,,,,,,,,,,,,,,,,,,,,,,,,,,,,,,,,,,,,,,,,,,,,,,,,,,,,,,,,,,,,,,,,,,,,,,,,,,,,,,,,,,,,,,,,,,,,,,,,,,,,,,,,,,,,,,,,,,,,,,,,,,,,,,,,,,,,,,,,,,,,,,,,,,,,,,,,,,,,,,,,,,,,,,,,,,,,,,,,,,,,,,,,,,,,,,,,,,,,,,,,,,,,,,,,,,,,,,,,,,,,,,,,,,,,,,,,,,,,,,,,,,,,,,,,,,,,,,,,,,,,,,,,,,,,,,,,,,,,,,,,,,,,,,,,,,,,,,,,,,,,,,,,,,,,,,,,,,,,,,,,,,,,,,,,,,,,,,,,,,,,,,,,,,,,,,,,,,,,,,,,,,,,,,,,,,,,,,,,,,,,,,,,,,,,,,,,,,,,,,,,,,,,,,,,,,,,,,,,,,,,,,,,,,,,,,,,,,,,,,,,,,,,,,,,,,,,,,,,,,,,,,,,,,,,,,,,,,,,,,,,,,,,,,,,,,,,,,,,,,,,,,,,,,,,,,,,,,,,,,,,,,,,,,,,,,,,,,,,,,,,,,,,,,,,,,,,,,,,,,,,,,,,,,,,,,,,,,,,,,,,,,,,,,,,,,,,,,,,,,,,,,,,,,,,,,,,,,,,,,,,,,,,,,,,,,,,,,,,,,,,,,,,,,,,,,,,,,,,,,,,,,,,,,,,,,,,,,,,,,,,,,,,,,,,,,,,,,,,,,,,,,,,,,,,,,,,,,,,,,,,,,,,,,,,,,,,,,,,,,,,,,,,,,,,,,,,,,,,,,,,,,,,,,,,,,,,,,,,,,,,,,,,,,,,,,,,,,,,,,,,,,,,,,,,,,,,,,,,,,,,,,,,,,,,,,,,,,,,,,,,,,,,,,,,,,,,,,,,,,,,,,,,,,,,,,,,,,,,,,,,,,,,,,,,,,,,,,,,,,,,,,,,,,,,,,,,,,,,,,,,,,,,,,,,,,,,,,,,,,,,,,,,,,,,,,,,,,,,,,,,,,,,,,,,,,,,,,,,,,,,,,,,,,,,,,,,,,,,,,,,,,,,,,,,,,,,,,,,,,,,,,,,,,,,,,,,,,,,,,,,,,,,,,,,,,,,,,,,,,,,,,,,,,,,,,,,,,,,,,,,,,,,,,,,,,,,,,,,,,,,,,,,,,,,,,,,,,,,,,,,,,,,,,,,,,,,,,,,,,,,,,,,,,,,,,,,,,,,,,,,,,,,,,,,,,,,,,,,,,,,,,,,,,,,,,,,,,,,,,,,,,,,,,,,,,,,,,,,,,,,,,,,,,,,,,,,,,,,,,,,,,,,,,,,,,,,,,,,,,,,,,,,,,,,,,,,,,,,,,,,,,,,,,,,,,,,,,,,,,,,,,,,,,,,,,,,,,,,,,,,,,,,,,,,,,,,,,,,,,,,,,,,,,,,,,,,,,,,,,,,,,,,,,,,,,,,,,,,,,,,,,,,,,,,,,,,,,,,,,,,,,,,,,,,,,,,,,,,,,,,,,,,,,,,,,,,,,,,,,,,,,,,,,,,,,,,,,,,,,,,,,,,,,,,,,,,,,,,,,,,,,,,,,,,,,,,,,,,,,,,,,,,,,,,,,,,,,,,,,,,,,,,,,,,,,,,,,,,,,,,,,,,,,,,,,,,,,,,,,,,,,,,,,,,,,,,,,,,,,,,,,,,,,,,,,,,,,,,,,,,,,,,,,,,,,,,,,,,,,,,,,,,,,,,,,,,,,,,,,,,,,,,,,,,,,,,,,,,,,,,,,,,,,,,,,,,,,,,,,,,,,,,,,,,,,,,,,,,,,,,,,,,,,,,,,,,,,,,,,,,,,,,,,,,,,,,,,,,,,,,,,,,,,,,,,,,,,,,,,,,,,,,,,,,,,,,,,,,,,,,,,,,,,,,,,,,,,,,,,,,,,,,,,,,,,,,,,,,,,,,,,,,,,,,,,,,,,,,,,,,,,,,,,,,,,,,,,,,,,,,,,,,,,,,,,,,,,,,,,,,,,,,,,,,,,,,,,,,,,,,,,,,,,,,,,,,,,,,,,,,,,,,,,,,,,,,,,,,,,,,,,,,,,,,,,,,,,,,,,,,,,,,,,,,,,,,,,,,,,,,,,,,,,,,,,,,,,,,,,,,,,,,,,,,,,,,,,,,,,,,,,,,,,,,,,,,,,,,,,,,,,,,,,,,,,,,,,,,,,,,,,,,,,,,,,,,,,,,,,,,,,,,,,,,,,,,,,,,,,,,,,,,,,,,,,,,,,,,,,,,,,,,,,,,,,,,,,,,,,,,,,,,,,,,,,,,,,,,,,,,,,,,,,,,,,,,,,,,,,,,,,,,,,,,,,,,,,,,,,,,,,,,,,,,,,,,,,,,,,,,,,,,,,,,,,,,,,,,,,,,,,,,,,,,,,,,,,,,,,,,,,,,,,,,,,,,,,,,,,,,,,,,,,,,,,,,,,,,,,,,,,,,,,,,,,,,,,,,,,,,,,,,,,,,,,,,,,,,,,,,,,,,,,,,,,,,,,,,,,,,,,,,,,,,,,,,,,,,,,,,,,,,,,,,,,,,,,,,,,,,,,,,,,,,,,,,,,,,,,,,,,,,,,,,,,,,,,,,,,,,,,,,,,,,,,,,,,,,,,,,,,,,,,,,,,,,,,,,,,,,,,,,,,,,,,,,,,,,,,,,,,,,,,,,,,,,,,,,,,,,,,,,,,,,,,,,,,,,,,,,,,,,,,,,,,,,,,,,,,,,,,,,,,,,,,,,,,,,,,,,,,,,,,,,,,,,,,,,,,,,,,,,,,,,,,,,,,,,,,,,,,,,,,,,,,,,,,,,,,,,,,,,,,,,,,,,,,,,,,,,,,,,,,,,,,,,,,,,,,,,,,,,,,,,,,,,,,,,,,,,,,,,,,,,,,,,,,,,,,,,,,,,,,,,,,,,,,,,,,,,,,,,,,,,,,,,,,,,,,,,,,,,,,,,,,,,,,,,,,,,,,,,,,,,,,,,,,,,,,,,,,,,,,,,,,,,,,,,,,,,,,,,,,,,,,,,,,,,,,,,,,,,,,,,,,,,,,,,,,,,,,,,,,,,,,,,,,,,,,,,,,,,,,,,,,,,,,,,,,,,,,,,,,,,,,,,,,,,,,,,,,,,,,,,,,,,,,,,,,,,,,,,,,,,,,,,,,,,,,,,,,,,,,,,,,,,,,,,,,,,,,,,,,,,,,,,,,,,,,,,,,,,,,,,,,,,,,,,,,,,,,,,,,,,,,,,,,,,,,,,,,,,,,,,,,,,,,,,,,,,,,,,,,,,,,,,,,,,,,,,,,,,,,,,,,,,,,,,,,,,,,,,,,,,,,,,,,,,,,,,,,,,,,,,,,,,,,,,,,,,,,,,,,,,,,,,,,,,,,,,,,,,,,,,,,,,,,,,,,,,,,,,,,,,,,,,,,,,,,,,,,,,,,,,,,,,,,,,,,,,,,,,,,,,,,,,,,,,,,,,,,,,,,,,,,,,,,,,,,,,,,,,,,,,,,,,,,,,,,,,,,,,,,,,,,,,,,,,,,,,,,,,,,,,,,,,,,,,,,,,,,,,,,,,,,,,,,,,,,,,,,,,,,,,,,,,,,,,,,,,,,,,,,,,,,,,,,,,,,,,,,,,,,,,,,,,,,,,,,,,,,,,,,,,,,,,,,,,,,,,,,,,,,,,,,,,,,,,,,,,,,,,,,,,,,,,,,,,,,,,,,,,,,,,,,,,,,,,,,,,,,,,,,,,,,,,,,,,,,,,,,,,,,,,,,,,,,,,,,,,,,,,,,,,,,,,,,,,,,,,,,,,,,,,,,,,,,,,,,,,,,,,,,,,,,,,,,,,,,,,,,,,,,,,,,,,,,,,,,,,,,,,,,,,,,,,,,,,,,,,,,,,,,,,,,,,,,,,,,,,,,,,,,,,,,,,,,,,,,,,,,,,,,,,,,,,,,,,,,,,,,,,,,,,,,,,,,,,,,,,,,,,,,,,,,,,,,,,,,,,,,,,,,,,,,,,,,,,,,,,,,,,,,,,,,,,,,,,,,,,,,,,,,,,,,,,,,,,,,,,,,,,,,,,,,,,,,,,,,,,,,,,,,,,,,,,,,,,,,,,,,,,,,,,,,,,,,,,,,,,,,,,,,,,,,,,,,,,,,,,,,,,,,,,,,,,,,,,,,,,,,,,,,,,,,,,,,,,,,,,,,,,,,,,,,,,,,,,,,,,,,,,,,,,,,,,,,,,,,,,,,,,,,,,,,,,,,,,,,,,,,,,,,,,,,,,,,,,,,,,,,,,,,,,,,,,,,,,,,,,,,,,,,,,,,,,,,,,,,,,,,,,,,,,,,,,,,,,,,,,,,,,,,,,,,,,,,,,,,,,,,,,,,,,,,,,,,,,,,,,,,,,,,,,,,,,,,,,,,,,,,,,,,,,,,,,,,,,,,,,,,,,,,,,,,,,,,,,,,,,,,,,,,,,,,,,,,,,,,,,,,,,,,,,,,,,,,,,,,,,,,,,,,,,,,,,,,,,,,,,,,,,,,,,,,,,,,,,,,,,,,,,,,,,,,,,,,,,,,,,,,,,,,,,,,,,,,,,,,,,,,,,,,,,,,,,,,,,,,,,,,,,,,,,,,,,,,,,,,,,,,,,,,,,,,,,,,,,,,,,,,,,,,,,,,,,,,,,,,,,,,,,,,,,,,,,,,,,,,,,,,,,,,,,,,,,,,,,,,,,,,,,,,,,,,,,,,,,,,,,,,,,,,,,,,,,,,,,,,,,,,,,,,,,,,,,,,,,,,,,,,,,,,,,,,,,,,,,,,,,,,,,,,,,,,,,,,,,,,,,,,,,,,,,,,,,,,,,,,,,,,,,,,,,,,,,,,,,,,,,,,,,,,,,,,,,,,,,,,,,,,,,,,,,,,,,,,,,,,,,,,,,,,,,,,,,,,,,,,,,,,,,,,,,,,,,,,,,,,,,,,,,,,,,,,,,,,,,,,,,,,,,,,,,,,,,,,,,,,,,,,,,,,,,,,,,,,,,,,,,,,,,,,,,,,,,,,,,,,,,,,,,,,,,,,,,,,,,,,,,,,,,,,,,,,,,,,,,,,,,,,,,,,,,,,,,,,,,,,,,,,,,,,,,,,,,,,,,,,,,,,,,,,,,,,,,,,,,,,,,,,,,,,,,,,,,,,,,,,,,,,,,,,,,,,,,,,,,,,,,,,,,,,,,,,,,,,,,,,,,,,,,,,,,,,,,,,,,,,,,,,,,,,,,,,,,,,,,,,,,,,,,,,,,,,,,,,,,,,,,,,,,,,,,,,,,,,,,,,,,,,,,,,,,,,,,,,,,,,,,,,,,,,,,,,,,,,,,,,,,,,,,,,,,,,,,,,,,,,,,,,,,,,,,,,,,,,,,,,,,,,,,,,,,,,,,,,,,,,,,,,,,,,,,,,,,,,,,,,,,,,,,,,,,,,,,,,,,,,,}",
                    "NameOfGroup": "Time.Headers",
                    "EquationToParse": "{NR23,NR23,NR23,NR28,NR28,NR28,NR28,NR28,NR33,NR33,NR33,,,,,,,,,,,,,,,,,,,,,,,,,,,,,,,,,,,,,,,,,,,,,,,,,,,,,,,,,,,,,,,,,,,,,,,,,,,,,,,,,,,,,,,,,,,,,,,,,,,,,,,,,,,,,,,,,,,,,,,,,,,,,,,,,,,,,,,,,,,,,,,,,,,,,,,,,,,,,,,,,,,,,,,,,,,,,,,,,,,,,,,,,,,,,,,,,,,,,,,,,,,,,,,,,,,,,,,,,,,,,,,,,,,,,,,,,,,,,,,,,,,,,,,,,,,,,,,,,,,,,,,,,,,,,,,,,,,,,,,,,,,,,,,,,,,,,,,,,,,,,,,,,,,,,,,,,,,,,,,,,,,,,,,,,,,,,,,,,,,,,,,,,,,,,,,,,,,,,,,,,,,,,,,,,,,,,,,,,,,,,,,,,,,,,,,,,,,,,,,,,,,,,,,,,,,,,,,,,,,,,,,,,,,,,,,,,,,,,,,,,,,,,,,,,,,,,,,,,,,,,,,,,,,,,,,,,,,,,,,,,,,,,,,,,,,,,,,,,,,,,,,,,,,,,,,,,,,,,,,,,,,,,,,,,,,,,,,,,,,,,,,,,,,,,,,,,,,,,,,,,,,,,,,,,,,,,,,,,,,,,,,,,,,,,,,,,,,,,,,,,,,,,,,,,,,,,,,,,,,,,,,,,,,,,,,,,,,,,,,,,,,,,,,,,,,,,,,,,,,,,,,,,,,,,,,,,,,,,,,,,,,,,,,,,,,,,,,,,,,,,,,,,,,,,,,,,,,,,,,,,,,,,,,,,,,,,,,,,,,,,,,,,,,,,,,,,,,,,,,,,,,,,,,,,,,,,,,,,,,,,,,,,,,,,,,,,,,,,,,,,,,,,,,,,,,,,,,,,,,,,,,,,,,,,,,,,,,,,,,,,,,,,,,,,,,,,,,,,,,,,,,,,,,,,,,,,,,,,,,,,,,,,,,,,,,,,,,,,,,,,,,,,,,,,,,,,,,,,,,,,,,,,,,,,,,,,,,,,,,,,,,,,,,,,,,,,,,,,,,,,,,,,,,,,,,,,,,,,,,,,,,,,,,,,,,,,,,,,,,,,,,,,,,,,,,,,,,,,,,,,,,,,,,,,,,,,,,,,,,,,,,,,,,,,,,,,,,,,,,,,,,,,,,,,,,,,,,,,,,,,,,,,,,,,,,,,,,,,,,,,,,,,,,,,,,,,,,,,,,,,,,,,,,,,,,,,,,,,,,,,,,,,,,,,,,,,,,,,,,,,,,,,,,,,,,,,,,,,,,,,,,,,,,,,,,,,,,,,,,,,,,,,,,,,,,,,,,,,,,,,,,,,,,,,,,,,,,,,,,,,,,,,,,,,,,,,,,,,,,,,,,,,,,,,,,,,,,,,,,,,,,,,,,,,,,,,,,,,,,,,,,,,,,,,,,,,,,,,,,,,,,,,,,,,,,,,,,,,,,,,,,,,,,,,,,,,,,,,,,,,,,,,,,,,,,,,,,,,,,,,,,,,,,,,,,,,,,,,,,,,,,,,,,,,,,,,,,,,,,,,,,,,,,,,,,,,,,,,,,,,,,,,,,,,,,,,,,,,,,,,,,,,,,,,,,,,,,,,,,,,,,,,,,,,,,,,,,,,,,,,,,,,,,,,,,,,,,,,,,,,,,,,,,,,,,,,,,,,,,,,,,,,,,,,,,,,,,,,,,,,,,,,,,,,,,,,,,,,,,,,,,,,,,,,,,,,,,,,,,,,,,,,,,,,,,,,,,,,,,,,,,,,,,,,,,,,,,,,,,,,,,,,,,,,,,,,,,,,,,,,,,,,,,,,,,,,,,,,,,,,,,,,,,,,,,,,,,,,,,,,,,,,,,,,,,,,,,,,,,,,,,,,,,,,,,,,,,,,,,,,,,,,,,,,,,,,,,,,,,,,,,,,,,,,,,,,,,,,,,,,,,,,,,,,,,,,,,,,,,,,,,,,,,,,,,,,,,,,,,,,,,,,,,,,,,,,,,,,,,,,,,,,,,,,,,,,,,,,,,,,,,,,,,,,,,,,,,,,,,,,,,,,,,,,,,,,,,,,,,,,,,,,,,,,,,,,,,,,,,,,,,,,,,,,,,,,,,,,,,,,,,,,,,,,,,,,,,,,,,,,,,,,,,,,,,,,,,,,,,,,,,,,,,,,,,,,,,,,,,,,,,,,,,,,,,,,,,,,,,,,,,,,,,,,,,,,,,,,,,,,,,,,,,,,,,,,,,,,,,,,,,,,,,,,,,,,,,,,,,,,,,,,,,,,,,,,,,,,,,,,,,,,,,,,,,,,,,,,,,,,,,,,,,,,,,,,,,,,,,,,,,,,,,,,,,,,,,,,,,,,,,,,,,,,,,,,,,,,,,,,,,,,,,,,,,,,,,,,,,,,,,,,,,,,,,,,,,,,,,,,,,,,,,,,,,,,,,,,,,,,,,,,,,,,,,,,,,,,,,,,,,,,,,,,,,,,,,,,,,,,,,,,,,,,,,,,,,,,,,,,,,,,,,,,,,,,,,,,,,,,,,,,,,,,,,,,,,,,,,,,,,,,,,,,,,,,,,,,,,,,,,,,,,,,,,,,,,,,,,,,,,,,,,,,,,,,,,,,,,,,,,,,,,,,,,,,,,,,,,,,,,,,,,,,,,,,,,,,,,,,,,,,,,,,,,,,,,,,,,,,,,,,,,,,,,,,,,,,,,,,,,,,,,,,,,,,,,,,,,,,,,,,,,,,,,,,,,,,,,,,,,,,,,,,,,,,,,,,,,,,,,,,,,,,,,,,,,,,,,,,,,,,,,,,,,,,,,,,,,,,,,,,,,,,,,,,,,,,,,,,,,,,,,,,,,,,,,,,,,,,,,,,,,,,,,,,,,,,,,,,,,,,,,,,,,,,,,,,,,,,,,,,,,,,,,,,,,,,,,,,,,,,,,,,,,,,,,,,,,,,,,,,,,,,,,,,,,,,,,,,,,,,,,,,,,,,,,,,,,,,,,,,,,,,,,,,,,,,,,,,,,,,,,,,,,,,,,,,,,,,,,,,,,,,,,,,,,,,,,,,,,,,,,,,,,,,,,,,,,,,,,,,,,,,,,,,,,,,,,,,,,,,,,,,,,,,,,,,,,,,,,,,,,,,,,,,,,,,,,,,,,,,,,,,,,,,,,,,,,,,,,,,,,,,,,,,,,,,,,,,,,,,,,,,,,,,,,,,,,,,,,,,,,,,,,,,,,,,,,,,,,,,,,,,,,,,,,,,,,,,,,,,,,,,,,,,,,,,,,,,,,,,,,,,,,,,,,,,,,,,,,,,,,,,,,,,,,,,,,,,,,,,,,,,,,,,,,,,,,,,,,,,,,,,,,,,,,,,,,,,,,,,,,,,,,,,,,,,,,,,,,,,,,,,,,,,,,,,,,,,,,,,,,,,,,,,,,,,,,,,,,,,,,,,,,,,,,,,,,,,,,,,,,,,,,,,,,,,,,,,,,,,,,,,,,,,,,,,,,,,,,,,,,,,,,,,,,,,,,,,,,,,,,,,,,,,,,,,,,,,,,,,,,,,,,,,,,,,,,,,,,,,,,,,,,,,,,,,,,,,,,,,,,,,,,,,,,,,,,,,,,,,,,,,,,,,,,,,,,,,,,,,,,,,,,,,,,,,,,,,,,,,,,,,,,,,,,,,,,,,,,,,,,,,,,,,,,,,,,,,,,,,,,,,,,,,,,,,,,,,,,,,,,,,,,,,,,,,,,,,,,,,,,,,,,,,,,,,,,,,,,,,,,,,,,,,,,,,,,,,,,,,,,,,,,,,,,,,,,,,,,,,,,,,,,,,,,,,,,,,,,,,,,,,,,,,,,,,,,,,,,,,,,,,,,,,,,,,,,,,,,,,,,,,,,,,,,,,,,,,,,,,,,,,,,,,,,,,,,,,,,,,,,,,,,,,,,,,,,,,,,,,,,,,,,,,,,,,,,,,,,,,,,,,,,,,,,,,,,,,,,,,,,,,,,,,,,,,,,,,,,,,,,,,,,,,,,,,,,,,,,,,,,,,,,,,,,,,,,,,,,,,,,,,,,,,,,,,,,,,,,,,,,,,,,,,,,,,,,,,,,,,,,,,,,,,,,,,,,,,,,,,,,,,,,,,,,,,,,,,,,,,,,,,,,,,,,,,,,,,,,,,,,,,,,,,,,,,,,,,,,,,,,,,,,,,,,,,,,,,,,,,,,,,,,,,,,,,,,,,,,,,,,,,,,,,,,,,,,,,,,,,,,,,,,,,,,,,,,,,,,,,,,,,,,,,,,,,,,,,,,,,,,,,,,,,,,,,,,,,,,,,,,,,,,,,,,,,,,,,,,,,,,,,,,,,,,,,,,,,,,,,,,,,,,,,,,,,,,,,,,,,,,,,,,,,,,,,,,,,,,,,,,,,,,,,,,,,,,,,,,,,,,,,,,,,,,,,,,,,,,,,,,,,,,,,,,,,,,,,,,,,,,,,,,,,,,,,,,,,,,,,,,,,,,,,,,,,,,,,,,,,,,,,,,,,,,,,,,,,,,,,,,,,,,,,,,,,,,,,,,,,,,,,,,,,,,,,,,,,,,,,,,,,,,,,,,,,,,,,,,,,,,,,,,,,,,,,,,,,,,,,,,,,,,,,,,,,,,,,,,,,,,,,,,,,,,,,,,,,,,,,,,,,,,,,,,,,,,,,,,,,,,,,,,,,,,,,,,,,,,,,,,,,,,,,,,,,,,,,,,,,,,,,,,,,,,,,,,,,,,,,,,,,,,,,,,,,,,,,,,,,,,,,,,,,,,,,,,,,,,,,,,,,,,,,,,,,,,,,,,,,,,,,,,,,,,,,,,,,,,,,,,,,,,,,,,,,,,,,,,,,,,,,,,,,,,,,,,,,,,,,,,,,,,,,,,,,,,,,,,,,,,,,,,,,,,,,,,,,,,,,,,,,,,,,,,,,,,,,,,,,,,,,,,,,,,,,,,,,,,,,,,,,,,,,,,,,,,,,,,,,,,,,,,,,,,,,,,,,,,,,,,,,,,,,,,,,,,,,,,,,,,,,,,,,,,,,,,,,,,,,,,,,,,,,,,,,,,,,,,,,,,,,,,,,,,,,,,,,,,,,,,,,,,,,,,,,,,,,,,,,,,,,,,,,,,,,,,,,,,,,,,,,,,,,,,,,,,,,,,,,,,,,,,,,,,,,,,,,,,,,,,,,,,,,,,,,,,,,,,,,,,,,,,,,,,,,,,,,,,,,,,,,,,,,,,,,,,,,,,,,,,,,,,,,,,,,,,,,,,,,,,,,,,,,,,,,,,,,,,,,,,,,,,,,,,,,,,,,,,,,,,,,,,,,,,,,,,,,,,,,,,,,,,,,,,,,,,,,,,,,,,,,,,,,,,,,,,,,,,,,,,,,,,,,,,,,,,,,,,,,,,,,,,,,,,,,,,,,,,,,,,,,,,,,,,,,,,,,,,,,,,,,,,,,,,,,,,,,,,,,,,,,,,,,,,,,,,,,,,,,,,,,,,,,,,,,,,,,,,,,,,,,,,,,,,,,,,,,,,,,,,,,,,,,,,,,,,,,,,,,,,,,,,,,,,,,,,,,,,,,,,,,,,,,,,,,,,,,,,,,,,,,,,,,,,,,,,,,,,,,,,,,,,,,,,,,,,,,,,,,,,,,,,,,,,,,,,,,,,,,,,,,,,,,,,,,,,,,,,,,,,,,,,,,,,,,,,,,,,,,,,,,,,,,,,,,,,,,,,,,,,,,,,,,,,,,,,,,,,,,,,,,,,,,,,,,,,,,,,,,,,,,,,,,,,,,,,,,,,,,,,,,,,,,,,,,,,,,,,,,,,,,,,,,,,,,,,,,,,,,,,,,,,,,,,,,,,,,,,,,,,,,,,,,,,,,,,,,,,,,,,,,,,,,,,,,,,,,,,,,,,,,,,,,,,,,,,,,,,,,,,,,,,,,,,,,,,,,,,,,,,,,,,,,,,,,,,,,,,,,,,,,,,,,,,,,,,,,,,,,,,,,,,,,,,,,,,,,,,,,,,,,,,,,,,,,,,,,,,,,,,,,,,,,,,,,,,,,,,,,,,,,,,,,,,,,,,,,,,,,,,,,,,,,,,,,,,,,,,,,,,,,,,,,,,,,,,,,,,,,,,,,,,,,,,,,,,,,,,,,,,,,,,,,,,,,,,,,,,,,,,,,,,,,,,,,,,,,,,,,,,,,,,,,,,,,,,,,,,,,,,,,,,,,,,,,,,,,,,,,,,,,,,,,,,,,,,,,,,,,,,,,,,,,,,,,,,,,,,,,,,,,,,,,,,,,,,,,,,,,,,,,,,,,,,,,,,,,,,,,,,,,,,,,,,,,,,,,,,,,,,,,,,,,,,,,,,,,,,,,,,,,,,,,,,,,,,,,,,,,,,,,,,,,,,,,,,,,,,,,,,,,,,,,,,,,,,,,,,,,,,,,,,,,,,,,,,,,,,,,,,,,,,,,,,,,,,,,,,,,,,,,,,,,,,,,,,,,,,,,,,,,,,,,,,,,,,,,,,,,,,,,,,,,,,,,,,,,,,,,,,,,,,,,,,,,,,,,,,,,,,,,,,,,,,,,,,,,,,,,,,,,,,,,,,,,,,,,,,,,,,,,,,,,,,,,,,,,,,,,,,,,,,,,,,,,,,,,,,,,,,,,,,,,,,,,,,,,,,,,,,,,,,,,,,,,,,,,,,,,,,,,,,,,,,,,,,,,,,,,,,,,,,,,,,,,,,,,,,,,,,,,,,,,,,,,,,,,,,,,,,,,,,,,,,,,,,,,,,,,,,,,,,,,,,,,,,,,,,,,,,,,,,,,,,,,,,,,,,,,,,,,,,,,,,,,,,,,,,,,,,,,,,,,,,,,,,,,,,,,,,,,,,,,,,,,,,,,,,,,,,,,,,,,,,,,,,,,,,,,,,,,,,,,,,,,,,,,,,,,,,,,,,,,,,,,,,,,,,,,,,,,,,,,,,,,,,,,,,,,,,,,,,,,,,,,,,,,,,,,,,,,,,,,,,,,,,,,,,,,,,,,,,,,,,,,,,,,,,,,,,,,,,,,,,,,,,,,,,,,,,,,,,,,,,,,,,,,,,,,,,,,,,,,,,,,,,,,,,,,,,,,,,,,,,,,,,,,,,,,,,,,,,,,,,,,,,,,,,,,,,,,,,,,,,,,,,,,,,,,,,,,,,,,,,,,,,,,,,,,,,,,,,,,,,,,,,,,,,,,,,,,,,,,,,,,,,,,,,,,,,,,,,,,,,,,,,,,,,,,,,,,,,,,,,,,,,,,,,,,,,,,,,,,,,,,,,,,,,,,,,,,,,,,,,,,,,,,,,,,,,,,,,,,,,,,,,,,,,,,,,,,,,,,,,,,,,,,,,,,,,,,,,,,,,,,,,,,,,,,,,,,,,,,,,,,,,,,,,,,,,,,,,,,,,,,,,,,,,,,,,,,,,,,,,,,,,,,,,,,,,,,,,,,,,,,,,,,,,,,,,,,,,,,,,,,,,,,,,,,,,,,,,,,,,,,,,,,,,,,,,,,,,,,,,,,,,,,,,,,,,,,,,,,,,,,,,,,,,,,,,,,,,,,,,,,,,,,,,,,,,,,,,,,,,,,,,,,,,,,,,,,,,,,,,,,,,,,,,,,,,,,,,,,,,,,,,,,,,,,,,,,,,,,,,,,,,,,,,,,,,,,,,,,,,,,,,,,,,,,,,,,,,,,,,,,,,,,,,,,,,,,,,,,,,,,,,,,,,,,,,,,,,,,,,,,,,,,,,,,,,,,,,,,,,,,,,,,,,,,,,,,,,,,,,,,,,,,,,,,,,,,,,,,,,,,,,,,,,,,,,,,,,,,,,,,,,,,,,,,,,,,,,,,,,,,,,,,,,,,,,,,,,,,,,,,,,,,,,,,,,,,,,,,,,,,,,,,,,,,,,,,,,,,,,,,,,,,,,,,,,,,,,,,,,,,,,,,,,,,,,,,,,,,,,,,,,,,,,,,,,,,,,,,,,,,,,,,,,,,,,,,,,,,,,,,,,,,,,,,,,,,,,,,,,,,,,,,,,,,,,,,,,,,,,,,,,,,,,,,,,,,,,,,,,,,,,,,,,,,,,,,,,,,,,,,,,,,,,,,,,,,,,,,,,,,,,,,,,,,,,,,,,,,,,,,,,,,,,,,,,,,,,,,,,,,,,,,,,,,,,,,,,,,,,,,,,,,,,,,,,,,,,,,,,,,,,,,,,,,,,,,,,,,,,,,,,,,,,,,,,,,,,,,,,,,,,,,,,,,,,,,,,,,,,,,,,,,,,,,,,,,,,,,,,,,,,,,,,,,,,,,,,,,,,,,,,,,,,,,,,,,,,,,,,,,,,,,,,,,,,,,,,,,,,,,,,,,,,,,,,,,,,,,,,,,,,,,,,,,,,,,,,,,,,,,,,,,,,,,,,,,,,,,,,,,,,,,,,,,,,,,,,,,,,,,,,,,,,,,,,,,,,,,,,,,,,,,,,,,,,,,,,,,,,,,,,,,,,,,,,,,,,,,,,,,,,,,,,,,,,,,,,,,,,,,,,,,,,,,,,,,,,,,,,,,,,,,,,,,,,,,,,,,,,,,,,,,,,,,,,,,,,,,,,,,,,,,,,,,,,,,,,,,,,,,,,,,,,,,,,,,,,,,,,,,,,,,,,,,,,,,,,,,,,,,,,,,,,,,,,,,,,,,,,,,,,,,,,,,,,,,,,,,,,,,,,,,,,,,,,,,,,,,,,,,,,,,,,,,,,,,,,,,,,,,,,,,,,,,,,,,,,,,,,,,,,,,,,,,,,,,,,,,,,,,,,,,,,,,,,,,,,,,,,,,,,,,,,,,,,,,,,,,,,,,,,,,,,,,,,,,,,,,,,,,,,,,,,,,,,,,,,,,,,,,,,,,,,,,,,,,,,,,,,,,,,,,,,,,,,,,,,,,,,,,,,,,,,,,,,,,,,,,,,,,,,,,,,,,,,,,,,,,,,,,,,,,,,,,,,,,,,,,,,,,,,,,,,,,,,,,,,,,,,,,,,,,,,,,,,,,,,,,,,,,,,,,,,,,,,,,,,,,,,,,,,,,,,,,,,,,,,,,,,,,,,,,,,,,,,,,,,,,,,,,,,,,,,,,,,,,,,,,,,,,,,,,,,,,,,,,,,,,,,,,,,,,,,,,,,,,,,,,,,,,,,,,,,,,,,,,,,,,,,,,,,,,,,,,,,,,,,,,,,,,,,,,,,,,,,,,,,,,,,,,,,,,,,,,,,,,,,,,,,,,,,,,,,,,,,,,,,,,,,,,,,,,,,,,,,,,,,,,,,,,,,,,,,,,,,,,,,,,,,,,,,,,,,,,,,,,,,,,,,,,,,,,,,,,,,,,,,,,,,,,,,,,,,,,,,,,,,,,,,,,,,,,,,,,,,,,,,,,,,,,,,,,,,,,,,,,,,,,,,,,,,,,,,,,,,,,,,,,,,,,,,,,,,,,,,,,,,,,,,,,,,,,,,,,,,,,,,,,,,,,,,,,,,,,,,,,,,,,,,,,,,,,,,,,,,,,,,,,,,,,,,,,,,,,,,,,,,,,,,,,,,,,,,,,,,,,,,,,,,,,,,,,,,,,,,,,,,,,,,,,,,,,,,,,,,,,,,,,,,,,,,,,,,,,,,,,,,,,,,,,,,,,,,,,,,,,,,,,,,,,,,,,,,,,,,,,,,,,,,,,,,,,,,,,,,,,,,,,,,,,,,,,,,,,,,,,,,,,,,,,,,,,,,,,,,,,,,,,,,,,,,,,,,,,,,,,,,,,,,,,,,,,,,,,,,,,,,,,,,,,,,,,,,,,,,,,,,,,,,,,,,,,,,,,,,,,,,,,,,,,,,,,,,,,,,,,,,,,,,,,,,,,,,,,,,,,,,,,,,,,,,,,,,,,,,,,,,,,,,,,,,,,,,,,,,,,,,,,,,,,,,,,,,,,,,,,,,,,,,,,,,,,,,,,,,,,,,,,,,,,,,,,,,,,,,,,,,,,,,,,,,,,,,,,,,,,,,,,,,,,,,,,,,,,,,,,,,,,,,,,,,,,,,,,,,,,,,,,,,,,,,,,,,,,,,,,,,,,,,,,,,,,,,,,,,,,,,,,,,,,,,,,,,,,,,,,,,,,,,,,,,,,,,,,,,,,,,,,,,,,,,,,,,,,,,,,,,,,,,,,,,,,,,,,,,,,,,,,,,,,,,,,,,,,,,,,,,,,,,,,,,,,,,,,,,,,,,,,,,,,,,,,,,,,,,,,,,,,,,,,,,,,,,,,,,,,,,,,,,,,,,,,,,,,,,,,,,,,,,,,,,,,,,,,,,,,,,,,,,,,,,,,,,,,,,,,,,,,,,,,,,,,,,,,,,,,,,,,,,,,,,,,,,,,,,,,,,,,,,,,,,,,,,,,,,,,,,,,,,,,,,,,,,,,,,,,,,,,,,,,,,,,,,,,,,,,,,,,,,,,,,,,,,,,,,,,,,,,,,,,,,,,,,,,,,,,,,,,,,,,,,,,,,,,,,,,,,,,,,,,,,,,,,,,,,,,,,,,,,,,,,,,,,,,,,,,,,,,,,,,,,,,,,,,,,,,,,,,,,,,,,,,,,,,,,,,,,,,,,,,,,,,,,,,,,,,,,,,,,,,,,,,,,,,,,,,,,,,,,,,,,,,,,,,,,,,,,,,,,,,,,,,,,,,,,,,,,,,,,,,,,,,,,,,,,,,,,,,,,,,,,,,,,,,,,,,,,,,,,,,,,,,,,,,,,,,,,,,,,,,,,,,,,,,,,,,,,,,,,,,,,,,,,,,,,,,,,,,,,,,,,,,,,,,,,,,,,,,,,,,,,,,,,,,,,,,,,,,,,,,,,,,,,,,,,,,,,,,,,,,,,,,,,,,,,,,,,,,,,,,,,,,,,,,,,,,,,,,,,,,,,,,,,,,,,,,,,,,,,,,,,,,,,,,,,,,,,,,,,,,,,,,,,,,,,,,,,,,,,,,,,,,,,,,,,,,,,,,,,,,,,,,,,,,,,,,,,,,,,,,,,,,,,,,,,,,,,,,,,,,,,,,,,,,,,,,,,,,,,,,,,,,,,,,,,,,,,,,,,,,,,,,,,,,,,,,,,,,,,,,,,,,,,,,,,,,,,,,,,,,,,,,,,,,,,,,,,,,,,,,,,,,,,,,,,,,,,,,,,,,,,,,,,,,,,,,,,,,,,,,,,,,,,,,,,,,,,,,,,,,,,,,,,,,,,,,,,,,,,,,,,,,,,,,,,,,,,,,,,,,,,,,,,,,,,,,,,,,,,,,,,,,,,,,,,,,,,,,,,,,,,,,,,,,,,,,,,,,,,,,,,,,,,,,,,,,,,,,,,,,,,,,,,,,,,,,,,,,,,,,,,,,,,,,,,,,,,,,,,,,,,,,,,,,,,,,,,,,,,,,,,,,,,,,,,,,,,,,,,,,,,,,,,,,,,,,,,,,,,,,,,,,,,,,,,,,,,,,,,,,,,,,,,,,,,,,,,,,,,,,,,,,,,,,,,,,,,,,,,,,,,,,,,,,,,,,,,,,,,,,,,,,,,,,,,,,,,,,,,,,,,,,,,,,,,,,,,,,,,,,,,,,,,,,,,,,,,,,,,,,,,,,,,,,,,,,,,,,,,,,,,,,,,,,,,,,,,,,,,,,,,,,,,,,,,,,,,,,,,,,,,,,,,,,,,,,,,,,,,,,,,,,,,,,,,,,,,,,,,,,,,,,,,,,,,,,,,,,,,,,,,,,,,,,,,,,,,,,,,,,,,,,,,,,,,,,,,,,,,,,,,,,,,,,,,,,,,,,,,,,,,,,,,,,,,,,,,,,,,,,,,,,,,,,,,,,,,,,,,,,,,,,,,,,,,,,,,,,,,,,,,,,,,,,,,,,,,,,,,,,,,,,,,,,,,,,,,,,,,,,,,,,,,,,,,,,,,,,,,,,,,,,,,,,,,,,,,,,,,,,,,,,,,,,,,,,,,,,,,,,,,,,,,,,,,,,,,,,,,,,,,,,,,,,,,,,,,,,,,,,,,,,,,,,,,,,,,,,,,,,,,,,,,,,,,,,,,,,,,,,,,,,,,,,,,,,,,,,,,,,,,,,,,,,,,,,,,,,,,,,,,,,,,,,,,,,,,,,,,,,,,,,,,,,,,,,,,,,,,,,,,,,,,,,,,,,,,,,,,,,,,,,,,,,,,,,,,,,,,,,,,,,,,,,,,,,,,,,,,,,,,,,,,,,,,,,,,,,,,,,,,,,,,,,,,,,,,,,,,,,,,,,,,,,,,,,,,,,,,,,,,,,,,,,,,,,,,,,,,,,,,,,,,,,,,,,,,,,,,,,,,,,,,,,,,,,,,,,,,,,,,,,,,,,,,,,,,,,,,,,,,,,,,,,,,,,,,,,,,,,,,,,,,,,,,,,,,,,,,,,,,,,,,,,,,,,,,,,,,,,,,,,,,,,,,,,,,,,,,,,,,,,,,,,,,,,,,,,,,,,,,,,,,,,,,,,,,,,,,,,,,,,,,,,,,,,,,,,,,,,,,,,,,,,,,,,,,,,,,,,,,,,,,,,,,,,,,,,,,,,,,,,,,,,,,,,,,,,,,,,,,,,,,,,,,,,,,,,,,,,,,,,,,,,,,,,,,,,,,,,,,,,,,,,,,,,,,,,,,,,,,,,,,,,,,,,,,,,,,,,,,,,,,,,,,,,,,,,,,,,,,,,,,,,,,,,,,,,,,,,,,,,,,,,,,,,,,,,,,,,,,,,,,,,,,,,,,,,,,,,,,,,,,,,,,,,,,,,,,,,,,,,,,,,,,,,,,,,,,,,,,,,,,,,,,,,,,,,,,,,,,,,,,,,,,,,,,,,,,,,,,,,,,,,,,,,,,,,,,,,,,,,,,,,,,,,,,,,,,,,,,,,,,,,,,,,,,,,,,,,,,,,,,,,,,,,,,,,,,,,,,,,,,,,,,,,,,,,,,,,,,,,,,,,,,,,,,,,,,,,,,,,,,,,,,,,,,,,,,,,,,,,,,,,,,,,,,,,,,,,,,,,,,,,,,,,,,,,,,,,,,,,,,,,,,,,,,,,,,,,,,,,,,,,,,,,,,,,,,,,,,,,,,,,,,,,,,,,,,,,,,,,,,,,,,,,,,,,,,,,,,,,,,,,,,,,,,,,,,,,,,,,,,,,,,,,,,,,,,,,,,,,,,,,,,,,,,,,,,,,,,,,,,,,,,,,,,,,,,,,,,,,,,,,,,,,,,,,,,,,,,,,,,,,,,,,,,,,,,,,,,,,,,,,,,,,,,,,,,,,,,,,,,,,,,,,,,,,,,,,,,,,,,,,,,,,,,,,,,,,,,,,,,,,,,,,,,,,,,,,,,,,,,,,,,,,,,,,,,,,,,,,,,,,,,,,,,,,,,,,,,,,,,,,,,,,,,,,,,,,,,,,,,,,,,,,,,,,,,,,,,,,,,,,,,,,,,,,,,,,,,,,,,,,,,,,,,,,,,,,,,,,,,,,,,,,,,,,,,,,,,,,,,,,,,,,,,,,,,,,,,,,,,,,,,,,,,,,,,,,,,,,,,,,,,,,,,,,,,,,,,,,,,,,,,,,,,,,,,,,,,,,,,,,,,,,,,,,,,,,,,,,,,,,,,,,,,,,,,,,,,,,,,,,,,,,,,,,,,,,,,,,,,,,,,,,,,,,,,,,,,,,,,,,,,,,,,,,,,,,,,,,,,,,,,,,,,,,,,,,,,,,,,,,,,,,,,,,,,,,,,,,,,,,,,,,,,,,,,,,,,,,,,,,,,,,,,,,,,,,,,,,,,,,,,,,,,,,,,,,,,,,,,,,,,,,,,,,,,,,,,,,,,,,,,,,,,,,,,,,,,,,,,,,,,,,,,,,,,,,,,,,,,,,,,,,,,,,,,,,,,,,,,,,,,,,,,,,,,,,,,,,,,,,,,,,,,,,,,,,,,,,,,,,,,,,,,,,,,,,,,,,,,,,,,,,,,,,,,,,,,,,,,,,,,,,,,,,,,,,,,,,,,,,,,,,,,,,,,,,,,,,,,,,,,,,,,,,,,,,,,,,,,,,,,,,,,,,,,,,,,,,,,,,,,,,,,,,,,,,,,,,,,,,,,,,,,,,,,,,,,,,,,,,,,,,,,,,,,,,,,,,,,,,,,,,,,,,,,,,,,,,,,,,,,,,,,,,,,,,,,,,,,,,,,,,,,,,,,,,,,,,,,,,,,,,,,,,,,,,,,,,,,,,,,,,,,,,,,,,,,,,,,,,,,,,,,,,,,,,,,,,,,,,,,,,,,,,,,,,,,,,,,,,,,,,,,,,,,,,,,,,,,,,,,,,,,,,,,,,,,,,,,,,,,,,,,,,,,,,,,,,,,,,,,,,,,,,,,,,,,,,,,,,,,,,,,,,,,,,,,,,,,,,,,,,,,,,,,,,,,,,,,,,,,,,,,,,,,,,,,,,,,,,,,,,,,,,,,,,,,,,,,,,,,,,,,,,,,,,,,,,,,,,,,,,,,,,,,,,,,,,,,,,,,,,,,,,,,,,,,,,,,,,,,,,,,,,,,,,,,,,,,,,,,,,,,,,,,,,,,,,,,,,,,,,,,,,,,,,,,,,,,,,,,,,,,,,,,,,,,,,,,,,,,,,,,,,,,,,,,,,,,,,,,,,,,,,,,,,,,,,,,,,,,,,,,,,,,,,,,,,,,,,,,,,,,,,,,,,,,,,,,,,,,,,,,,,,,,,,,,,,,,,,,,,,,,,,,,,,,,,,,,,,,,,,,,,,,,,,,,,,,,,,,,,,,,,,,,,,,,,,,,,,,,,,,,,,,,,,,,,,,,,,,,,,,,,,,,,,,,,,,,,,,,,,,,,,,,,,,,,,,,,,,,,,,,,,,,,,,,,,,,,,,,,,,,,,,,,,,,,,,,,,,,,,,,,,,,,,,,,,,,,,,,,,,,,,,,,,,,,,,,,,,,,,,,,,,,,,,,,,,,,,,,,,,,,,,,,,,,,,,,,,,,,,,,,,,,,,,,,,,,,,,,,,,,,,,,,,,,,,,,,,,,,,,,,,,,,,,,,,,,,,,,,,,,,,,,,,,,,,,,,,,,,,,,,,,,,,,,,,,,,,,,,,,,,,,,,,,,,,,,,,,,,,,,,,,,,,,,,,,,,,,,,,,,,,,,,,,,,,,,,,,,,,,,,,,,,,,,,,,,,,,,,,,,,,,,,,,,,,,,,,,,,,,,,,,,,,,,,,,,,,,,,,,,,,,,,,,,,,,,,,,,,,,,,,,,,,,,,,,,,,,,,,,,,,,,,,,,,,,,,,,,,,,,,,,,,,,,,,,,,,,,,,,,,,,,,,,,,,,,,,,,,,,,,,,,,,,,,,,,,,,,,,,,,,,,,,,,,,,,,,,,,,,,,,,,,,,,,,,,,,,,,,,,,,,,,,,,,,,,,,,,,,,,,,,,,,,,,,,,,,,,,,,,,,,,,,,,,,,,,,,,,,,,,,,,,,,,,,,,,,,,,,,,,,,,,,,,,,,,,,,,,,,,,,,,,,,,,,,,,,,,,,,,,,,,,,,,,,,,,,,,,,,,,,,,,,,,,,,,,,,,,,,,,,,,,,,,,,,,,,,,,,,,,,,,,,,,,,,,,,,,,,,,,,,,,,,,,,,,,,,,,,,,,,,,,,,,,,,,,,,,,,,,,,,,,,,,,,,,,,,,,,,,,,,,,,,,,,,,,,,,,,,,,,,,,,,,,,,,,,,,,,,,,,,,,,,,,,,,,,,,,,,,,,,,,,,,,,,,,,,,,,,,,,,,,,,,,,,,,,,,,,,,,,,,,,,,,,,,,,,,,,,,,,,,,,,,,,,,,,,,,,,,,,,,,,,,,,,,,,,,,,,,,,,,,,,,,,,,,,,,,,,,,,,,,,,,,,,,,,,,,,,,,,,,,,,,,,,,,,,,,,,,,,,,,,,,,,,,,,,,,,,,,,,,,,,,,,,,,,,,,,,,,,,,,,,,,,,,,,,,,,,,,,,,,,,,,,,,,,,,,,,,,,,,,,,,,,,,,,,,,,,,,,,,,,,,,,,,,,,,,,,,,,,,,,,,,,,,,,,,,,,,,,,,,,,,,,,,,,,,,,,,,,,,,,,,,,,,,,,,,,,,,,,,,,,,,,,,,,,,,,,,,,,,,,,,,,,,,,,,,,,,,,,,,,,,,,,,,,,,,,,,,,,,,,,,,,,,,,,,,,,,,,,,,,,,,,,,,,,,,,,,,,,,,,,,,,,,,,,,,,,,,,,,,,,,,,,,,,,,,,,,,,,,,,,,,,,,,,,,,,,,,,,,,,,,,,,,,,,,,,,,,,,,,,,,,,,,,,,,,,,,,,,,,,,,,,,,,,,,,,,,,,,,,,,,,,,,,,,,,,,,,,,,,,,,,,,,,,,,,,,,,,,,,,,,,,,,,,,,,,,,,,,,,,,,,,,,,,,,,,,,,,,,,,,,,,,,,,,,,,,,,,,,,,,,,,,,,,,,,,,,,,,,,,,,,,,,,,,,,,,,,,,,,,,,,,,,,,,,,,,,,,,,,,,,,,,,,,,,,,,,,,,,,,,,,,,,,,,,,,,,,,,,,,,,,,,,,,,,,,,,,,,,,,,,,,,,,,,,,,,,,,,,,,,,,,,,,,,,,,,,,,,,,,,,,,,,,,,,,,,,,,,,,,,,,,,,,,,,,,,,,,,,,,,,,,,,,,,,,,,,,,,,,,,,,,,,,,,,,,,,,,,,,,,,,,,,,,,,,,,,,,,,,,,,,,,,,,,,,,,,,,,,,,,,,,,,,,,,,,,,,,,,,,,,,,,,,,,,,,,,,,,,,,,,,,,,,,,,,,,,,,,,,,,,,,,,,,,,,,,,,,,,,,,,,,,,,,,,,,,,,,,,,,,,,,,,,,,,,,,,,,,,,,,,,,,,,,,,,,,,,,,,,,,,,,,,,,,,,,,,,,,,,,,,,,,,,,,,,,,,,,,,,,,,,,,,,,,,,,,,,,,,,,,,,,,,,,,,,,,,,,,,,,,,,,,,,,,,,,,,,,,,,,,,,,,,,,,,,,,,,,,,,,,,,,,,,,,,,,,,,,,,,,,,,,,,,,,,,,,,,,,,,,,,,,,,,,,,,,,,,,,,,,,,,,,,,,,,,,,,,,,,,,,,,,,,,,,,,,,,,,,,,,,,,,,,,,,,,,,,,,,,,,,,,,,,,,,,,,,,,,,,,,,,,,,,,,,,,,,,,,,,,,,,,,,,,,,,,,,,,,,,,,,,,,,,,,,,,,,,,,,,,,,,,,,,,,,,,,,,,,,,,,,,,,,,,,,,,,,,,,,,,,,,,,,,,,,,,,,,,,,,,,,,,,,,,,,,,,,,,,,,,,,,,,,,,,,,,,,,,,,,,,,,,,,,,,,,,,,,,,,,,,,,,,,,,,,,,,,,,,,,,,,,,,,,,,,,,,,,,,,,,,,,,,,,,,,,,,,,,,,,,,,,,,,,,,,,,,,,,,,,,,,,,,,,,,,,,,,,,,,,,,,,,,,,,,,,,,,,,,,,,,,,,,,,,,,,,,,,,,,,,,,,,,,,,,,,,,,,,,,,,,,,,,,,,,,,,,,,,,,,,,,,,,,,,,,,,,,,,,,,,,,,,,,,,,,,,,,,,,,,,,,,,,,,,,,,,,,,,,,,,,,,,,,,,,,,,,,,,,,,,,,,,,,,,,,,,,,,,,,,,,,,,,,,,,,,,,,,,,,,,,,,,,,,,,,,,,,,,,,,,,,,,,,,,,,,,,,,,,,,,,,,,,,,,,,,,,}",
                    "MostRecentExpectedUnitErrors": null,
                    "Units": {
                      "$ref": "22"
                    },
                    "Name": "Timeline label",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18",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false,
                    "Comment": "",
                    "HasSwitchSignLine": false,
                    "SwitchSignForReport": false,
                    "MultipleInputValues": null,
                    "NonPrimaryInput": false,
                    "Max": "NaN",
                    "Min": "NaN",
                    "IsBalanceButNotCorkscrew": false,
                    "IsEditable": true,
                    "IsConstant": false,
                    "UniqueID": "ebfa3275-6dd6-4a8b-bfff-0bcab2c160f3",
                    "Dimensions": {
                      "$type": "ModelMakerEngine.MMDimensions, ModelMakerEngine",
                      "$values": []
                    },
                    "EquationOBXInternal": "EDATE([Model period start], [Months per period]) - 1",
                    "NameOfGroup": "Time.Headers",
                    "EquationToParse": "EDATE([Model period start], [Months per period]) - 1",
                    "MostRecentExpectedUnitErrors": null,
                    "Units": {
                      "$id": "319",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Model period end",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10,
                    "IsStandardNode": true,
                    "WarnMessage": null,
                    "HasStandardDescription": false,
                    "HasStandardName": tru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2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false,
                    "Comment": "",
                    "HasSwitchSignLine": false,
                    "SwitchSignForReport": false,
                    "MultipleInputValues": null,
                    "NonPrimaryInput": false,
                    "Max": "NaN",
                    "Min": "NaN",
                    "IsBalanceButNotCorkscrew": false,
                    "IsEditable": true,
                    "IsConstant": false,
                    "UniqueID": "deda7fd2-dd3d-4006-94d9-d8183856acfe",
                    "Dimensions": {
                      "$type": "ModelMakerEngine.MMDimensions, ModelMakerEngine",
                      "$values": []
                    },
                    "EquationOBXInternal": "PREVIOUSVALUE()+1",
                    "NameOfGroup": "Time.Headers",
                    "EquationToParse": "PREVIOUSVALUE()+1",
                    "MostRecentExpectedUnitErrors": null,
                    "Units": {
                      "$id": "321",
                      "$type": "ModelMaker.Unit, ModelMaker",
                      "DefaultNumberFormat": 5,
                      "NumberFormatOverride": null,
                      "MatchAnything": false,
                      "ExternalRepresentation": "Counter",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Period number",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8,
                    "IsStandardNode": true,
                    "WarnMessage": null,
                    "HasStandardDescription": false,
                    "HasStandardName": tru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Header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322",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false,
              "Comment": "",
              "HasSwitchSignLine": false,
              "SwitchSignForReport": false,
              "MultipleInputValues": null,
              "NonPrimaryInput": false,
              "Max": "NaN",
              "Min": "NaN",
              "IsBalanceButNotCorkscrew": false,
              "IsEditable": true,
              "IsConstant": false,
              "UniqueID": "d647f53b-909a-440f-bb53-ffd179c6963a",
              "Dimensions": {
                "$type": "ModelMakerEngine.MMDimensions, ModelMakerEngine",
                "$values": []
              },
              "EquationOBXInternal": "IF([Period number] = 1,[Start date],EDATE(PREVIOUSVALUE(), [Months per period]))",
              "NameOfGroup": "Time",
              "EquationToParse": "IF([Period number] = 1,[Start date],EDATE(PREVIOUSVALUE(), [Months per period]))",
              "MostRecentExpectedUnitErrors": null,
              "Units": {
                "$id": "323",
                "$type": "ModelMaker.Unit, ModelMaker",
                "DefaultNumberFormat": 1,
                "NumberFormatOverride": null,
                "MatchAnything": false,
                "ExternalRepresentation": "date",
                "ItemsOnTop": {
                  "$type": "System.Collections.Generic.List`1[[System.String, mscorlib]], mscorlib",
                  "$values": [
                    "DATE"
                  ]
                },
                "ItemsOnBottom": {
                  "$type": "System.Collections.Generic.List`1[[System.String, mscorlib]], mscorlib",
                  "$values": []
                },
                "IsCurrency": false,
                "ContainsSMU": false,
                "IsDimensionless": false,
                "InsertRowTotal": true,
                "IgnoreWhenDeterminingExpectedUnits": false
              },
              "Name": "Model period start",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9,
              "IsStandardNode": true,
              "WarnMessage": null,
              "HasStandardDescription": false,
              "HasStandardName": tru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24",
              "$type": "ModelMaker.GroupNode, ModelMaker",
              "TabOrHeaderColour": "",
              "Comment": "",
              "NameOfGroup": "Time",
              "YPosition": 3,
              "Folded": false,
              "Font": null,
              "Children": {
                "$type": "ModelMaker.GroupNodeChildCollection, ModelMaker",
                "$values": [
                  {
                    "$id": "32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f8306127-fef0-4860-a308-fb3867cb4601",
                    "Dimensions": {
                      "$type": "ModelMakerEngine.MMDimensions, ModelMakerEngine",
                      "$values": []
                    },
                    "EquationOBXInternal": "IF([Model period end]>[CPI Index forecast beginning date],1,0)",
                    "NameOfGroup": "Time.CPI Index forecast flag_1",
                    "EquationToParse": "IF([Model period end]>[CPI Index forecast beginning date],1,0)",
                    "MostRecentExpectedUnitErrors": null,
                    "Units": {
                      "$id": "326",
                      "$type": "ModelMaker.Unit, ModelMaker",
                      "DefaultNumberFormat": 5,
                      "NumberFormatOverride": null,
                      "MatchAnything": false,
                      "ExternalRepresentation": "flag",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"CPI Index forecast flag",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true,
              "IsTimeAndFlagsGroup": false,
              "DimensionsAcross": {
                "$type": "ModelMakerEngine.MMDimensions, ModelMakerEngine",
                "$values": []
              },
              "TimeAxis": 0,
              "IndexInParent": -1,
              "HasOneSheetPerElem": false,
              "OneSheetPerElem": null,
              "Name": "CPI Index forecast flag_1",
              "Parent": {
                "$ref": "1"
              },
              "Visible": true,
              "ToolTip": "",
              "OpeningBalanceFlagAppliedName": "",
              "AllowIncomingLinks": true,
              "AllowOutgoingLinks": true,
              "IncomingLinks": {
                "$type": "System.Collections.ObjectModel.Collection`1[[ModelMaker.MMLink, ModelMaker]], mscorlib",
                "$values": []
              },
              "OutgoingLinks": {
                "$type": "System.Collections.ObjectModel.Collection`1[[ModelMaker.MMLink, ModelMaker]], mscorlib",
                "$values": []
              },
              "Deletable": true,
              "Issues": null
            },
            {
              "$id": "327",
              "$type": "ModelMaker.GroupNode, ModelMaker",
              "TabOrHeaderColour": "",
              "Comment": "",
              "NameOfGroup": "Time",
              "YPosition": 4,
              "Folded": false,
              "Font": null,
              "Children": {
                "$type": "ModelMaker.GroupNodeChildCollection, ModelMaker",
                "$values": [
                  {
                    "$id": "328",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"c5c67592-516a-45b3-982c-036d6d60da96",
                    "Dimensions": {
                      "$type": "ModelMakerEngine.MMDimensions, ModelMakerEngine",
                      "$values": []
                    },
                    "EquationOBXInternal": "IF(AND([Model period end]>=[NR23 end date],[Model period start]<=[NR23 beginning date]),1,0)",
                    "NameOfGroup": "Time.NR23 flag_1",
                    "EquationToParse": "IF(AND([Model period end]>=[NR23 end date],[Model period start]<=[NR23 beginning date]),1,0)",
                    "MostRecentExpectedUnitErrors": null,
                    "Units": {
                      "$id": "329",
                      "$type": "ModelMaker.Unit, ModelMaker",
                      "DefaultNumberFormat": 5,
                      "NumberFormatOverride": null,
                      "MatchAnything": false,
                      "ExternalRepresentation": "flag",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NR23 flag",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true,
              "IsTimeAndFlagsGroup": false,
              "DimensionsAcross": {
                "$type": "ModelMakerEngine.MMDimensions, ModelMakerEngine",
                "$values": []
              },
              "TimeAxis": 0,
              "IndexInParent": -1,
              "HasOneSheetPerElem": false,
              "OneSheetPerElem": null,
              "Name": "NR23 flag_1",
              "Parent": {
                "$ref": "1"
              },
              "Visible": true,
              "ToolTip": "",
              "OpeningBalanceFlagAppliedName": "",
              "AllowIncomingLinks": true,
              "AllowOutgoingLinks": true,
              "IncomingLinks": {
                "$type": "System.Collections.ObjectModel.Collection`1[[ModelMaker.MMLink, ModelMaker]], mscorlib",
                "$values": []
              },
              "OutgoingLinks": {
                "$type": "System.Collections.ObjectModel.Collection`1[[ModelMaker.MMLink, ModelMaker]], mscorlib",
                "$values": []
              },
              "Deletable": true,
              "Issues": null
            },
            {
              "$id": "330",
              "$type": "ModelMaker.GroupNode, ModelMaker",
              "TabOrHeaderColour": "",
              "Comment": "",
              "NameOfGroup": "Time",
              "YPosition": 5,
              "Folded": false,
              "Font": null,
              "Children": {
                "$type": "ModelMaker.GroupNodeChildCollection, ModelMaker",
                "$values": [
                  {
                    "$id": "33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1f336ce2-21ac-4e3d-8700-3d45264ae1fe",
                    "Dimensions": {
                      "$type": "ModelMakerEngine.MMDimensions, ModelMakerEngine",
                      "$values": []
                    },
                    "EquationOBXInternal": "IF(AND([Model period start]<=[2025 date],[Model period end]>=[2025 date]),1,0)",
                    "NameOfGroup": "Time.2025 flag_1",
                    "EquationToParse": "IF(AND([Model period start]<=[2025 date],[Model period end]>=[2025 date]),1,0)",
                    "MostRecentExpectedUnitErrors": null,
                    "Units": {
                      "$id": "332",
                      "$type": "ModelMaker.Unit, ModelMaker",
                      "DefaultNumberFormat": 5,
                      "NumberFormatOverride": null,
                      "MatchAnything": false,
                      "ExternalRepresentation": "flag",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"2025 flag",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true,
              "IsChecksGroup": false,
              "IsAlertsGroup": false,
              "IsChecksAndAlertsGroup": false,
              "IsUnallocatedGroup": false,
              "IsInputsGroup": false,
              "IsFlag": true,
              "IsTimeAndFlagsGroup": false,
              "DimensionsAcross": {
                "$type": "ModelMakerEngine.MMDimensions, ModelMakerEngine",
                "$values": []
              },
              "TimeAxis": 0,
              "IndexInParent": -1,
              "HasOneSheetPerElem": false,
              "OneSheetPerElem": null,
              "Name": "2025 flag_1",
              "Parent": {
                "$ref": "1"
              },
              "Visible": true,
              "ToolTip": "",
              "OpeningBalanceFlagAppliedName": "",
              "AllowIncomingLinks": true,
              "AllowOutgoingLinks": true,
              "IncomingLinks": {
                "$type": "System.Collections.ObjectModel.Collection`1[[ModelMaker.MMLink, ModelMaker]], mscorlib",
                "$values": []
              },
              "OutgoingLinks": {
                "$type": "System.Collections.ObjectModel.Collection`1[[ModelMaker.MMLink, ModelMaker]], mscorlib",
                "$values": []
              },
              "Deletable": true,
              "Issues": null
            },
            {
              "$id": "333",
              "$type": "ModelMaker.GroupNode, ModelMaker",
              "TabOrHeaderColour": "",
              "Comment": "",
              "NameOfGroup": "Time",
              "YPosition": 6,
              "Folded": false,
              "Font": null,
              "Children": {
                "$type": "ModelMaker.GroupNodeChildCollection, ModelMaker",
                "$values": [
                  {
                    "$id": "334",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"d17edc05-9998-4d96-86e5-6e2324f183d7",
                    "Dimensions": {
                      "$type": "ModelMakerEngine.MMDimensions, ModelMakerEngine",
                      "$values": []
                    },
                    "EquationOBXInternal": "IF(AND([Model period start]<=[2026 date],[Model period end]>=[2026 date]),1,0)",
                    "NameOfGroup": "Time.2026 flag_1",
                    "EquationToParse": "IF(AND([Model period start]<=[2026 date],[Model period end]>=[2026 date]),1,0)",
                    "MostRecentExpectedUnitErrors": null,
                    "Units": {
                      "$id": "335",
                      "$type": "ModelMaker.Unit, ModelMaker",
                      "DefaultNumberFormat": 5,
                      "NumberFormatOverride": null,
                      "MatchAnything": false,
                      "ExternalRepresentation": "flag",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"2026 flag",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true,
              "IsChecksGroup": false,
              "IsAlertsGroup": false,
              "IsChecksAndAlertsGroup": false,
              "IsUnallocatedGroup": false,
              "IsInputsGroup": false,
              "IsFlag": true,
              "IsTimeAndFlagsGroup": false,
              "DimensionsAcross": {
                "$type": "ModelMakerEngine.MMDimensions, ModelMakerEngine",
                "$values": []
              },
              "TimeAxis": 0,
              "IndexInParent": -1,
              "HasOneSheetPerElem": false,
              "OneSheetPerElem": null,
              "Name": "2026 flag_1",
              "Parent": {
                "$ref": "1"
              },
              "Visible": true,
              "ToolTip": "",
              "OpeningBalanceFlagAppliedName": "",
              "AllowIncomingLinks": true,
              "AllowOutgoingLinks": true,
              "IncomingLinks": {
                "$type": "System.Collections.ObjectModel.Collection`1[[ModelMaker.MMLink, ModelMaker]], mscorlib",
                "$values": []
              },
              "OutgoingLinks": {
                "$type": "System.Collections.ObjectModel.Collection`1[[ModelMaker.MMLink, ModelMaker]], mscorlib",
                "$values": []
              },
              "Deletable": true,
              "Issues": null
            },
            {
              "$id": "336",
              "$type": "ModelMaker.GroupNode, ModelMaker",
              "TabOrHeaderColour": "",
              "Comment": "",
              "NameOfGroup": "Time",
              "YPosition": 7,
              "Folded": false,
              "Font": null,
              "Children": {
                "$type": "ModelMaker.GroupNodeChildCollection, ModelMaker",
                "$values": [
                  {
                    "$id": "337",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"7c6211d2-28f5-4eca-a5c2-14bf202af5ed",
                    "Dimensions": {
                      "$type": "ModelMakerEngine.MMDimensions, ModelMakerEngine",
                      "$values": []
                    },
                    "EquationOBXInternal": "IF(AND([Model period start]<=[NR33 (Closing RAB end date) date],[Model period end]>=[NR33 (Closing RAB end date) date]),1,0)",
                    "NameOfGroup": "Time.NR33 (Closing RAB end date) flag_1",
                    "EquationToParse": "IF(AND([Model period start]<=[NR33 (Closing RAB end date) date],[Model period end]>=[NR33 (Closing RAB end date) date]),1,0)",
                    "MostRecentExpectedUnitErrors": null,
                    "Units": {
                      "$id": "338",
                      "$type": "ModelMaker.Unit, ModelMaker",
                      "DefaultNumberFormat": 5,
                      "NumberFormatOverride": null,
                      "MatchAnything": false,
                      "ExternalRepresentation": "flag",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"NR33 (Closing RAB end date) flag",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true,
              "IsChecksGroup": false,
              "IsAlertsGroup": false,
              "IsChecksAndAlertsGroup": false,
              "IsUnallocatedGroup": false,
              "IsInputsGroup": false,
              "IsFlag": true,
              "IsTimeAndFlagsGroup": false,
              "DimensionsAcross": {
                "$type": "ModelMakerEngine.MMDimensions, ModelMakerEngine",
                "$values": []
              },
              "TimeAxis": 0,
              "IndexInParent": -1,
              "HasOneSheetPerElem": false,
              "OneSheetPerElem": null,
              "Name": "NR33 (Closing RAB end date) flag_1",
              "Parent": {
                "$ref": "1"
              },
              "Visible": true,
              "ToolTip": "",
              "OpeningBalanceFlagAppliedName": "",
              "AllowIncomingLinks": true,
              "AllowOutgoingLinks": true,
              "IncomingLinks": {
                "$type": "System.Collections.ObjectModel.Collection`1[[ModelMaker.MMLink, ModelMaker]], mscorlib",
                "$values": []
              },
              "OutgoingLinks": {
                "$type": "System.Collections.ObjectModel.Collection`1[[ModelMaker.MMLink, ModelMaker]], mscorlib",
                "$values": []
              },
              "Deletable": true,
              "Issues": null
            },
            {
              "$id": "339",
              "$type": "ModelMaker.GroupNode, ModelMaker",
              "TabOrHeaderColour": "",
              "Comment": "",
              "NameOfGroup": "Time",
              "YPosition": 8,
              "Folded": false,
              "Font": null,
              "Children": {
                "$type": "ModelMaker.GroupNodeChildCollection, ModelMaker",
                "$values": [
                  {
                    "$id": "340",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"5b66c06a-ef9b-486b-9e79-ffa562c25722",
                    "Dimensions": {
                      "$type": "ModelMakerEngine.MMDimensions, ModelMakerEngine",
                      "$values": []
                    },
                    "EquationOBXInternal": "IF(AND([Model period start]<=[NR23 specific date date],[Model period end]>=[NR23 specific date date]),1,0)",
                    "NameOfGroup": "Time.NR23 specific date flag_1",
                    "EquationToParse": "IF(AND([Model period start]<=[NR23 specific date date],[Model period end]>=[NR23 specific date date]),1,0)",
                    "MostRecentExpectedUnitErrors": null,
                    "Units": {
                      "$id": "341",
                      "$type": "ModelMaker.Unit, ModelMaker",
                      "DefaultNumberFormat": 5,
                      "NumberFormatOverride": null,
                      "MatchAnything": false,
                      "ExternalRepresentation": "flag",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"NR23 specific date flag",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true,
              "IsChecksGroup": false,
              "IsAlertsGroup": false,
              "IsChecksAndAlertsGroup": false,
              "IsUnallocatedGroup": false,
              "IsInputsGroup": false,
              "IsFlag": true,
              "IsTimeAndFlagsGroup": false,
              "DimensionsAcross": {
                "$type": "ModelMakerEngine.MMDimensions, ModelMakerEngine",
                "$values": []
              },
              "TimeAxis": 0,
              "IndexInParent": -1,
              "HasOneSheetPerElem": false,
              "OneSheetPerElem": null,
              "Name": "NR23 specific date flag_1",
              "Parent": {
                "$ref": "1"
              },
              "Visible": true,
              "ToolTip": "",
              "OpeningBalanceFlagAppliedName": "",
              "AllowIncomingLinks": true,
              "AllowOutgoingLinks": true,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false,
        "IsFlag": false,
        "IsTimeAndFlagsGroup": true,
        "DimensionsAcross": {
          "$type": "ModelMakerEngine.MMDimensions, ModelMakerEngine",
          "$values": []
        },
        "TimeAxis": 0,
        "IndexInParent": 2,
        "HasOneSheetPerElem": false,
        "OneSheetPerElem": null,
        "Name": "Time",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false,
        "Issues": null
      },
      {
        "$id": "342",
        "$type": "ModelMaker.GroupNode, ModelMaker",
        "TabOrHeaderColour": "",
        "Comment": "",
        "NameOfGroup": "Model Checks and Alerts",
        "YPosition": 0,
        "Folded": false,
        "Font": null,
        "Children": {
          "$type": "ModelMaker.GroupNodeChildCollection, ModelMaker",
          "$values": [
            {
              "$id": "343",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"2359f6c0-4267-4655-b9a6-8b9aabd3bd96",
              "Dimensions": {
                "$type": "ModelMakerEngine.MMDimensions, ModelMakerEngine",
                "$values": []
              },
              "EquationOBXInternal": "IF(ABS([Determined Cost from 2026 nominal (RAB Only)]-[Determined Cost from 2026 Nominal RAB prelim model])<1,0,1)",
              "NameOfGroup": "Model Checks and Alerts.Model Checks",
              "EquationToParse": "IF(ABS([Determined Cost from 2026 nominal (RAB Only)]-[Determined Cost from 2026 Nominal RAB prelim model])<1,0,1)",
              "MostRecentExpectedUnitErrors": null,
              "Units": {
                "$ref": "22"
              },
              "Name": "RAB Nominal Determined Cost from 2026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4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4940cf7f-8875-45d2-ab09-f3aa229e537d",
              "Dimensions": {
                "$type": "ModelMakerEngine.MMDimensions, ModelMakerEngine",
                "$values": []
              },
              "EquationOBXInternal": " IF(ABS([DC per flight nominal from 2026]-[DC per flight Opex nominal prelim model])<1,0,1)",
              "NameOfGroup": "Model Checks and Alerts.Model Checks",
              "EquationToParse": " IF(ABS([DC per flight nominal from 2026]-[DC per flight Opex nominal prelim model])<1,0,1)",
              "MostRecentExpectedUnitErrors": null,
              "Units": {
                "$ref": "22"
              },
              "Name": "DC per flight nominal from 2026 Opex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4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816627d6-5847-42ca-98bf-1b9e7e08f80d",
              "Dimensions": {
                "$type": "ModelMakerEngine.MMDimensions, ModelMakerEngine",
                "$values": []
              },
              "EquationOBXInternal": "IF(ABS([DC per flight from 2026 nominal (RAB only)]-[DC per flight RAB nominal prelim model])<1,0,1)",
              "NameOfGroup": "Model Checks and Alerts.Model Checks",
              "EquationToParse": "IF(ABS([DC per flight from 2026 nominal (RAB only)]-[DC per flight RAB nominal prelim model])<1,0,1)",
              "MostRecentExpectedUnitErrors": null,
              "Units": {
                "$id": "346",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DC per flight nominal from 2026  RAB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4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3c57e236-2b03-4958-81fb-3ca42084900e",
              "Dimensions": {
                "$type": "ModelMakerEngine.MMDimensions, ModelMakerEngine",
                "$values": []
              },
              "EquationOBXInternal": "IF(ABS([DC per SU from 2026 nominal (RAB only)]-[DC per SU RAB nominal prelim model])<1,0,1)",
              "NameOfGroup": "Model Checks and Alerts.Model Checks",
              "EquationToParse": "IF(ABS([DC per SU from 2026 nominal (RAB only)]-[DC per SU RAB nominal prelim model])<1,0,1)",
              "MostRecentExpectedUnitErrors": null,
              "Units": {
                "$id": "348",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DC per SU from 2026 nominal RAB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4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2bb02915-3bfb-488d-bcf7-9648df7cc936",
              "Dimensions": {
                "$type": "ModelMakerEngine.MMDimensions, ModelMakerEngine",
                "$values": []
              },
              "EquationOBXInternal": "IF(ABS([Determined Cost from 2026 Real (RAB only)]-[Determined Cost from 2026 real RAB prelim model])<1,0,1)",
              "NameOfGroup": "Model Checks and Alerts.Model Checks",
              "EquationToParse": "IF(ABS([Determined Cost from 2026 Real (RAB only)]-[Determined Cost from 2026 real RAB prelim model])<1,0,1)",
              "MostRecentExpectedUnitErrors": null,
              "Units": {
                "$id": "350",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RAB Real Determined Cost from 2026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5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30289265-e055-41ee-9fbe-669563f9c084",
              "Dimensions": {
                "$type": "ModelMakerEngine.MMDimensions, ModelMakerEngine",
                "$values": []
              },
              "EquationOBXInternal": "IF(ABS([DC per SU from 2026 real (RAB only)]-[DC per SU RAB real prelim model])<1,0,1)",
              "NameOfGroup": "Model Checks and Alerts.Model Checks",
              "EquationToParse": "IF(ABS([DC per SU from 2026 real (RAB only)]-[DC per SU RAB real prelim model])<1,0,1)",
              "MostRecentExpectedUnitErrors": {
                "$type": "System.Collections.Generic.List`1[[System.String, mscorlib]], mscorlib",
                "$values": [
                  "You are adding or subtracting something measured in £( 2024 prices) from something measured in £ real"
                ]
              },
              "Units": {
                "$id": "352",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DC per SU from 2026 real RAB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false,
              "UnitsErrorMessage": "You are adding or subtracting something measured in £( 2024 prices) from something measured in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5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b772e4aa-ebc8-46fe-9de5-e19a2aa4f470",
              "Dimensions": {
                "$type": "ModelMakerEngine.MMDimensions, ModelMakerEngine",
                "$values": []
              },
              "EquationOBXInternal": "IF(ABS([DC per flight from 2026 real (RAB only)]-[DC per flight RAB Real prelim model])<1,0,1)",
              "NameOfGroup": "Model Checks and Alerts.Model Checks",
              "EquationToParse": "IF(ABS([DC per flight from 2026 real (RAB only)]-[DC per flight RAB Real prelim model])<1,0,1)",
              "MostRecentExpectedUnitErrors": null,
              "Units": {
                "$id": "354",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DC per flight from 2026 real RAB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5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4e1bf2f-c5e2-4bd6-91da-471f4e388249",
              "Dimensions": {
                "$type": "ModelMakerEngine.MMDimensions, ModelMakerEngine",
                "$values": []
              },
              "EquationOBXInternal": "IF(ABS([Determined costs real from 2026]-[Determined Cost from 2026 real Opex prelim model])<1,0,1)",
              "NameOfGroup": "Model Checks and Alerts.Model Checks",
              "EquationToParse": "IF(ABS([Determined costs real from 2026]-[Determined Cost from 2026 real Opex prelim model])<1,0,1)",
              "MostRecentExpectedUnitErrors": null,
              "Units": {
                "$id": "356",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Opex Real Determined Cost from 2026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7,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5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329f1dc-548d-4799-a97e-192a7d7c10a0",
              "Dimensions": {
                "$type": "ModelMakerEngine.MMDimensions, ModelMakerEngine",
                "$values": []
              },
              "EquationOBXInternal": "IF(ABS([DC per SU real from 2026]-[DC per SU Opex real prelim model])<1,0,1)",
              "NameOfGroup": "Model Checks and Alerts.Model Checks",
              "EquationToParse": "IF(ABS([DC per SU real from 2026]-[DC per SU Opex real prelim model])<1,0,1)",
              "MostRecentExpectedUnitErrors": {
                "$type": "System.Collections.Generic.List`1[[System.String, mscorlib]], mscorlib",
                "$values": [
                  "You are adding or subtracting something measured in £( 2024 prices) from something measured in £ real"
                ]
              },
              "Units": {
                "$id": "358",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DC per SU from 2026 real  Opex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false,
              "UnitsErrorMessage": "You are adding or subtracting something measured in £( 2024 prices) from something measured in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8,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5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e52645c1-cd63-4f86-bc64-4f540d2c9da1",
              "Dimensions": {
                "$type": "ModelMakerEngine.MMDimensions, ModelMakerEngine",
                "$values": []
              },
              "EquationOBXInternal": "IF(ABS([DC per flight real from 2026]-[DC per flight Opex real prelim model])<1,0,1)",
              "NameOfGroup": "Model Checks and Alerts.Model Checks",
              "EquationToParse": "IF(ABS([DC per flight real from 2026]-[DC per flight Opex real prelim model])<1,0,1)",
              "MostRecentExpectedUnitErrors": {
                "$type": "System.Collections.Generic.List`1[[System.String, mscorlib]], mscorlib",
                "$values": [
                  "You are adding or subtracting something measured in £ nominal from something measured in £ real"
                ]
              },
              "Units": {
                "$ref": "22"
              },
              "Name": "DC per flight from 2026 real Opex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false,
              "UnitsErrorMessage": "You are adding or subtracting something measured in £ nominal from something measured in £ re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9,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6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d0657b3d-879f-4d08-bc0f-f06bc5bff40c",
              "Dimensions": {
                "$type": "ModelMakerEngine.MMDimensions, ModelMakerEngine",
                "$values": []
              },
              "EquationOBXInternal": "IF(ABS([Determined Cost nominal from 2026]-[Determined Cost from 2026 nominal Opex prelim model])<1,0,1)",
              "NameOfGroup": "Model Checks and Alerts.Model Checks",
              "EquationToParse": "IF(ABS([Determined Cost nominal from 2026]-[Determined Cost from 2026 nominal Opex prelim model])<1,0,1)",
              "MostRecentExpectedUnitErrors": null,
              "Units": {
                "$id": "361",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Opex Nominal Determined Cost from 2026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62",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ae6ba8c-5e9f-4454-8eea-f03a7490e878",
              "Dimensions": {
                "$type": "ModelMakerEngine.MMDimensions, ModelMakerEngine",
                "$values": []
              },
              "EquationOBXInternal": "IF(ABS([DC per SU nominal from 2026]-[DC per SU Opex nominal prelim model])<1,0,1)",
              "NameOfGroup": "Model Checks and Alerts.Model Checks",
              "EquationToParse": "IF(ABS([DC per SU nominal from 2026]-[DC per SU Opex nominal prelim model])<1,0,1)",
              "MostRecentExpectedUnitErrors": null,
              "Units": {
                "$id": "363",
                "$type": "ModelMaker.Unit, ModelMaker",
                "DefaultNumberFormat": 5,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false,
                "InsertRowTotal": true,
                "IgnoreWhenDeterminingExpectedUnits": false
              },
              "Name": "DC per SU from 2026 nominal Opex check",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tru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Model Check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false,
        "Issues": null
      },
      {
        "$id": "364",
        "$type": "ModelMaker.GroupNode, ModelMaker",
        "TabOrHeaderColour": "",
        "Comment": "",
        "NameOfGroup": "Model Checks and Alerts",
        "YPosition": 1,
        "Folded": false,
        "Font": null,
        "Children": {
          "$type": "ModelMaker.GroupNodeChildCollection, ModelMaker",
          "$values": []
        },
        "AllowAddChildren": true,
        "AllowRemoveChildren": true,
        "IsImported": false,
        "IsChecksGroup": false,
        "IsAlertsGroup": true,
        "IsChecksAndAlertsGroup": false,
        "IsUnallocatedGroup": false,
        "IsInputsGroup": false,
        "IsFlag": false,
        "IsTimeAndFlagsGroup": false,
        "DimensionsAcross": {
          "$type": "ModelMakerEngine.MMDimensions, ModelMakerEngine",
          "$values": []
        },
        "TimeAxis": 0,
        "IndexInParent": -1,
        "HasOneSheetPerElem": false,
        "OneSheetPerElem": null,
        "Name": "Model Alert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false,
        "Issues": null
      },
      {
        "$id": "365",
        "$type": "ModelMaker.GroupNode, ModelMaker",
        "TabOrHeaderColour": "",
        "Comment": "",
        "NameOfGroup": null,
        "YPosition": 0,
        "Folded": true,
        "Font": null,
        "Children": {
          "$type": "ModelMaker.GroupNodeChildCollection, ModelMaker",
          "$values": [
            {
              "$ref": "342"
            },
            {
              "$ref": "364"
            }
          ]
        },
        "AllowAddChildren": true,
        "AllowRemoveChildren": true,
        "IsImported": false,
        "IsChecksGroup": false,
        "IsAlertsGroup": false,
        "IsChecksAndAlertsGroup": true,
        "IsUnallocatedGroup": false,
        "IsInputsGroup": false,
        "IsFlag": false,
        "IsTimeAndFlagsGroup": false,
        "DimensionsAcross": {
          "$type": "ModelMakerEngine.MMDimensions, ModelMakerEngine",
          "$values": []
        },
        "TimeAxis": 0,
        "IndexInParent": 6,
        "HasOneSheetPerElem": false,
        "OneSheetPerElem": null,
        "Name": "Model Checks and Alert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false,
        "Issues": null
      },
      {
        "$ref": "39"
      },
      {
        "$ref": "315"
      },
      {
        "$ref": "320"
      },
      {
        "$ref": "41"
      },
      {
        "$ref": "322"
      },
      {
        "$ref": "318"
      },
      {
        "$ref": "43"
      },
      {
        "$ref": "316"
      },
      {
        "$ref": "61"
      },
      {
        "$ref": "250"
      },
      {
        "$ref": "45"
      },
      {
        "$id": "366",
        "$type": "ModelMaker.GroupNode, ModelMaker",
        "TabOrHeaderColour": "",
        "Comment": "",
        "NameOfGroup": null,
        "YPosition": 0,
        "Folded": false,
        "Font": null,
        "Children": {
          "$type": "ModelMaker.GroupNodeChildCollection, ModelMaker",
          "$values": [
            {
              "$id": "367",
              "$type": "ModelMaker.GroupNode, ModelMaker",
              "TabOrHeaderColour": "",
              "Comment": "",
              "NameOfGroup": "Optimisation",
              "YPosition": 0,
              "Folded": false,
              "Font": null,
              "Children": {
                "$type": "ModelMaker.GroupNodeChildCollection, ModelMaker",
                "$values":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Historic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7,
        "HasOneSheetPerElem": false,
        "OneSheetPerElem": null,
        "Name": "Optimisation",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ref": "367"
      },
      {
        "$ref": "247"
      },
      {
        "$ref": "233"
      },
      {
        "$id": "368",
        "$type": "ModelMaker.GroupNode, ModelMaker",
        "TabOrHeaderColour": "",
        "Comment": "",
        "NameOfGroup": null,
        "YPosition": 0,
        "Folded": false,
        "Font": null,
        "Children": {
          "$type": "ModelMaker.GroupNodeChildCollection, ModelMaker",
          "$values": [
            {
              "$id": "36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26e9a12b-92f5-46fd-8020-157e4281f9e9",
              "Dimensions": {
                "$type": "ModelMakerEngine.MMDimensions, ModelMakerEngine",
                "$values": []
              },
              "EquationOBXInternal": "([UKADS1 scenario chosen]+[UKADSF scenarios chosen])*(1+[Operating Margin for Opex])",
              "NameOfGroup": "Opex Model",
              "EquationToParse": "([UKADS1 scenario chosen]+[UKADSF scenarios chosen])*(1+[Operating Margin for Opex])",
              "MostRecentExpectedUnitErrors": null,
              "Units": {
                "$id": "370",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 Rea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7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2b5474b8-6403-436f-8c61-6aed1ff26603",
              "Dimensions": {
                "$type": "ModelMakerEngine.MMDimensions, ModelMakerEngine",
                "$values": []
              },
              "EquationOBXInternal": "[Determined Cost Real]/[Flights]",
              "NameOfGroup": "Opex Model",
              "EquationToParse": "[Determined Cost Real]/[Flights]",
              "MostRecentExpectedUnitErrors": null,
              "Units": {
                "$id": "372",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DC per flight rea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000 (2024 prices/'000,  but they are £(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7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5e931361-7acf-4293-bf9a-c397180f5533",
              "Dimensions": {
                "$type": "ModelMakerEngine.MMDimensions, ModelMakerEngine",
                "$values": []
              },
              "EquationOBXInternal": "[Determined Cost Real]/[Service Units]",
              "NameOfGroup": "Opex Model",
              "EquationToParse": "[Determined Cost Real]/[Service Units]",
              "MostRecentExpectedUnitErrors": null,
              "Units": {
                "$id": "374",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DC per SU rea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000 (2024 prices/'000,  but they are £(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7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This calculation is just to arrive at the initial numbers which is subsequently divided to arrive at the actual numbers used for NR23",
              "HasSwitchSignLine": false,
              "SwitchSignForReport": false,
              "MultipleInputValues": null,
              "NonPrimaryInput": false,
              "Max": "NaN",
              "Min": "NaN",
              "IsBalanceButNotCorkscrew": false,
              "IsEditable": true,
              "IsConstant": false,
              "UniqueID": "1979dd4f-dfa3-4f95-b89d-f43906d4d64a",
              "Dimensions": {
                "$type": "ModelMakerEngine.MMDimensions, ModelMakerEngine",
                "$values": []
              },
              "EquationOBXInternal": "[Determined Cost Real]*[NR23 flag]",
              "NameOfGroup": "Cost+ Operating Margin",
              "EquationToParse": "[Determined Cost Real]*[NR23 flag]",
              "MostRecentExpectedUnitErrors": null,
              "Units": {
                "$id": "376",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Bridge to determine costs used for calculation for Determined costs real for NR23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7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ae03105a-cb73-4d44-881d-bac989ea9b77",
              "Dimensions": {
                "$type": "ModelMakerEngine.MMDimensions, ModelMakerEngine",
                "$values": []
              },
              "EquationOBXInternal": "(SUM([Bridge to determine costs used for calculation for Determined costs real for NR23 only])/[factor dividing the determined costs for 2026 and 2027])",
              "NameOfGroup": "Cost+ Operating Margin",
              "EquationToParse": "(SUM([Bridge to determine costs used for calculation for Determined costs real for NR23 only])/[factor dividing the determined costs for 2026 and 2027])",
              "MostRecentExpectedUnitErrors": null,
              "Units": {
                "$id": "378",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s real for NR23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7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2fdb33b9-43da-48c6-933d-1e3ae194ae79",
              "Dimensions": {
                "$type": "ModelMakerEngine.MMDimensions, ModelMakerEngine",
                "$values": []
              },
              "EquationOBXInternal": "IF([2026 flag],SUM(ALLVALUES([Determined costs real for NR23 only])),0)",
              "NameOfGroup": "Cost+ Operating Margin",
              "EquationToParse": "IF([2026 flag],SUM(ALLVALUES([Determined costs real for NR23 only])),0)",
              "MostRecentExpectedUnitErrors": null,
              "Units": {
                "$id": "380",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s real for 2026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8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Assumes 2.5 years worth of cost (half of 2025) and 2 years of traffic (2026 and 2027) - charge introduced in 2026 only",
              "HasSwitchSignLine": false,
              "SwitchSignForReport": false,
              "MultipleInputValues": null,
              "NonPrimaryInput": false,
              "Max": "NaN",
              "Min": "NaN",
              "IsBalanceButNotCorkscrew": false,
              "IsEditable": true,
              "IsConstant": false,
              "UniqueID": "64dba02d-cd19-452c-a7d2-58b69c6b6915",
              "Dimensions": {
                "$type": "ModelMakerEngine.MMDimensions, ModelMakerEngine",
                "$values": []
              },
              "EquationOBXInternal": "IF([2025 flag],0,IF([2026 flag],0,IF([NR23 flag],SUM(PASTVALUES([Determined Cost Real],1,3))/[factor dividing the determined costs for 2026 and 2027], [Determined Cost Real])))",
              "NameOfGroup": "Cost+ Operating Margin",
              "EquationToParse": "IF([2025 flag],0,IF([2026 flag],0,IF([NR23 flag],SUM(PASTVALUES([Determined Cost Real],1,3))/[factor dividing the determined costs for 2026 and 2027], [Determined Cost Real])))",
              "MostRecentExpectedUnitErrors": null,
              "Units": {
                "$id": "382",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Initial Calculations Determined Cost Real from 2026",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80"
            },
            {
              "$ref": "83"
            },
            {
              "$ref": "86"
            },
            {
              "$ref": "71"
            },
            {
              "$ref": "74"
            },
            {
              "$ref": "77"
            },
            {
              "$ref": "89"
            },
            {
              "$ref": "92"
            },
            {
              "$ref": "95"
            },
            {
              "$id": "383",
              "$type": "ModelMaker.GroupNode, ModelMaker",
              "TabOrHeaderColour": "",
              "Comment": "",
              "NameOfGroup": "Cost+ Operating Margin",
              "YPosition": 16,
              "Folded": false,
              "Font": null,
              "Children": {
                "$type": "ModelMaker.GroupNodeChildCollection, ModelMaker",
                "$values": [
                  {
                    "$id": "384",
                    "$type": "ModelMaker.GroupNode, ModelMaker",
                    "TabOrHeaderColour": "",
                    "Comment": "",
                    "NameOfGroup": "Cost+ Operating Margin.Calculations for Final reporting",
                    "YPosition": 0,
                    "Folded": false,
                    "Font": null,
                    "Children": {
                      "$type": "ModelMaker.GroupNodeChildCollection, ModelMaker",
                      "$values": [
                        {
                          "$id": "38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3aeb7d8b-69eb-49a8-9fd2-bf2165a66052",
                          "Dimensions": {
                            "$type": "ModelMakerEngine.MMDimensions, ModelMakerEngine",
                            "$values": []
                          },
                          "EquationOBXInternal": "IF(OR([Period number]=2,[Period number]=3),[Determined costs real from 2026],0)",
                          "NameOfGroup": "Cost+ Operating Margin",
                          "EquationToParse": "IF(OR([Period number]=2,[Period number]=3),[Determined costs real from 2026],0)",
                          "MostRecentExpectedUnitErrors": null,
                          "Units": {
                            "$id": "386",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s real from 2026 (NR23 period)",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98"
                        },
                        {
                          "$ref": "201"
                        },
                        {
                          "$ref": "204"
                        },
                        {
                          "$ref": "207"
                        },
                        {
                          "$ref": "210"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NR23 period",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387",
                    "$type": "ModelMaker.GroupNode, ModelMaker",
                    "TabOrHeaderColour": "",
                    "Comment": "",
                    "NameOfGroup": "Cost+ Operating Margin.Calculations for Final reporting",
                    "YPosition": 1,
                    "Folded": false,
                    "Font": null,
                    "Children": {
                      "$type": "ModelMaker.GroupNodeChildCollection, ModelMaker",
                      "$values": [
                        {
                          "$id": "388",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dbaafc8d-2f73-4610-9bef-e41344883a99",
                          "Dimensions": {
                            "$type": "ModelMakerEngine.MMDimensions, ModelMakerEngine",
                            "$values": []
                          },
                          "EquationOBXInternal": "IF([Period number]=11,[Determined costs real from 2026]/2,[Determined costs real from 2026])",
                          "NameOfGroup": "Cost+ Operating Margin",
                          "EquationToParse": "IF([Period number]=11,[Determined costs real from 2026]/2,[Determined costs real from 2026])",
                          "MostRecentExpectedUnitErrors": null,
                          "Units": {
                            "$id": "389",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s real from 2026 (10-year period)",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213"
                        },
                        {
                          "$ref": "216"
                        },
                        {
                          "$ref": "219"
                        },
                        {
                          "$ref": "222"
                        },
                        {
                          "$ref": "225"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10-year period",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Calculations for Final reporting",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4,
        "HasOneSheetPerElem": false,
        "OneSheetPerElem": null,
        "Name": "Cost+ Operating Margin",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390",
        "$type": "ModelMaker.GroupNode, ModelMaker",
        "TabOrHeaderColour": "",
        "Comment": "",
        "NameOfGroup": null,
        "YPosition": 0,
        "Folded": false,
        "Font": null,
        "Children": {
          "$type": "ModelMaker.GroupNodeChildCollection, ModelMaker",
          "$values": []
        },
        "AllowAddChildren": true,
        "AllowRemoveChildren": true,
        "IsImported": false,
        "IsChecksGroup": tru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Model Check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false,
        "Issues": null
      },
      {
        "$id": "391",
        "$type": "ModelMaker.GroupNode, ModelMaker",
        "TabOrHeaderColour": "",
        "Comment": "",
        "NameOfGroup": null,
        "YPosition": 0,
        "Folded": false,
        "Font": null,
        "Children": {
          "$type": "ModelMaker.GroupNodeChildCollection, ModelMaker",
          "$values": []
        },
        "AllowAddChildren": true,
        "AllowRemoveChildren": true,
        "IsImported": false,
        "IsChecksGroup": false,
        "IsAlertsGroup": true,
        "IsChecksAndAlertsGroup": false,
        "IsUnallocatedGroup": false,
        "IsInputsGroup": false,
        "IsFlag": false,
        "IsTimeAndFlagsGroup": false,
        "DimensionsAcross": {
          "$type": "ModelMakerEngine.MMDimensions, ModelMakerEngine",
          "$values": []
        },
        "TimeAxis": 0,
        "IndexInParent": -1,
        "HasOneSheetPerElem": false,
        "OneSheetPerElem": null,
        "Name": "Model Alert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false,
        "Issues": null
      },
      {
        "$ref": "244"
      },
      {
        "$ref": "228"
      },
      {
        "$ref": "239"
      },
      {
        "$ref": "369"
      },
      {
        "$ref": "373"
      },
      {
        "$ref": "371"
      },
      {
        "$ref": "59"
      },
      {
        "$id": "392",
        "$type": "ModelMaker.TimeNode, ModelMaker",
        "ForceUpdate": 1,
        "Axis": 0,
        "EndDate": "2035-12-31T00:00:00",
        "MonthsPerPeriod": 12,
        "StartDate": "2025-01-01T00:00:00",
        "NumberOfPeriods": 11,
        "TimeStep": 8,
        "YearEndBasis": 0,
        "YearEndMonth": 0,
        "YPosition": -1,
        "Parent": {
          "$ref": "1"
        },
        "Visible": false,
        "ToolTip": "",
        "OpeningBalanceFlagAppliedName": "",
        "Font": null,
        "AllowIncomingLinks": true,
        "AllowOutgoingLinks": true,
        "IncomingLinks": {
          "$type": "System.Collections.ObjectModel.Collection`1[[ModelMaker.MMLink, ModelMaker]], mscorlib",
          "$values": []
        },
        "OutgoingLinks": {
          "$type": "System.Collections.ObjectModel.Collection`1[[ModelMaker.MMLink, ModelMaker]], mscorlib",
          "$values": []
        },
        "Deletable": true,
        "Issues": null
      },
      {
        "$ref": "241"
      },
      {
        "$id": "39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b313d286-41a0-4a4a-9358-697333580c67",
        "Dimensions": {
          "$type": "ModelMakerEngine.MMDimensions, ModelMakerEngine",
          "$values": []
        },
        "EquationOBXInternal": "LOOKUP([Cost of UKADS1],[UKADS1 scenarios])",
        "NameOfGroup": "Unallocated",
        "EquationToParse": "LOOKUP([Cost of UKADS1],[UKADS1 scenarios])",
        "MostRecentExpectedUnitErrors": null,
        "Units": {
          "$id": "394",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UKADS1 scenario chosen",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39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0f658dfd-d9d3-46a8-a36b-0c50d0a1b1cd",
        "Dimensions": {
          "$type": "ModelMakerEngine.MMDimensions, ModelMakerEngine",
          "$values": []
        },
        "EquationOBXInternal": "LOOKUP([Cost of UKADSF],[UKADSF scenarios])",
        "NameOfGroup": "Unallocated",
        "EquationToParse": "LOOKUP([Cost of UKADSF],[UKADSF scenarios])",
        "MostRecentExpectedUnitErrors": null,
        "Units": {
          "$id": "396",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UKADSF scenarios chosen",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227"
      },
      {
        "$ref": "243"
      },
      {
        "$ref": "74"
      },
      {
        "$ref": "77"
      },
      {
        "$ref": "311"
      },
      {
        "$ref": "325"
      },
      {
        "$ref": "30"
      },
      {
        "$ref": "324"
      },
      {
        "$ref": "48"
      },
      {
        "$ref": "32"
      },
      {
        "$ref": "328"
      },
      {
        "$ref": "327"
      },
      {
        "$ref": "331"
      },
      {
        "$ref": "26"
      },
      {
        "$ref": "330"
      },
      {
        "$id": "397",
        "$type": "ModelMaker.GroupNode, ModelMaker",
        "TabOrHeaderColour": "",
        "Comment": "",
        "NameOfGroup": "Calculations",
        "YPosition": 0,
        "Folded": false,
        "Font": null,
        "Children": {
          "$type": "ModelMaker.GroupNodeChildCollection, ModelMaker",
          "$values": [
            {
              "$ref": "395"
            },
            {
              "$ref": "393"
            },
            {
              "$id": "398",
              "$type": "ModelMaker.GroupNode, ModelMaker",
              "TabOrHeaderColour": "",
              "Comment": "",
              "NameOfGroup": "Scenarios Chosen",
              "YPosition": 2,
              "Folded": false,
              "Font": null,
              "Children": {
                "$type": "ModelMaker.GroupNodeChildCollection, ModelMaker",
                "$values": [
                  {
                    "$id": "399",
                    "$type": "ModelMaker.GroupNode, ModelMaker",
                    "TabOrHeaderColour": "",
                    "Comment": "",
                    "NameOfGroup": "Scenarios Chosen.Calculations for Final reporting",
                    "YPosition": 0,
                    "Folded": false,
                    "Font": null,
                    "Children": {
                      "$type": "ModelMaker.GroupNodeChildCollection, ModelMaker",
                      "$values": [
                        {
                          "$id": "40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c1c7ccb-bd4c-47bf-b970-88493b62f403",
                          "Dimensions": {
                            "$type": "ModelMakerEngine.MMDimensions, ModelMakerEngine",
                            "$values": []
                          },
                          "EquationOBXInternal": "IF([NR23 flag]=1,SUM([UKADS1 scenario chosen],[UKADSF scenarios chosen]),0)",
                          "NameOfGroup": "Scenarios Chosen",
                          "EquationToParse": "IF([NR23 flag]=1,SUM([UKADS1 scenario chosen],[UKADSF scenarios chosen]),0)",
                          "MostRecentExpectedUnitErrors": null,
                          "Units": {
                            "$id": "401",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Estimated annual costs of providing the UKADS and the Support Fund NR23",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98"
                        },
                        {
                          "$id": "402",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f82307fe-4ae9-43f5-8190-9e594c86b629",
                          "Dimensions": {
                            "$type": "ModelMakerEngine.MMDimensions, ModelMakerEngine",
                            "$values": []
                          },
                          "EquationOBXInternal": "IF(OR([Period number]=2,[Period number]=3),[Service Units],0)",
                          "NameOfGroup": "Scenarios Chosen",
                          "EquationToParse": "IF(OR([Period number]=2,[Period number]=3),[Service Units],0)",
                          "MostRecentExpectedUnitErrors": null,
                          "Units": {
                            "$id": "403",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Annual Service Units forecast for NR23 period (2026 start)",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40"
                        },
                        {
                          "$id": "40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f04758e9-5a0b-4d6c-8ef5-d178a56930e5",
                          "Dimensions": {
                            "$type": "ModelMakerEngine.MMDimensions, ModelMakerEngine",
                            "$values": []
                          },
                          "EquationOBXInternal": "IF(OR([Period number]=2,[Period number]=3),[Flights],0)",
                          "NameOfGroup": "Scenarios Chosen",
                          "EquationToParse": "IF(OR([Period number]=2,[Period number]=3),[Flights],0)",
                          "MostRecentExpectedUnitErrors": null,
                          "Units": {
                            "$id": "405",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Annual Flights forecast for NR23 period (2026 start)",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44"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NR23 period",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406",
                    "$type": "ModelMaker.GroupNode, ModelMaker",
                    "TabOrHeaderColour": "",
                    "Comment": "",
                    "NameOfGroup": "Scenarios Chosen.Calculations for Final reporting",
                    "YPosition": 1,
                    "Folded": false,
                    "Font": null,
                    "Children": {
                      "$type": "ModelMaker.GroupNodeChildCollection, ModelMaker",
                      "$values": [
                        {
                          "$id": "40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71d7df37-11b2-48f2-91af-59e4c2f6d91b",
                          "Dimensions": {
                            "$type": "ModelMakerEngine.MMDimensions, ModelMakerEngine",
                            "$values": []
                          },
                          "EquationOBXInternal": "IF([Period number]<11,SUM([UKADS1 scenario chosen],[UKADSF scenarios chosen]),(IF([Period number]=11,SUM([UKADS1 scenario chosen],[UKADSF scenarios chosen])/2,0)))",
                          "NameOfGroup": "Scenarios Chosen",
                          "EquationToParse": "IF([Period number]<11,SUM([UKADS1 scenario chosen],[UKADSF scenarios chosen]),(IF([Period number]=11,SUM([UKADS1 scenario chosen],[UKADSF scenarios chosen])/2,0)))",
                          "MostRecentExpectedUnitErrors": null,
                          "Units": {
                            "$id": "408",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Estimated annual costs of providing the UKADS and the Support Fund 10-year",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71"
                        },
                        {
                          "$id": "40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d459d43b-56f6-4255-9788-9ac2f750c18f",
                          "Dimensions": {
                            "$type": "ModelMakerEngine.MMDimensions, ModelMakerEngine",
                            "$values": []
                          },
                          "EquationOBXInternal": "IF([Period number]>1,[Service Units],0)",
                          "NameOfGroup": "Scenarios Chosen",
                          "EquationToParse": "IF([Period number]>1,[Service Units],0)",
                          "MostRecentExpectedUnitErrors": null,
                          "Units": {
                            "$id": "410",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"Annual Service Units forecast for 10-year period (2026 start)",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"175"
                        },
                        {
                          "$id": "411",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"e44c31a3-8b8e-47ab-bcae-ba0d29e413e3",
                          "Dimensions": {
                            "$type": "ModelMakerEngine.MMDimensions, ModelMakerEngine",
                            "$values": []
                          },
                          "EquationOBXInternal": "IF([Period number]>1,[Flights],0)",
                          "NameOfGroup": "Scenarios Chosen",
                          "EquationToParse": "IF([Period number]>1,[Flights],0)",
                          "MostRecentExpectedUnitErrors": null,
                          "Units": {
                            "$id": "412",
                            "$type": "ModelMaker.Unit, ModelMaker",
                            "DefaultNumberFormat": 5,
                            "NumberFormatOverride": null,
                            "MatchAnything": false,
                            "ExternalRepresentation": "'000",
                            "ItemsOnTop": {
                              "$type": "System.Collections.Generic.List`1[[System.String, mscorlib]], mscorlib",
                              "$values": [
                                "'000"
                              ]
                            },
                            "ItemsOnBottom": {
                              "$type": "System.Collections.Generic.List`1[[System.String, mscorlib]], mscorlib",
                              "$values": []
                            },
                            "IsCurrency": false,
                            "ContainsSMU": false,
                            "IsDimensionless": false,
                            "InsertRowTotal": true,
                            "IgnoreWhenDeterminingExpectedUnits": false
                          },
                          "Name": "Annual Flights forecast for 10-year period (2026 start)",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"179"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"10-year period",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"Calculations for Final reporting",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5,
        "HasOneSheetPerElem": false,
        "OneSheetPerElem": null,
        "Name": "Scenarios Chosen",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"$ref": "310"
      },
      {
        "$ref": "57"
      },
      {
        "$ref": "50"
      },
      {
        "$ref": "375"
      },
      {
        "$ref": "377"
      },
      {
        "$ref": "381"
      },
      {
        "$ref": "334"
      },
      {
        "$ref": "28"
      },
      {
        "$ref": "333"
      },
      {
        "$ref": "379"
      },
      {
        "$ref": "80"
      },
      {
        "$ref": "71"
      },
      {
        "$id": "413",
        "$type": "ModelMaker.GroupNode, ModelMaker",
        "TabOrHeaderColour": "",
        "Comment": "",
        "NameOfGroup": null,
        "YPosition": 0,
        "Folded": false,
        "Font": null,
        "Children": {
          "$type": "ModelMaker.GroupNodeChildCollection, ModelMaker",
          "$values": [
            {
              "$id": "414",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"69202bd6-6e45-4ba5-b1c1-54165356d1e7",
              "Dimensions": {
                "$type": "ModelMakerEngine.MMDimensions, ModelMakerEngine",
                "$values": []
              },
              "EquationOBXInternal": "([UKADS1 scenario chosen]*[UKADS1 costs are capex (slow money) ratio] *(1+[Operating Margin for RAB]))+([UKADSF scenarios chosen]*[UKADSF costs are capex (slow money) ratio]*(1+[Operating Margin for RAB]))",
              "NameOfGroup": "Unallocated",
              "EquationToParse": "([UKADS1 scenario chosen]*[UKADS1 costs are capex (slow money) ratio] *(1+[Operating Margin for RAB]))+([UKADSF scenarios chosen]*[UKADSF costs are capex (slow money) ratio]*(1+[Operating Margin for RAB]))",
              "MostRecentExpectedUnitErrors": null,
              "Units": {
                "$id": "415",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"Slow Money",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"125"
            },
            {
              "$ref": "122"
            },
            {
              "$ref": "123"
            },
            {
              "$id": "416",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"951ec0fc-6d6d-449b-bb74-3e55e48cf9e7",
              "Dimensions": {
                "$type": "ModelMakerEngine.MMDimensions, ModelMakerEngine",
                "$values": []
              },
              "EquationOBXInternal": "AVERAGE(BEG([RAB]),[RAB])",
              "NameOfGroup": "Unallocated",
              "EquationToParse": "AVERAGE([RAB!!BEG],[RAB])",
              "MostRecentExpectedUnitErrors": null,
              "Units": {
                "$id": "417",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"Average RAB",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"418",
              "$type": "ModelMaker.GroupNode, ModelMaker",
              "TabOrHeaderColour": "",
              "Comment": "",
              "NameOfGroup": "Calculations",
              "YPosition": 5,
              "Folded": false,
              "Font": null,
              "Children": {
                "$type": "ModelMaker.GroupNodeChildCollection, ModelMaker",
                "$values": [
                  {
                    "$id": "419",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"025af203-5c22-4c20-a424-ead39558064c",
                    "Dimensions": {
                      "$type": "ModelMakerEngine.MMDimensions, ModelMakerEngine",
                      "$values": []
                    },
                    "EquationOBXInternal": "[Real Return]*[Average RAB]",
                    "NameOfGroup": "Unallocated",
                    "EquationToParse": "[Real Return]*[Average RAB]",
                    "MostRecentExpectedUnitErrors": null,
                    "Units": {
                      "$id": "420",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"Regulatory return nominal",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"421",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"13393240-6f30-4a92-992c-e1d4129edade",
                    "Dimensions": {
                      "$type": "ModelMakerEngine.MMDimensions, ModelMakerEngine",
                      "$values": []
                    },
                    "EquationOBXInternal": "[Real Return]*[Average RAB]*([CPI Index 2024]/[CPI Index Forecast (Calculations)])",
                    "NameOfGroup": "Unallocated",
                    "EquationToParse": "[Real Return]*[Average RAB]*([CPI Index 2024]/[CPI Index Forecast (Calculations)])",
                    "MostRecentExpectedUnitErrors": null,
                    "Units": {
                      "$id": "422",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"Regulatory return real",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£'000 nominal * index (2015=100,  but they are £'000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"423",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"3d43cad4-a7a0-4564-964c-e5ffd8bf8ada",
                    "Dimensions": {
                      "$type": "ModelMakerEngine.MMDimensions, ModelMakerEngine",
                      "$values": []
                    },
                    "EquationOBXInternal": "[Regulatory return real]*[UK corporation tax rate]",
                    "NameOfGroup": "RAB",
                    "EquationToParse": "[Regulatory return real]*[UK corporation tax rate]",
                    "MostRecentExpectedUnitErrors": null,
                    "Units": {
                      "$id": "424",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"Corporation tax calculated real",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"425",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"1144ec5d-43d5-4db3-bc03-858959af5aa3",
                    "Dimensions": {
                      "$type": "ModelMakerEngine.MMDimensions, ModelMakerEngine",
                      "$values": []
                    },
                    "EquationOBXInternal": "[Corporation tax calculated real]/(1-[UK corporation tax rate])",
                    "NameOfGroup": "Calculations.RAB calculations",
                    "EquationToParse": "[Corporation tax calculated real]/(1-[UK corporation tax rate])",
                    "MostRecentExpectedUnitErrors": null,
                    "Units": {
                      "$id": "426",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"Corporation tax grossed up",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"427",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"eb108ace-c890-48c2-a80e-7c379a71bebc",
                    "Dimensions": {
                      "$type": "ModelMakerEngine.MMDimensions, ModelMakerEngine",
                      "$values": []
                    },
                    "EquationOBXInternal": "[Proportion of first year RAB additions in depreciation]/[Assumed asset life for depreciation]",
                    "NameOfGroup": "Unallocated",
                    "EquationToParse": "[Proportion of first year RAB additions in depreciation]/[Assumed asset life for depreciation]",
                    "MostRecentExpectedUnitErrors": null,
                    "Units": {
                      "$id": "428",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"Straight-line depreciation %",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4,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"429",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false,
                    "UniqueID": "13491e7d-4d15-46a8-960d-b6099f0b1627",
                    "Dimensions": {
                      "$type": "ModelMakerEngine.MMDimensions, ModelMakerEngine",
                      "$values": []
                    },
                    "EquationOBXInternal": "1-[UKADS1 costs are capex (slow money) ratio]",
                    "NameOfGroup": "Unallocated",
                    "EquationToParse": "1-[UKADS1 costs are capex (slow money) ratio]",
                    "MostRecentExpectedUnitErrors": null,
                    "Units": {
                      "$id": "430",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"UKADS1 costs are opex (fast money) ratio",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"431",
                    "$type": "ModelMaker.VariableNode, ModelMaker",
                    "RowTotalDependent": null,
                    "PutCalculationOnReport": false,
                    "CalculateOnThisReport": null,
                    "PivotTableLink": null,
                    "ExcelNameName": null,
                    "ExcelNameNames": {
                      "$type": "ModelMakerEngine.ExcelNameDictionary, ModelMakerEngine",
                      "$values": []
                    },
                    "NumberFormatOverride": "Percent",
                    "HasOpeningBalanceFlag": false,
                    "OpeningBalanceFlagAppliedName": "",
                    "Deletable": true,
                    "Comment": "",
                    "HasSwitchSignLine": false,
                    "SwitchSignForReport": false,
                    "MultipleInputValues": null,
                    "NonPrimaryInput": false,
                    "Max": "NaN",
                    "Min": "NaN",
                    "IsBalanceButNotCorkscrew": false,
                    "IsEditable": true,
                    "IsConstant": false,
                    "UniqueID": "d6cde4e6-6bdc-4b71-915f-ed2d928c2ec3",
                    "Dimensions": {
                      "$type": "ModelMakerEngine.MMDimensions, ModelMakerEngine",
                      "$values": []
                    },
                    "EquationOBXInternal": "1-[UKADSF costs are capex (slow money) ratio]",
                    "NameOfGroup": "Unallocated",
                    "EquationToParse": "1-[UKADSF costs are capex (slow money) ratio]",
                    "MostRecentExpectedUnitErrors": null,
                    "Units": {
                      "$id": "432",
                      "$type": "ModelMaker.Unit, ModelMaker",
                      "DefaultNumberFormat": 2,
                      "NumberFormatOverride": null,
                      "MatchAnything": false,
                      "ExternalRepresentation": "%",
                      "ItemsOnTop": {
                        "$type": "System.Collections.Generic.List`1[[System.String, mscorlib]], mscorlib",
                        "$values": []
                      },
                      "ItemsOnBottom": {
                        "$type": "System.Collections.Generic.List`1[[System.String, mscorlib]], mscorlib",
                        "$values": []
                      },
                      "IsCurrency": false,
                      "ContainsSMU": false,
                      "IsDimensionless": true,
                      "InsertRowTotal": true,
                      "IgnoreWhenDeterminingExpectedUnits": false
                    },
                    "Name": "UKADSF costs are opex (fast money) ratio",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"RAB calculations",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"433",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"c99036a1-c741-46f5-b657-f61312c0e2da",
              "Dimensions": {
                "$type": "ModelMakerEngine.MMDimensions, ModelMakerEngine",
                "$values": []
              },
              "EquationOBXInternal": "([UKADS1 scenario chosen]*[UKADS1 costs are opex (fast money) ratio]*(1+[Operating Margin for RAB]))+([UKADSF scenarios chosen]*[UKADSF costs are opex (fast money) ratio]*(1+[Operating Margin for RAB]))\r\n",
              "NameOfGroup": "RAB",
              "EquationToParse": "([UKADS1 scenario chosen]*[UKADS1 costs are opex (fast money) ratio]*(1+[Operating Margin for RAB]))+([UKADSF scenarios chosen]*[UKADSF costs are opex (fast money) ratio]*(1+[Operating Margin for RAB]))\r\n",
              "MostRecentExpectedUnitErrors": null,
              "Units": {
                "$id": "434",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"Opex Real",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"435",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"3fab390b-47e2-4e44-b03e-40d7520998d1",
              "Dimensions": {
                "$type": "ModelMakerEngine.MMDimensions, ModelMakerEngine",
                "$values": []
              },
              "EquationOBXInternal": "[Opex Real]+[Corporation tax grossed up]+[Regulatory return real]+[Total RAB depreciation real]",
              "NameOfGroup": "RAB",
              "EquationToParse": "[Opex Real]+[Corporation tax grossed up]+[Regulatory return real]+[Total RAB depreciation real]",
              "MostRecentExpectedUnitErrors": null,
              "Units": {
                "$id": "436",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Costs Real (RAB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7,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"437",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"This calculation is just to arrive at the initial numbers which is subsequently divided to arrive at the actual numbers used for NR23",
              "HasSwitchSignLine": false,
              "SwitchSignForReport": false,
              "MultipleInputValues": null,
              "NonPrimaryInput": false,
              "Max": "NaN",
              "Min": "NaN",
              "IsBalanceButNotCorkscrew": false,
              "IsEditable": true,
              "IsConstant": false,
              "UniqueID": "5a8993f5-ff82-43b8-a6a3-06091086313b",
              "Dimensions": {
                "$type": "ModelMakerEngine.MMDimensions, ModelMakerEngine",
                "$values": []
              },
              "EquationOBXInternal": "[Determined Costs Real (RAB only)]*[NR23 flag]",
              "NameOfGroup": "RAB",
              "EquationToParse": "[Determined Costs Real (RAB only)]*[NR23 flag]",
              "MostRecentExpectedUnitErrors": null,
              "Units": {
                "$id": "438",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"Bridge to determine costs used for calculation for Determined costs real for  RAB NR23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8,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"439",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"a5785466-33e1-43b5-a9ee-73287fce945a",
              "Dimensions": {
                "$type": "ModelMakerEngine.MMDimensions, ModelMakerEngine",
                "$values": []
              },
              "EquationOBXInternal": "[Determined Costs Real (RAB only)]/[Service Units]",
              "NameOfGroup": "RAB",
              "EquationToParse": "[Determined Costs Real (RAB only)]/[Service Units]",
              "MostRecentExpectedUnitErrors": null,
              "Units": {
                "$id": "440",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"DC per SU real (RAB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£'000 (2024 prices/'000,  but they are £( 2024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9,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"441",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"ba2f67fd-01a5-43ad-988d-45ccca36a84f",
              "Dimensions": {
                "$type": "ModelMakerEngine.MMDimensions, ModelMakerEngine",
                "$values": []
              },
              "EquationOBXInternal": "[Determined Costs Real (RAB only)]/[Flights]",
              "NameOfGroup": "RAB",
              "EquationToParse": "[Determined Costs Real (RAB only)]/[Flights]",
              "MostRecentExpectedUnitErrors": null,
              "Units": {
                "$id": "442",
                "$type": "ModelMaker.Unit, ModelMaker",
                "DefaultNumberFormat": 4,
                "NumberFormatOverride": null,
                "MatchAnything": false,
                "ExternalRepresentation": "£( 2024 prices)",
                "ItemsOnTop": {
                  "$type": "System.Collections.Generic.List`1[[System.String, mscorlib]], mscorlib",
                  "$values": [
                    "£( 2024 prices"
                  ]
                },
                "ItemsOnBottom": {
                  "$type": "System.Collections.Generic.List`1[[System.String, mscorlib]], mscorlib",
                  "$values": []
                },
                "IsCurrency": true,
                "ContainsSMU": false,
                "IsDimensionless": false,
                "InsertRowTotal": true,
                "IgnoreWhenDeterminingExpectedUnits": false
              },
              "Name": "DC per Flight Real (RAB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£'000 (2024 prices/'000,  but they are £( 2024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"443",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"6af5ac8d-9e95-49ae-82de-d72d30133272",
              "Dimensions": {
                "$type": "ModelMakerEngine.MMDimensions, ModelMakerEngine",
                "$values": []
              },
              "EquationOBXInternal": "[DC per Flight Real (RAB only)]*([CPI Index Forecast (Calculations)]/[CPI Index 2024])",
              "NameOfGroup": "RAB",
              "EquationToParse": "[DC per Flight Real (RAB only)]*([CPI Index Forecast (Calculations)]/[CPI Index 2024])",
              "MostRecentExpectedUnitErrors": null,
              "Units": {
                "$id": "444",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flight nominal (RAB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£( 2024 prices/index (2015=100,  but they are £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11,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"445",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"0b93ef85-c6ee-49af-a655-275ac72598f5",
              "Dimensions": {
                "$type": "ModelMakerEngine.MMDimensions, ModelMakerEngine",
                "$values": []
              },
              "EquationOBXInternal": "[DC per SU real (RAB only)]*([CPI Index Forecast (Calculations)]/[CPI Index 2024])",
              "NameOfGroup": "RAB",
              "EquationToParse": "[DC per SU real (RAB only)]*([CPI Index Forecast (Calculations)]/[CPI Index 2024])",
              "MostRecentExpectedUnitErrors": null,
              "Units": {
                "$id": "446",
                "$type": "ModelMaker.Unit, ModelMaker",
                "DefaultNumberFormat": 4,
                "NumberFormatOverride": null,
                "MatchAnything": false,
                "ExternalRepresentation": "£ nominal",
                "ItemsOnTop": {
                  "$type": "System.Collections.Generic.List`1[[System.String, mscorlib]], mscorlib",
                  "$values": [
                    "£ nominal"
                  ]
                },
                "ItemsOnBottom": {
                  "$type": "System.Collections.Generic.List`1[[System.String, mscorlib]], mscorlib",
                  "$values": []
                },
                "IsCurrency": true,
                "ContainsSMU": false,
                "IsDimensionless": false,
                "InsertRowTotal": true,
                "IgnoreWhenDeterminingExpectedUnits": false
              },
              "Name": "DC per SU nominal (RAB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£( 2024 prices/index (2015=100,  but they are £ nominal",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12,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"447",
              "$type": "ModelMaker.VariableNode, ModelMaker",
              "RowTotalDependent": null,
              "PutCalculationOnReport": false,
              "CalculateOnThisReport": null,
              "PivotTableLink": null,
              "ExcelNameName": null,
              "ExcelNameNames": {
                "$type": "ModelMakerEngine.ExcelNameDictionary, ModelMakerEngine",
                "$values": [
                  {
                    "Key": {
                      "$type": "ModelMakerEngine.MMElements, ModelMakerEngine",
                      "$values": [
                        {
                          "$ref": "11"
                        }
                      ]
                    },
                    "Value": "RAB_depreciation_nominal.1"
                  },
                  {
                    "Key": {
                      "$type": "ModelMakerEngine.MMElements, ModelMakerEngine",
                      "$values": [
                        {
                          "$ref": "12"
                        }
                      ]
                    },
                    "Value": "RAB_depreciation_nominal.2"
                  },
                  {
                    "Key": {
                      "$type": "ModelMakerEngine.MMElements, ModelMakerEngine",
                      "$values": [
                        {
                          "$ref": "13"
                        }
                      ]
                    },
                    "Value": "RAB_depreciation_nominal.3"
                  },
                  {
                    "Key": {
                      "$type": "ModelMakerEngine.MMElements, ModelMakerEngine",
                      "$values": [
                        {
                          "$ref": "14"
                        }
                      ]
                    },
                    "Value": "RAB_depreciation_nominal.4"
                  },
                  {
                    "Key": {
                      "$type": "ModelMakerEngine.MMElements, ModelMakerEngine",
                      "$values": [
                        {
                          "$ref": "15"
                        }
                      ]
                    },
                    "Value": "RAB_depreciation_nominal.5"
                  },
                  {
                    "Key": {
                      "$type": "ModelMakerEngine.MMElements, ModelMakerEngine",
                      "$values": [
                        {
                          "$ref": "16"
                        }
                      ]
                    },
                    "Value": "RAB_depreciation_nominal.6"
                  },
                  {
                    "Key": {
                      "$type": "ModelMakerEngine.MMElements, ModelMakerEngine",
                      "$values": [
                        {
                          "$ref": "17"
                        }
                      ]
                    },
                    "Value": "RAB_depreciation_nominal.7"
                  },
                  {
                    "Key": {
                      "$type": "ModelMakerEngine.MMElements, ModelMakerEngine",
                      "$values": [
                        {
                          "$ref": "18"
                        }
                      ]
                    },
                    "Value": "RAB_depreciation_nominal.8"
                  },
                  {
                    "Key": {
                      "$type": "ModelMakerEngine.MMElements, ModelMakerEngine",
                      "$values": [
                        {
                          "$ref": "19"
                        }
                      ]
                    },
                    "Value": "RAB_depreciation_nominal.9"
                  },
                  {
                    "Key": {
                      "$type": "ModelMakerEngine.MMElements, ModelMakerEngine",
                      "$values": [
                        {
                          "$ref": "20"
                        }
                      ]
                    },
                    "Value": "RAB_depreciation_nominal.10"
                  },
                  {
                    "Key": {
                      "$type": "ModelMakerEngine.MMElements, ModelMakerEngine",
                      "$values": [
                        {
                          "$ref": "21"
                        }
                      ]
                    },
                    "Value": "RAB_depreciation_nominal.11"
                  }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"0a6a913e-3062-48f3-ae41-6cfffaaaa38a",
              "Dimensions": {
                "$type": "ModelMakerEngine.MMDimensions, ModelMakerEngine",
                "$values": [
                  {
                    "$ref": "10"
                  }
                ]
              },
              "EquationOBXInternal": "IF([RAB depreciation by Year]=[Period number],([Net Capex for the year]*[Straight-line depreciation %]),PREVIOUSVALUE())",
              "NameOfGroup": "Unallocated",
              "EquationToParse": "IF([RAB depreciation by Year]=[Period number],([Net Capex for the year]*[Straight-line depreciation %]),PREVIOUSVALUE())",
              "MostRecentExpectedUnitErrors": null,
              "Units": {
                "$id": "448",
                "$type": "ModelMaker.Unit, ModelMaker",
                "DefaultNumberFormat": 4,
                "NumberFormatOverride": null,
                "MatchAnything": false,
                "ExternalRepresentation": "£'000 nominal",
                "ItemsOnTop": {
                  "$type": "System.Collections.Generic.List`1[[System.String, mscorlib]], mscorlib",
                  "$values": [
                    "£'000 nominal"
                  ]
                },
                "ItemsOnBottom": {
                  "$type": "System.Collections.Generic.List`1[[System.String, mscorlib]], mscorlib",
                  "$values": []
                },
                "IsCurrency": true,
                "ContainsSMU": false,
                "IsDimensionless": false,
                "InsertRowTotal": true,
                "IgnoreWhenDeterminingExpectedUnits": false
              },
              "Name": "RAB depreciation nominal",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13,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"127"
            },
            {
              "$id": "449",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"f89e9a19-5861-40dd-acb5-d40bb5998a7f",
              "Dimensions": {
                "$type": "ModelMakerEngine.MMDimensions, ModelMakerEngine",
                "$values": []
              },
              "EquationOBXInternal": "[Total RAB depreciation]*([CPI Index 2024]/[CPI Index Forecast (Calculations)])",
              "NameOfGroup": "Unallocated",
              "EquationToParse": "[Total RAB depreciation]*([CPI Index 2024]/[CPI Index Forecast (Calculations)])",
              "MostRecentExpectedUnitErrors": null,
              "Units": {
                "$id": "450",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"Total RAB depreciation real",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£'000 nominal * index (2015=100,  but they are £'000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15,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"451",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"6893114f-8dd4-44f4-8bef-e0960c466c63",
              "Dimensions": {
                "$type": "ModelMakerEngine.MMDimensions, ModelMakerEngine",
                "$values": []
              },
              "EquationOBXInternal": "(SUM([Bridge to determine costs used for calculation for Determined costs real for  RAB NR23 only])/[factor dividing the determined costs for 2026 and 2027])",
              "NameOfGroup": "RAB",
              "EquationToParse": "(SUM([Bridge to determine costs used for calculation for Determined costs real for  RAB NR23 only])/[factor dividing the determined costs for 2026 and 2027])",
              "MostRecentExpectedUnitErrors": null,
              "Units": {
                "$id": "452",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costs real for NR23  (RAB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"453",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"65940792-1756-4245-b9bc-31168834438d",
              "Dimensions": {
                "$type": "ModelMakerEngine.MMDimensions, ModelMakerEngine",
                "$values": []
              },
              "EquationOBXInternal": "IF([2026 flag],SUM(ALLVALUES([Determined costs real for NR23  (RAB only)])),0)",
              "NameOfGroup": "RAB",
              "EquationToParse": "IF([2026 flag],SUM(ALLVALUES([Determined costs real for NR23  (RAB only)])),0)",
              "MostRecentExpectedUnitErrors": null,
              "Units": {
                "$id": "454",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costs for RAB Real for 2026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17,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"$id": "455",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"Assumes 2.5 years worth of cost (half of 2025) and 2 years of traffic (2026 and 2027) - charge introduced in 2026 only",
              "HasSwitchSignLine": false,
              "SwitchSignForReport": false,
              "MultipleInputValues": null,
              "NonPrimaryInput": false,
              "Max": "NaN",
              "Min": "NaN",
              "IsBalanceButNotCorkscrew": false,
              "IsEditable": true,
              "IsConstant": false,
              "UniqueID": "5b0fd7e7-3986-4890-bf18-b31e4527c622",
              "Dimensions": {
                "$type": "ModelMakerEngine.MMDimensions, ModelMakerEngine",
                "$values": []
              },
              "EquationOBXInternal": "IF([2025 flag],0,IF([2026 flag],0,IF([NR23 flag],SUM(PASTVALUES([Determined Costs Real (RAB only)],1,3))/[factor dividing the determined costs for 2026 and 2027], [Determined Costs Real (RAB only)])))",
              "NameOfGroup": "RAB",
              "EquationToParse": "IF([2025 flag],0,IF([2026 flag],0,IF([NR23 flag],SUM(PASTVALUES([Determined Costs Real (RAB only)],1,3))/[factor dividing the determined costs for 2026 and 2027], [Determined Costs Real (RAB only)])))",
              "MostRecentExpectedUnitErrors": null,
              "Units": {
                "$id": "456",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"Initial Calculations Determined Cost Real from 2026 (RAB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18,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"107"
            },
            {
              "$ref": "110"
            },
            {
              "$ref": "104"
            },
            {
              "$ref": "116"
            },
            {
              "$ref": "119"
            },
            {
              "$ref": "113"
            },
            {
              "$ref": "134"
            },
            {
              "$ref": "131"
            },
            {
              "$id": "457",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"20b79556-9b3c-42d9-90ed-b7b45d8c42b5",
              "Dimensions": {
                "$type": "ModelMakerEngine.MMDimensions, ModelMakerEngine",
                "$values": []
              },
              "EquationOBXInternal": "[Determined Cost from 2026 Real (RAB only)]+[Forecast Closing RAB for 10-year period only]",
              "NameOfGroup": "Unallocated",
              "EquationToParse": "[Determined Cost from 2026 Real (RAB only)]+[Forecast Closing RAB for 10-year period only]",
              "MostRecentExpectedUnitErrors": null,
              "Units": {
                "$ref": "22"
              },
              "Name": "Determined Cost from 2026 Real (RAB only +Terminal Value)",
              "ReportLines": {
                "$type": "ModelMaker.UndoableCollection`1[[ModelMakerEngine.IReportLine, ModelMakerEngine]], ModelMaker.Undo",
                "$values": []
              },
              "IsOpeningBalance": false,
              "ExternalLinks": {
                "$type": "UINext.Collections.DeepObservableCollection`1[[ExternalLinks.IExternalDataLink, ExternalLinks]], UINext",
                "$values": []
              },
              "HasUnits": false,
              "UnitsValid": false,
              "UnitsErrorMessage": "Units should be £'000 (2024 prices),  but the item is unitless.",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27,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"137"
            },
            {
              "$id": "458",
              "$type": "ModelMaker.GroupNode, ModelMaker",
              "TabOrHeaderColour": "",
              "Comment": "",
              "NameOfGroup": "RAB",
              "YPosition": 29,
              "Folded": false,
              "Font": null,
              "Children": {
                "$type": "ModelMaker.GroupNodeChildCollection, ModelMaker",
                "$values": [
                  {
                    "$id": "459",
                    "$type": "ModelMaker.GroupNode, ModelMaker",
                    "TabOrHeaderColour": "",
                    "Comment": "",
                    "NameOfGroup": "RAB.Calculations for Final reporting",
                    "YPosition": 0,
                    "Folded": false,
                    "Font": null,
                    "Children": {
                      "$type": "ModelMaker.GroupNodeChildCollection, ModelMaker",
                      "$values": [
                        {
                          "$id": "460",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"40ab682f-5448-450f-9956-b8149314b4f5",
                          "Dimensions": {
                            "$type": "ModelMakerEngine.MMDimensions, ModelMakerEngine",
                            "$values": []
                          },
                          "EquationOBXInternal": "IF(OR([Period number]=2,[Period number]=3),[Determined Cost from 2026 Real (RAB only)],0)",
                          "NameOfGroup": "RAB",
                          "EquationToParse": "IF(OR([Period number]=2,[Period number]=3),[Determined Cost from 2026 Real (RAB only)],0)",
                          "MostRecentExpectedUnitErrors": null,
                          "Units": {
                            "$id": "461",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 from 2026 real (NR23 period)",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"153"
                        },
                        {
                          "$ref": "156"
                        },
                        {
                          "$ref": "159"
                        },
                        {
                          "$ref": "162"
                        },
                        {
                          "$ref": "165"
                        },
                        {
                          "$id": "462",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"7d1697a5-97d1-4c30-830e-a99d4b583bbd",
                          "Dimensions": {
                            "$type": "ModelMakerEngine.MMDimensions, ModelMakerEngine",
                            "$values": []
                          },
                          "EquationOBXInternal": "IF([NR23 specific date flag],[RAB],0)",
                          "NameOfGroup": "RAB",
                          "EquationToParse": "IF([NR23 specific date flag],[RAB],0)",
                          "MostRecentExpectedUnitErrors": null,
                          "Units": {
                            "$id": "463",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"Forecast RAB for NR23 period",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£'000 nominal,  but they are £'000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"168"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"NR23 period",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"$id": "464",
                    "$type": "ModelMaker.GroupNode, ModelMaker",
                    "TabOrHeaderColour": "",
                    "Comment": "",
                    "NameOfGroup": "RAB.Calculations for Final reporting",
                    "YPosition": 1,
                    "Folded": false,
                    "Font": null,
                    "Children": {
                      "$type": "ModelMaker.GroupNodeChildCollection, ModelMaker",
                      "$values": [
                        {
                          "$id": "465",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"511fdb79-32f0-4ffa-bc3c-5d7730afc714",
                          "Dimensions": {
                            "$type": "ModelMakerEngine.MMDimensions, ModelMakerEngine",
                            "$values": []
                          },
                          "EquationOBXInternal": "IF([Period number]=11,[Determined Cost from 2026 Real (RAB only)]/2,[Determined Cost from 2026 Real (RAB only)])",
                          "NameOfGroup": "RAB",
                          "EquationToParse": "IF([Period number]=11,[Determined Cost from 2026 Real (RAB only)]/2,[Determined Cost from 2026 Real (RAB only)])",
                          "MostRecentExpectedUnitErrors": null,
                          "Units": {
                            "$id": "466",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"Determined Cost from 2026 real (10-year period)",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true,
                          "UnitsErrorMessage": "",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0,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"$ref": "183"
                        },
                        {
                          "$ref": "186"
                        },
                        {
                          "$ref": "189"
                        },
                        {
                          "$ref": "192"
                        },
                        {
                          "$ref": "195"
                        },
                        {
                          "$id": "467",
                          "$type": "ModelMaker.VariableNode, ModelMaker",
                          "RowTotalDependent": null,
                          "PutCalculationOnReport": false,
                          "CalculateOnThisReport": null,
                          "PivotTableLink": null,
                          "ExcelNameName": null,
                          "ExcelNameNames": {
                            "$type": "ModelMakerEngine.ExcelNameDictionary, ModelMakerEngine",
                            "$values": []
                          },
                          "NumberFormatOverride": null,
                          "HasOpeningBalanceFlag": false,
                          "OpeningBalanceFlagAppliedName": "",
                          "Deletable": true,
                          "Comment": "",
                          "HasSwitchSignLine": false,
                          "SwitchSignForReport": false,
                          "MultipleInputValues": null,
                          "NonPrimaryInput": false,
                          "Max": "NaN",
                          "Min": "NaN",
                          "IsBalanceButNotCorkscrew": false,
                          "IsEditable": true,
                          "IsConstant": false,
                          "UniqueID": "b7884eea-1a95-4370-8b7c-be7cb3caca4d",
                          "Dimensions": {
                            "$type": "ModelMakerEngine.MMDimensions, ModelMakerEngine",
                            "$values": []
                          },
                          "EquationOBXInternal": "IF([NR33 (Closing RAB end date) flag],[RAB]*[CPI Index 2024]/[CPI Index Forecast (Calculations)],0)",
                          "NameOfGroup": "RAB",
                          "EquationToParse": "IF([NR33 (Closing RAB end date) flag],[RAB]*[CPI Index 2024]/[CPI Index Forecast (Calculations)],0)",
                          "MostRecentExpectedUnitErrors": null,
                          "Units": {
                            "$id": "468",
                            "$type": "ModelMaker.Unit, ModelMaker",
                            "DefaultNumberFormat": 4,
                            "NumberFormatOverride": null,
                            "MatchAnything": false,
                            "ExternalRepresentation": "£'000 (2024 prices)",
                            "ItemsOnTop": {
                              "$type": "System.Collections.Generic.List`1[[System.String, mscorlib]], mscorlib",
                              "$values": [
                                "£'000 (2024 prices"
                              ]
                            },
                            "ItemsOnBottom": {
                              "$type": "System.Collections.Generic.List`1[[System.String, mscorlib]], mscorlib",
                              "$values": []
                            },
                            "IsCurrency": true,
                            "ContainsSMU": false,
                            "IsDimensionless": false,
                            "InsertRowTotal": true,
                            "IgnoreWhenDeterminingExpectedUnits": false
                          },
                          "Name": "Forecast Closing RAB for 10-year period only",
                          "ReportLines": {
                            "$type": "ModelMaker.UndoableCollection`1[[ModelMakerEngine.IReportLine, ModelMakerEngine]], ModelMaker.Undo",
                            "$values": []
                          },
                          "IsOpeningBalance": false,
                          "ExternalLinks": {
                            "$type": "UINext.Collections.DeepObservableCollection`1[[ExternalLinks.IExternalDataLink, ExternalLinks]], UINext",
                            "$values": []
                          },
                          "HasUnits": true,
                          "UnitsValid": false,
                          "UnitsErrorMessage": "Units should be £'000 nominal * index (2015=100,  but they are £'000 (2024 prices)",
                          "IgnoreUnitIssues": false,
                          "IsPlaceholder": false,
                          "StandardName": 0,
                          "IsStandardNode": false,
                          "WarnMessage": null,
                          "HasStandardDescription": false,
                          "HasStandardName": false,
                          "OptimisationNodePair": null,
                          "IsOptimisationNode": false,
                          "Actuals": null,
                          "UDFCode": null,
                          "AssociatedOptimisationNodes": null,
                          "CustomNamedRange": null,
                          "IsRowTotal": false,
                          "YPosition": 6,
                          "Parent": {
                            "$ref": "1"
                          },
                          "Visible": true,
                          "Font": null,
                          "AllowIncomingLinks": true,
                          "AllowOutgoingLinks": true,
                          "IncomingLinks": {
                            "$type": "System.Collections.ObjectModel.Collection`1[[ModelMaker.MMLink, ModelMaker]], mscorlib",
                            "$values": []
                          },
                          "OutgoingLinks": {
                            "$type": "System.Collections.ObjectModel.Collection`1[[ModelMaker.MMLink, ModelMaker]], mscorlib",
                            "$values": []
                          },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"10-year period",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-1,
              "HasOneSheetPerElem": false,
              "OneSheetPerElem": null,
              "Name": "Calculations for Final reporting",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
        "AllowAddChildren": true,
        "AllowRemoveChildren": true,
        "IsImported": false,
        "IsChecksGroup": false,
        "IsAlertsGroup": false,
        "IsChecksAndAlertsGroup": false,
        "IsUnallocatedGroup": false,
        "IsInputsGroup": false,
        "IsFlag": false,
        "IsTimeAndFlagsGroup": false,
        "DimensionsAcross": {
          "$type": "ModelMakerEngine.MMDimensions, ModelMakerEngine",
          "$values": []
        },
        "TimeAxis": 0,
        "IndexInParent": 3,
        "HasOneSheetPerElem": false,
        "OneSheetPerElem": null,
        "Name": "RAB",
        "Parent": {
          "$ref": "1"
        },
        "Visible": true,
        "ToolTip": "",
        "OpeningBalanceFlagAppliedName": "",
        "AllowIncomingLinks": false,
        "AllowOutgoingLinks": false,
        "IncomingLinks": {
          "$type": "System.Collections.ObjectModel.Collection`1[[ModelMaker.MMLink, ModelMaker]], mscorlib",
          "$values": []
        },
        "OutgoingLinks": {
          "$type": "System.Collections.ObjectModel.Collection`1[[ModelMaker.MMLink, ModelMaker]], mscorlib",
          "$values": []
        },
        "Deletable": true,
        "Issues": null
      },
      {
        "$ref": "268"
      },
      {
        "$ref": "266"
      },
      {
        "$ref": "253"
      },
      {
        "$ref": "429"
      },
      {
        "$ref": "431"
      },
      {
        "$ref": "52"
      },
      {
        "$ref": "53"
      },
      {
        "$ref": "55"
      },
      {
        "$ref": "418"
      },
      {
        "$ref": "125"
      },
      {
        "$ref": "414"
      },
      {
        "$ref": "254"
      },
      {
        "$ref": "447"
      },
      {
        "$ref": "427"
      },
      {
        "$ref": "127"
      },
      {
        "$ref": "449"
      },
      {
        "$ref": "122"
      },
      {
        "$ref": "123"
      },
      {
        "$ref": "313"
      },
      {
        "$ref": "46"
      },
      {
        "$ref": "419"
      },
      {
        "$ref": "416"
      },
      {
        "$ref": "421"
      },
      {
        "$ref": "423"
      },
      {
        "$ref": "425"
      },
      {
        "$ref": "433"
      },
      {
        "$ref": "435"
      },
      {
        "$ref": "439"
      },
      {
        "$ref": "441"
      },
      {
        "$ref": "104"
      },
      {
        "$ref": "453"
      },
      {
        "$ref": "451"
      },
      {
        "$ref": "437"
      },
      {
        "$ref": "455"
      },
      {
        "$ref": "107"
      },
      {
        "$ref": "110"
      },
      {
        "$ref": "113"
      },
      {
        "$ref": "443"
      },
      {
        "$ref": "445"
      },
      {
        "$ref": "119"
      },
      {
        "$ref": "116"
      },
      {
        "$ref": "86"
      },
      {
        "$ref": "83"
      },
      {
        "$ref": "306"
      },
      {
        "$ref": "291"
      },
      {
        "$ref": "294"
      },
      {
        "$ref": "297"
      },
      {
        "$ref": "300"
      },
      {
        "$ref": "282"
      },
      {
        "$ref": "276"
      },
      {
        "$ref": "303"
      },
      {
        "$ref": "288"
      },
      {
        "$ref": "273"
      },
      {
        "$ref": "279"
      },
      {
        "$ref": "285"
      },
      {
        "$ref": "272"
      },
      {
        "$ref": "343"
      },
      {
        "$ref": "349"
      },
      {
        "$ref": "360"
      },
      {
        "$ref": "355"
      },
      {
        "$ref": "359"
      },
      {
        "$ref": "357"
      },
      {
        "$ref": "353"
      },
      {
        "$ref": "351"
      },
      {
        "$ref": "347"
      },
      {
        "$ref": "362"
      },
      {
        "$ref": "344"
      },
      {
        "$ref": "345"
      },
      {
        "$ref": "63"
      },
      {
        "$ref": "25"
      },
      {
        "$ref": "270"
      },
      {
        "$ref": "137"
      },
      {
        "$ref": "95"
      },
      {
        "$ref": "38"
      },
      {
        "$ref": "65"
      },
      {
        "$ref": "149"
      },
      {
        "$ref": "134"
      },
      {
        "$ref": "89"
      },
      {
        "$ref": "131"
      },
      {
        "$ref": "92"
      },
      {
        "$ref": "400"
      },
      {
        "$ref": "407"
      },
      {
        "$ref": "98"
      },
      {
        "$ref": "171"
      },
      {
        "$ref": "402"
      },
      {
        "$ref": "140"
      },
      {
        "$ref": "409"
      },
      {
        "$ref": "175"
      },
      {
        "$ref": "404"
      },
      {
        "$ref": "144"
      },
      {
        "$ref": "411"
      },
      {
        "$ref": "179"
      },
      {
        "$ref": "460"
      },
      {
        "$ref": "153"
      },
      {
        "$ref": "465"
      },
      {
        "$ref": "183"
      },
      {
        "$ref": "385"
      },
      {
        "$ref": "198"
      },
      {
        "$ref": "388"
      },
      {
        "$ref": "213"
      },
      {
        "$ref": "201"
      },
      {
        "$ref": "204"
      },
      {
        "$ref": "207"
      },
      {
        "$ref": "210"
      },
      {
        "$ref": "156"
      },
      {
        "$ref": "159"
      },
      {
        "$ref": "162"
      },
      {
        "$ref": "165"
      },
      {
        "$ref": "462"
      },
      {
        "$ref": "168"
      },
      {
        "$ref": "186"
      },
      {
        "$ref": "189"
      },
      {
        "$ref": "192"
      },
      {
        "$ref": "195"
      },
      {
        "$ref": "467"
      },
      {
        "$ref": "216"
      },
      {
        "$ref": "219"
      },
      {
        "$ref": "222"
      },
      {
        "$ref": "225"
      },
      {
        "$ref": "383"
      },
      {
        "$ref": "458"
      },
      {
        "$ref": "459"
      },
      {
        "$ref": "464"
      },
      {
        "$ref": "384"
      },
      {
        "$ref": "387"
      },
      {
        "$ref": "398"
      },
      {
        "$ref": "399"
      },
      {
        "$ref": "406"
      },
      {
        "$ref": "457"
      },
      {
        "$ref": "337"
      },
      {
        "$ref": "36"
      },
      {
        "$ref": "336"
      },
      {
        "$ref": "340"
      },
      {
        "$ref": "34"
      },
      {
        "$ref": "339"
      }
    ]
  },
  "Reports": {
    "$type": "ModelMaker.UndoableCollection`1[[ModelMakerEngine.IReport, ModelMakerEngine]], ModelMaker.Undo",
    "$values": [
      {
        "$ref": "68"
      },
      {
        "$ref": "101"
      }
    ]
  },
  "TopLevelNodes": {
    "$type": "ModelMaker.UndoableCollection`1[[ModelMakerEngine.INode, ModelMakerEngine]], ModelMaker.Undo",
    "$values": [
      {
        "$ref": "23"
      },
      {
        "$ref": "24"
      },
      {
        "$ref": "309"
      },
      {
        "$ref": "413"
      },
      {
        "$ref": "368"
      },
      {
        "$ref": "397"
      },
      {
        "$ref": "365"
      },
      {
        "$ref": "366"
      }
    ]
  },
  "OptimisationGroup": {
    "$ref": "366"
  },
  "HistoricsGroup": {
    "$ref": "367"
  },
  "NumberOfBuiltInGroups": 6,
  "Password": null,
  "ProtectBook": false,
  "Description": null,
  "ActualsHelper": null,
  "ProblemsSuppressedByUser": {
    "$type": "System.Collections.Generic.List`1[[System.String, mscorlib]], mscorlib",
    "$values": []
  },
  "StandardNumberFormats": {
    "$id": "469",
    "$type": "System.Collections.Generic.Dictionary`2[[ModelMakerEngine.NamedNumberFormat, ModelMakerEngine],[System.String, mscorlib]], mscorlib"
  },
  "UseHybridTimeline": false,
  "MessageChoices": {
    "$id": "470",
    "$type": "System.Collections.Generic.Dictionary`2[[System.String, mscorlib],[System.Int32, mscorlib]], mscorlib",
    "UnusedItems": 2,
    "ConstantsOnReport": 4
  },
  "UnitNumberFormatMapping": {
    "$id": "471",
    "$type": "ModelMakerEngine.UnitNumberFormatMapping, ModelMakerEngine"
  },
  "TableSections": {
    "$type": "System.Linq.Enumerable+WhereEnumerableIterator`1[[ModelMakerEngine.IGroupNode, ModelMakerEngine]], System.Core",
    "$values": []
  },
  "CasesInModel": {
    "$type": "System.Collections.Generic.List`1[[System.String, mscorlib]], mscorlib",
    "$values": [
      " Base case 1 ",
      " Base case 2 ",
      " Base case 3 "
    ]
  },
  "ScenariosInModel": {
    "$type": "System.Collections.Generic.List`1[[System.String, mscorlib]], mscorlib",
    "$values": [
      "Scenario 1",
      "Scenario 2",
      "Scenario 3",
      "Scenario 4"
    ]
  }
}]]></ModelMaker>
</file>

<file path=customXml/itemProps1.xml><?xml version="1.0" encoding="utf-8"?>
<ds:datastoreItem xmlns:ds="http://schemas.openxmlformats.org/officeDocument/2006/customXml" ds:itemID="{DC8395A4-E290-4D0F-9AA5-1FC7C48C51BD}">
  <ds:schemaRefs>
    <ds:schemaRef ds:uri="http://schemas.microsoft.com/office/2006/metadata/properties"/>
    <ds:schemaRef ds:uri="http://schemas.microsoft.com/office/infopath/2007/PartnerControls"/>
    <ds:schemaRef ds:uri="7c02c562-1e82-4d3d-bb6c-843c3e7142ca"/>
  </ds:schemaRefs>
</ds:datastoreItem>
</file>

<file path=customXml/itemProps2.xml><?xml version="1.0" encoding="utf-8"?>
<ds:datastoreItem xmlns:ds="http://schemas.openxmlformats.org/officeDocument/2006/customXml" ds:itemID="{A100B28D-AE8A-4A69-8728-FBE56BF2D8E3}">
  <ds:schemaRefs>
    <ds:schemaRef ds:uri="http://schemas.microsoft.com/sharepoint/v3/contenttype/forms"/>
  </ds:schemaRefs>
</ds:datastoreItem>
</file>

<file path=customXml/itemProps3.xml><?xml version="1.0" encoding="utf-8"?>
<ds:datastoreItem xmlns:ds="http://schemas.openxmlformats.org/officeDocument/2006/customXml" ds:itemID="{EB67E65E-1003-4DC1-A529-3FB380212E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2c562-1e82-4d3d-bb6c-843c3e714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8BE2D78-7DC4-4F38-AF0D-EDD2A511C05F}">
  <ds:schemaRefs>
    <ds:schemaRef ds:uri="http://schemas.microsoft.com/sharepoint/events"/>
  </ds:schemaRefs>
</ds:datastoreItem>
</file>

<file path=customXml/itemProps5.xml><?xml version="1.0" encoding="utf-8"?>
<ds:datastoreItem xmlns:ds="http://schemas.openxmlformats.org/officeDocument/2006/customXml" ds:itemID="{860A6040-DD9B-4F63-96F6-5CA7357640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148</vt:i4>
      </vt:variant>
    </vt:vector>
  </HeadingPairs>
  <TitlesOfParts>
    <vt:vector size="158" baseType="lpstr">
      <vt:lpstr>Cover</vt:lpstr>
      <vt:lpstr>Contents</vt:lpstr>
      <vt:lpstr>Inputs</vt:lpstr>
      <vt:lpstr>Time</vt:lpstr>
      <vt:lpstr>RAB</vt:lpstr>
      <vt:lpstr>Cost+ Operating Margin</vt:lpstr>
      <vt:lpstr>Scenarios Chosen</vt:lpstr>
      <vt:lpstr>Operating Cost + Margin Report</vt:lpstr>
      <vt:lpstr>RAB model Report</vt:lpstr>
      <vt:lpstr>Named ranges</vt:lpstr>
      <vt:lpstr>_2025_flag</vt:lpstr>
      <vt:lpstr>_2026_flag</vt:lpstr>
      <vt:lpstr>Annual_Flights_forecast_for_10_year_period__2026_start_</vt:lpstr>
      <vt:lpstr>Annual_Flights_forecast_for_NR23_period__2026_start_</vt:lpstr>
      <vt:lpstr>Annual_Service_Units_forecast_for_10_year_period__2026_start_</vt:lpstr>
      <vt:lpstr>Annual_Service_Units_forecast_for_NR23_period__2026_start_</vt:lpstr>
      <vt:lpstr>Average_RAB</vt:lpstr>
      <vt:lpstr>Bridge_to_determine_costs_used_for_calculation_for_Determined_costs_real_for__RAB_NR23_only</vt:lpstr>
      <vt:lpstr>Bridge_to_determine_costs_used_for_calculation_for_Determined_costs_real_for_NR23_only</vt:lpstr>
      <vt:lpstr>Charge_as_a___of_UK_en_route_rate_real__Operating_Cost_Margin_only_</vt:lpstr>
      <vt:lpstr>Charge_as_a___of_UK_en_route_rate_real__RAB_only_</vt:lpstr>
      <vt:lpstr>Charge_per_pax__Cost_Operating_Margin_only_</vt:lpstr>
      <vt:lpstr>Charge_per_pax__RAB_only_</vt:lpstr>
      <vt:lpstr>Constants</vt:lpstr>
      <vt:lpstr>Corporation_tax_calculated_real</vt:lpstr>
      <vt:lpstr>Corporation_tax_grossed_up</vt:lpstr>
      <vt:lpstr>Cost_of_UKADS1.High</vt:lpstr>
      <vt:lpstr>Cost_of_UKADS1.Low</vt:lpstr>
      <vt:lpstr>Cost_of_UKADS1.Mid</vt:lpstr>
      <vt:lpstr>Cost_of_UKADSF.High</vt:lpstr>
      <vt:lpstr>Cost_of_UKADSF.Low</vt:lpstr>
      <vt:lpstr>Cost_of_UKADSF.Mid</vt:lpstr>
      <vt:lpstr>CPI_Index_Forecast</vt:lpstr>
      <vt:lpstr>CPI_Index_Forecast__Calculations_</vt:lpstr>
      <vt:lpstr>CPI_Index_forecast_flag</vt:lpstr>
      <vt:lpstr>CPI_Inflation</vt:lpstr>
      <vt:lpstr>DC_per_flight_from_2026_nominal__RAB_only_</vt:lpstr>
      <vt:lpstr>DC_per_flight_from_2026_real__RAB_only_</vt:lpstr>
      <vt:lpstr>DC_per_flight_nominal__RAB_only_</vt:lpstr>
      <vt:lpstr>DC_per_flight_nominal_from_2026</vt:lpstr>
      <vt:lpstr>DC_per_flight_real</vt:lpstr>
      <vt:lpstr>DC_per_Flight_Real__RAB_only_</vt:lpstr>
      <vt:lpstr>DC_per_flight_real_from_2026</vt:lpstr>
      <vt:lpstr>DC_per_SU_from_2026_nominal__RAB_only_</vt:lpstr>
      <vt:lpstr>DC_per_SU_from_2026_real__RAB_only_</vt:lpstr>
      <vt:lpstr>DC_per_SU_nominal__RAB_only_</vt:lpstr>
      <vt:lpstr>DC_per_SU_nominal_from_2026</vt:lpstr>
      <vt:lpstr>DC_per_SU_real</vt:lpstr>
      <vt:lpstr>DC_per_SU_real__RAB_only_</vt:lpstr>
      <vt:lpstr>DC_per_SU_real_from_2026</vt:lpstr>
      <vt:lpstr>Determined_Cost_from_2026_nominal__RAB_Only_</vt:lpstr>
      <vt:lpstr>Determined_Cost_from_2026_real__10_year_period_</vt:lpstr>
      <vt:lpstr>Determined_Cost_from_2026_real__NR23_period_</vt:lpstr>
      <vt:lpstr>Determined_Cost_from_2026_Real__RAB_only_</vt:lpstr>
      <vt:lpstr>Determined_Cost_from_2026_Real__RAB_only__Terminal_Value_</vt:lpstr>
      <vt:lpstr>Determined_Cost_nominal_from_2026</vt:lpstr>
      <vt:lpstr>Determined_Cost_Real</vt:lpstr>
      <vt:lpstr>Determined_costs_for_RAB_Real_for_2026_only</vt:lpstr>
      <vt:lpstr>Determined_Costs_Real__RAB_only_</vt:lpstr>
      <vt:lpstr>Determined_costs_real_for_2026_only</vt:lpstr>
      <vt:lpstr>Determined_costs_real_for_NR23___RAB_only_</vt:lpstr>
      <vt:lpstr>Determined_costs_real_for_NR23_only</vt:lpstr>
      <vt:lpstr>Determined_costs_real_from_2026</vt:lpstr>
      <vt:lpstr>Determined_costs_real_from_2026__10_year_period_</vt:lpstr>
      <vt:lpstr>Determined_costs_real_from_2026__NR23_period_</vt:lpstr>
      <vt:lpstr>Estimated_annual_costs_of_providing_the_UKADS_and_the_Support_Fund_10_year</vt:lpstr>
      <vt:lpstr>Estimated_annual_costs_of_providing_the_UKADS_and_the_Support_Fund_NR23</vt:lpstr>
      <vt:lpstr>FirstRow</vt:lpstr>
      <vt:lpstr>FirstTime</vt:lpstr>
      <vt:lpstr>Flights</vt:lpstr>
      <vt:lpstr>Forecast_Closing_RAB_for_10_year_period_only</vt:lpstr>
      <vt:lpstr>Forecast_closing_RAB_for_NR23_period</vt:lpstr>
      <vt:lpstr>Forecast_RAB_for_NR23_period</vt:lpstr>
      <vt:lpstr>Headings</vt:lpstr>
      <vt:lpstr>Initial_Calculations_Determined_Cost_Real_from_2026</vt:lpstr>
      <vt:lpstr>Initial_Calculations_Determined_Cost_Real_from_2026__RAB_only_</vt:lpstr>
      <vt:lpstr>Label</vt:lpstr>
      <vt:lpstr>'Cost+ Operating Margin'!MasterALERT</vt:lpstr>
      <vt:lpstr>Inputs!MasterALERT</vt:lpstr>
      <vt:lpstr>'Operating Cost + Margin Report'!MasterALERT</vt:lpstr>
      <vt:lpstr>RAB!MasterALERT</vt:lpstr>
      <vt:lpstr>'RAB model Report'!MasterALERT</vt:lpstr>
      <vt:lpstr>'Scenarios Chosen'!MasterALERT</vt:lpstr>
      <vt:lpstr>Time!MasterALERT</vt:lpstr>
      <vt:lpstr>'Cost+ Operating Margin'!MasterCHK</vt:lpstr>
      <vt:lpstr>Inputs!MasterCHK</vt:lpstr>
      <vt:lpstr>'Operating Cost + Margin Report'!MasterCHK</vt:lpstr>
      <vt:lpstr>RAB!MasterCHK</vt:lpstr>
      <vt:lpstr>'RAB model Report'!MasterCHK</vt:lpstr>
      <vt:lpstr>'Scenarios Chosen'!MasterCHK</vt:lpstr>
      <vt:lpstr>Time!MasterCHK</vt:lpstr>
      <vt:lpstr>Model_period_end</vt:lpstr>
      <vt:lpstr>Model_period_start</vt:lpstr>
      <vt:lpstr>Net_Capex_for_the_year</vt:lpstr>
      <vt:lpstr>NR23_flag</vt:lpstr>
      <vt:lpstr>NR23_specific_date_flag</vt:lpstr>
      <vt:lpstr>NR33__Closing_RAB_end_date__flag</vt:lpstr>
      <vt:lpstr>Opex_Real</vt:lpstr>
      <vt:lpstr>Period_number</vt:lpstr>
      <vt:lpstr>RAB</vt:lpstr>
      <vt:lpstr>RAB.BEG</vt:lpstr>
      <vt:lpstr>RAB_depreciation_nominal.1</vt:lpstr>
      <vt:lpstr>RAB_depreciation_nominal.10</vt:lpstr>
      <vt:lpstr>RAB_depreciation_nominal.11</vt:lpstr>
      <vt:lpstr>RAB_depreciation_nominal.2</vt:lpstr>
      <vt:lpstr>RAB_depreciation_nominal.3</vt:lpstr>
      <vt:lpstr>RAB_depreciation_nominal.4</vt:lpstr>
      <vt:lpstr>RAB_depreciation_nominal.5</vt:lpstr>
      <vt:lpstr>RAB_depreciation_nominal.6</vt:lpstr>
      <vt:lpstr>RAB_depreciation_nominal.7</vt:lpstr>
      <vt:lpstr>RAB_depreciation_nominal.8</vt:lpstr>
      <vt:lpstr>RAB_depreciation_nominal.9</vt:lpstr>
      <vt:lpstr>RAB_Indexation</vt:lpstr>
      <vt:lpstr>Regulatory_return_nominal</vt:lpstr>
      <vt:lpstr>Regulatory_return_real</vt:lpstr>
      <vt:lpstr>ReportBarFormat</vt:lpstr>
      <vt:lpstr>Service_Units</vt:lpstr>
      <vt:lpstr>Slow_Money</vt:lpstr>
      <vt:lpstr>Timeline_label</vt:lpstr>
      <vt:lpstr>TimeRow</vt:lpstr>
      <vt:lpstr>TOCFirstLine</vt:lpstr>
      <vt:lpstr>TOCobxCost__Operating_Margin</vt:lpstr>
      <vt:lpstr>TOCobxCost__Operating_Margin.Calculations_for_Final_reporting</vt:lpstr>
      <vt:lpstr>TOCobxCost__Operating_Margin.Calculations_for_Final_reporting.10_year_period</vt:lpstr>
      <vt:lpstr>TOCobxCost__Operating_Margin.Calculations_for_Final_reporting.NR23_period</vt:lpstr>
      <vt:lpstr>TOCobxInputs</vt:lpstr>
      <vt:lpstr>TOCobxInputs.Dates</vt:lpstr>
      <vt:lpstr>TOCobxInputs.Headers</vt:lpstr>
      <vt:lpstr>TOCobxInputs.Model_Constants</vt:lpstr>
      <vt:lpstr>TOCobxInputs.Model_Constants.Model_Scenarios</vt:lpstr>
      <vt:lpstr>TOCobxInputs.Model_Constants.Model_Scenarios.Time_based</vt:lpstr>
      <vt:lpstr>TOCobxInputs.Model_Constants.Model_Scenarios.Time_based.RAB_Input</vt:lpstr>
      <vt:lpstr>TOCobxRAB</vt:lpstr>
      <vt:lpstr>TOCobxRAB.Calculations_for_Final_reporting</vt:lpstr>
      <vt:lpstr>TOCobxRAB.Calculations_for_Final_reporting.10_year_period</vt:lpstr>
      <vt:lpstr>TOCobxRAB.Calculations_for_Final_reporting.NR23_period</vt:lpstr>
      <vt:lpstr>TOCobxRAB.RAB_calculations</vt:lpstr>
      <vt:lpstr>TOCobxScenarios_Chosen</vt:lpstr>
      <vt:lpstr>TOCobxScenarios_Chosen.Calculations_for_Final_reporting</vt:lpstr>
      <vt:lpstr>TOCobxScenarios_Chosen.Calculations_for_Final_reporting.10_year_period</vt:lpstr>
      <vt:lpstr>TOCobxScenarios_Chosen.Calculations_for_Final_reporting.NR23_period</vt:lpstr>
      <vt:lpstr>TOCobxTime</vt:lpstr>
      <vt:lpstr>TOCobxTime.2025_flag_1</vt:lpstr>
      <vt:lpstr>TOCobxTime.2026_flag_1</vt:lpstr>
      <vt:lpstr>TOCobxTime.CPI_Calculations</vt:lpstr>
      <vt:lpstr>TOCobxTime.CPI_Index_forecast_flag_1</vt:lpstr>
      <vt:lpstr>TOCobxTime.Headers</vt:lpstr>
      <vt:lpstr>TOCobxTime.NR23_flag_1</vt:lpstr>
      <vt:lpstr>TOCobxTime.NR23_specific_date_flag_1</vt:lpstr>
      <vt:lpstr>TOCobxTime.NR33__Closing_RAB_end_date__flag_1</vt:lpstr>
      <vt:lpstr>TOCrepobxOperating_Cost___Margin_Report_Year</vt:lpstr>
      <vt:lpstr>TOCrepobxRAB_model_Report_Year</vt:lpstr>
      <vt:lpstr>Total_RAB_depreciation</vt:lpstr>
      <vt:lpstr>Total_RAB_depreciation_real</vt:lpstr>
      <vt:lpstr>Totals</vt:lpstr>
      <vt:lpstr>UKADS1_scenario_chosen</vt:lpstr>
      <vt:lpstr>UKADSF_scenarios_chosen</vt:lpstr>
      <vt:lpstr>Units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Hassan Moazzam</dc:creator>
  <cp:keywords/>
  <dc:description/>
  <cp:lastModifiedBy>Pippa Rooke</cp:lastModifiedBy>
  <cp:revision/>
  <dcterms:created xsi:type="dcterms:W3CDTF">2025-04-30T15:29:15Z</dcterms:created>
  <dcterms:modified xsi:type="dcterms:W3CDTF">2025-06-12T08:13:12Z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0x010100026BFE6A34D44FF09C8C098CCC1B744C009B8D996D0FD744A9A49CFBFA9017BD7300DCE6BBC719F04439B1E62E13E353A984005CBE5C5449DD8A44B4A6548A8E2D2E9F</vt:lpwstr>
  </property>
  <property fmtid="{D5CDD505-2E9C-101B-9397-08002B2CF9AE}" pid="3" name="CAAContentGroup">
    <vt:lpwstr>10;#Project|8f0ac385-1b1c-42dd-8d95-2d53389c5a43</vt:lpwstr>
  </property>
  <property fmtid="{D5CDD505-2E9C-101B-9397-08002B2CF9AE}" pid="4" name="CAADepartments">
    <vt:lpwstr>1;#Consumers and Markets|aaae88c1-0366-4a2a-8362-d7feeedf0c8e</vt:lpwstr>
  </property>
  <property fmtid="{D5CDD505-2E9C-101B-9397-08002B2CF9AE}" pid="5" name="CAABusinessFunctions">
    <vt:lpwstr>2;#Aviation Consumer Protection|ec17897e-028e-417d-afc9-b145dc8f0a0b;#3;#Market and Performance Regulation|7c83a01d-94da-43c4-a6c6-f97ba212aa86</vt:lpwstr>
  </property>
  <property fmtid="{D5CDD505-2E9C-101B-9397-08002B2CF9AE}" pid="6" name="_dlc_DocIdItemGuid">
    <vt:lpwstr>1e72c12e-f777-46c5-ad92-61943a2bfc1c</vt:lpwstr>
  </property>
  <property fmtid="{D5CDD505-2E9C-101B-9397-08002B2CF9AE}" pid="7" name="MSIP_Label_1e6039e1-a83a-4485-9581-62128b86c05c_Enabled">
    <vt:lpwstr>true</vt:lpwstr>
  </property>
  <property fmtid="{D5CDD505-2E9C-101B-9397-08002B2CF9AE}" pid="8" name="MSIP_Label_1e6039e1-a83a-4485-9581-62128b86c05c_SetDate">
    <vt:lpwstr>2025-06-12T08:13:10Z</vt:lpwstr>
  </property>
  <property fmtid="{D5CDD505-2E9C-101B-9397-08002B2CF9AE}" pid="9" name="MSIP_Label_1e6039e1-a83a-4485-9581-62128b86c05c_Method">
    <vt:lpwstr>Privileged</vt:lpwstr>
  </property>
  <property fmtid="{D5CDD505-2E9C-101B-9397-08002B2CF9AE}" pid="10" name="MSIP_Label_1e6039e1-a83a-4485-9581-62128b86c05c_Name">
    <vt:lpwstr>O - Unrestricted - Public</vt:lpwstr>
  </property>
  <property fmtid="{D5CDD505-2E9C-101B-9397-08002B2CF9AE}" pid="11" name="MSIP_Label_1e6039e1-a83a-4485-9581-62128b86c05c_SiteId">
    <vt:lpwstr>c4edd5ba-10c3-4fe3-946a-7c9c446ab8c8</vt:lpwstr>
  </property>
  <property fmtid="{D5CDD505-2E9C-101B-9397-08002B2CF9AE}" pid="12" name="MSIP_Label_1e6039e1-a83a-4485-9581-62128b86c05c_ActionId">
    <vt:lpwstr>ffb89cd4-544d-4a6d-8fe1-5963e6e876de</vt:lpwstr>
  </property>
  <property fmtid="{D5CDD505-2E9C-101B-9397-08002B2CF9AE}" pid="13" name="MSIP_Label_1e6039e1-a83a-4485-9581-62128b86c05c_ContentBits">
    <vt:lpwstr>3</vt:lpwstr>
  </property>
</Properties>
</file>