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omments2.xml" ContentType="application/vnd.openxmlformats-officedocument.spreadsheetml.comments+xml"/>
  <Override PartName="/xl/threadedComments/threadedComment2.xml" ContentType="application/vnd.ms-excel.threadedcomments+xml"/>
  <Override PartName="/xl/customProperty6.bin" ContentType="application/vnd.openxmlformats-officedocument.spreadsheetml.customProperty"/>
  <Override PartName="/xl/customProperty7.bin" ContentType="application/vnd.openxmlformats-officedocument.spreadsheetml.customProperty"/>
  <Override PartName="/xl/comments3.xml" ContentType="application/vnd.openxmlformats-officedocument.spreadsheetml.comments+xml"/>
  <Override PartName="/xl/customProperty8.bin" ContentType="application/vnd.openxmlformats-officedocument.spreadsheetml.customProperty"/>
  <Override PartName="/xl/comments4.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omments5.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caa-my.sharepoint.com/personal/dan_rock_caa_co_uk/Documents/"/>
    </mc:Choice>
  </mc:AlternateContent>
  <xr:revisionPtr revIDLastSave="25" documentId="8_{019B1B51-E2B8-4532-8686-C7FF85B3FFEE}" xr6:coauthVersionLast="47" xr6:coauthVersionMax="47" xr10:uidLastSave="{3D489820-40F0-49E8-B1D2-47CAABBDEA69}"/>
  <bookViews>
    <workbookView xWindow="-120" yWindow="-120" windowWidth="20730" windowHeight="11160" tabRatio="693" firstSheet="3" activeTab="16" xr2:uid="{00000000-000D-0000-FFFF-FFFF00000000}"/>
  </bookViews>
  <sheets>
    <sheet name="Checks" sheetId="34" r:id="rId1"/>
    <sheet name="T1" sheetId="2" r:id="rId2"/>
    <sheet name="T1 ANSP" sheetId="12" r:id="rId3"/>
    <sheet name="T1 MET" sheetId="11" r:id="rId4"/>
    <sheet name="T1 NSA" sheetId="10" r:id="rId5"/>
    <sheet name="T2" sheetId="35" r:id="rId6"/>
    <sheet name="T2 ANSP" sheetId="36" r:id="rId7"/>
    <sheet name="T2 MET" sheetId="37" r:id="rId8"/>
    <sheet name="T2 NSA" sheetId="38" r:id="rId9"/>
    <sheet name="T3" sheetId="39" r:id="rId10"/>
    <sheet name="T3 ANSP" sheetId="40" r:id="rId11"/>
    <sheet name="T3 MET" sheetId="48" r:id="rId12"/>
    <sheet name="T3 MET old" sheetId="41" state="hidden" r:id="rId13"/>
    <sheet name="T3 NSA" sheetId="49" r:id="rId14"/>
    <sheet name="T3 NSA old" sheetId="42" state="hidden" r:id="rId15"/>
    <sheet name="T4" sheetId="46" r:id="rId16"/>
    <sheet name="RP3 PP" sheetId="45" r:id="rId17"/>
  </sheets>
  <externalReferences>
    <externalReference r:id="rId18"/>
    <externalReference r:id="rId19"/>
    <externalReference r:id="rId20"/>
    <externalReference r:id="rId21"/>
    <externalReference r:id="rId22"/>
  </externalReferences>
  <definedNames>
    <definedName name="_" localSheetId="16">#REF!</definedName>
    <definedName name="_" localSheetId="15">#REF!</definedName>
    <definedName name="_">#REF!</definedName>
    <definedName name="____DCn1" localSheetId="0">#REF!</definedName>
    <definedName name="____DCn1" localSheetId="16">#REF!</definedName>
    <definedName name="____DCn1" localSheetId="15">#REF!</definedName>
    <definedName name="____DCn1">#REF!</definedName>
    <definedName name="____DCn2" localSheetId="0">#REF!</definedName>
    <definedName name="____DCn2" localSheetId="16">#REF!</definedName>
    <definedName name="____DCn2" localSheetId="15">#REF!</definedName>
    <definedName name="____DCn2">#REF!</definedName>
    <definedName name="____EZ2" localSheetId="16" hidden="1">{#N/A,#N/A,TRUE,"Page de garde";#N/A,#N/A,TRUE,"Récap";#N/A,#N/A,TRUE,"2001";#N/A,#N/A,TRUE,"2002";#N/A,#N/A,TRUE,"MN";#N/A,#N/A,TRUE,"CB-CN ";#N/A,#N/A,TRUE,"Point TVA (avec ES)"}</definedName>
    <definedName name="____EZ2" localSheetId="15" hidden="1">{#N/A,#N/A,TRUE,"Page de garde";#N/A,#N/A,TRUE,"Récap";#N/A,#N/A,TRUE,"2001";#N/A,#N/A,TRUE,"2002";#N/A,#N/A,TRUE,"MN";#N/A,#N/A,TRUE,"CB-CN ";#N/A,#N/A,TRUE,"Point TVA (avec ES)"}</definedName>
    <definedName name="____EZ2" hidden="1">{#N/A,#N/A,TRUE,"Page de garde";#N/A,#N/A,TRUE,"Récap";#N/A,#N/A,TRUE,"2001";#N/A,#N/A,TRUE,"2002";#N/A,#N/A,TRUE,"MN";#N/A,#N/A,TRUE,"CB-CN ";#N/A,#N/A,TRUE,"Point TVA (avec ES)"}</definedName>
    <definedName name="____qry2000" localSheetId="16">#REF!</definedName>
    <definedName name="____qry2000" localSheetId="15">#REF!</definedName>
    <definedName name="____qry2000">#REF!</definedName>
    <definedName name="___EZ2" localSheetId="16" hidden="1">{#N/A,#N/A,TRUE,"Page de garde";#N/A,#N/A,TRUE,"Récap";#N/A,#N/A,TRUE,"2001";#N/A,#N/A,TRUE,"2002";#N/A,#N/A,TRUE,"MN";#N/A,#N/A,TRUE,"CB-CN ";#N/A,#N/A,TRUE,"Point TVA (avec ES)"}</definedName>
    <definedName name="___EZ2" localSheetId="15" hidden="1">{#N/A,#N/A,TRUE,"Page de garde";#N/A,#N/A,TRUE,"Récap";#N/A,#N/A,TRUE,"2001";#N/A,#N/A,TRUE,"2002";#N/A,#N/A,TRUE,"MN";#N/A,#N/A,TRUE,"CB-CN ";#N/A,#N/A,TRUE,"Point TVA (avec ES)"}</definedName>
    <definedName name="___EZ2" hidden="1">{#N/A,#N/A,TRUE,"Page de garde";#N/A,#N/A,TRUE,"Récap";#N/A,#N/A,TRUE,"2001";#N/A,#N/A,TRUE,"2002";#N/A,#N/A,TRUE,"MN";#N/A,#N/A,TRUE,"CB-CN ";#N/A,#N/A,TRUE,"Point TVA (avec ES)"}</definedName>
    <definedName name="___qry2000" localSheetId="16">#REF!</definedName>
    <definedName name="___qry2000" localSheetId="15">#REF!</definedName>
    <definedName name="___qry2000">#REF!</definedName>
    <definedName name="__EZ2" localSheetId="16" hidden="1">{#N/A,#N/A,TRUE,"Page de garde";#N/A,#N/A,TRUE,"Récap";#N/A,#N/A,TRUE,"2001";#N/A,#N/A,TRUE,"2002";#N/A,#N/A,TRUE,"MN";#N/A,#N/A,TRUE,"CB-CN ";#N/A,#N/A,TRUE,"Point TVA (avec ES)"}</definedName>
    <definedName name="__EZ2" localSheetId="15" hidden="1">{#N/A,#N/A,TRUE,"Page de garde";#N/A,#N/A,TRUE,"Récap";#N/A,#N/A,TRUE,"2001";#N/A,#N/A,TRUE,"2002";#N/A,#N/A,TRUE,"MN";#N/A,#N/A,TRUE,"CB-CN ";#N/A,#N/A,TRUE,"Point TVA (avec ES)"}</definedName>
    <definedName name="__EZ2" hidden="1">{#N/A,#N/A,TRUE,"Page de garde";#N/A,#N/A,TRUE,"Récap";#N/A,#N/A,TRUE,"2001";#N/A,#N/A,TRUE,"2002";#N/A,#N/A,TRUE,"MN";#N/A,#N/A,TRUE,"CB-CN ";#N/A,#N/A,TRUE,"Point TVA (avec ES)"}</definedName>
    <definedName name="__gry2000" localSheetId="16">#REF!</definedName>
    <definedName name="__gry2000" localSheetId="15">#REF!</definedName>
    <definedName name="__gry2000">#REF!</definedName>
    <definedName name="__qry2000" localSheetId="16">#REF!</definedName>
    <definedName name="__qry2000" localSheetId="15">#REF!</definedName>
    <definedName name="__qry2000">#REF!</definedName>
    <definedName name="_a" localSheetId="16">#REF!</definedName>
    <definedName name="_a" localSheetId="15">#REF!</definedName>
    <definedName name="_a">#REF!</definedName>
    <definedName name="_BQ4.2" localSheetId="16" hidden="1">#REF!</definedName>
    <definedName name="_BQ4.2" hidden="1">#REF!</definedName>
    <definedName name="_BQ4.3" localSheetId="16" hidden="1">#REF!</definedName>
    <definedName name="_BQ4.3" hidden="1">#REF!</definedName>
    <definedName name="_BQ4.4" localSheetId="16" hidden="1">#REF!</definedName>
    <definedName name="_BQ4.4" hidden="1">#REF!</definedName>
    <definedName name="_EZ2" localSheetId="16" hidden="1">{#N/A,#N/A,TRUE,"Page de garde";#N/A,#N/A,TRUE,"Récap";#N/A,#N/A,TRUE,"2001";#N/A,#N/A,TRUE,"2002";#N/A,#N/A,TRUE,"MN";#N/A,#N/A,TRUE,"CB-CN ";#N/A,#N/A,TRUE,"Point TVA (avec ES)"}</definedName>
    <definedName name="_EZ2" localSheetId="15" hidden="1">{#N/A,#N/A,TRUE,"Page de garde";#N/A,#N/A,TRUE,"Récap";#N/A,#N/A,TRUE,"2001";#N/A,#N/A,TRUE,"2002";#N/A,#N/A,TRUE,"MN";#N/A,#N/A,TRUE,"CB-CN ";#N/A,#N/A,TRUE,"Point TVA (avec ES)"}</definedName>
    <definedName name="_EZ2" hidden="1">{#N/A,#N/A,TRUE,"Page de garde";#N/A,#N/A,TRUE,"Récap";#N/A,#N/A,TRUE,"2001";#N/A,#N/A,TRUE,"2002";#N/A,#N/A,TRUE,"MN";#N/A,#N/A,TRUE,"CB-CN ";#N/A,#N/A,TRUE,"Point TVA (avec ES)"}</definedName>
    <definedName name="_xlnm._FilterDatabase" localSheetId="0" hidden="1">Checks!$A$10:$AD$171</definedName>
    <definedName name="_xlnm._FilterDatabase" localSheetId="9" hidden="1">'T3'!$A$8:$M$172</definedName>
    <definedName name="_xlnm._FilterDatabase" localSheetId="10" hidden="1">'T3 ANSP'!$A$8:$M$248</definedName>
    <definedName name="_xlnm._FilterDatabase" localSheetId="11" hidden="1">'T3 MET'!$A$8:$M$248</definedName>
    <definedName name="_xlnm._FilterDatabase" localSheetId="12" hidden="1">'T3 MET old'!$A$8:$J$172</definedName>
    <definedName name="_xlnm._FilterDatabase" localSheetId="13" hidden="1">'T3 NSA'!$A$8:$M$248</definedName>
    <definedName name="_xlnm._FilterDatabase" localSheetId="14" hidden="1">'T3 NSA old'!$A$8:$J$172</definedName>
    <definedName name="_qry1999" localSheetId="16">#REF!</definedName>
    <definedName name="_qry1999" localSheetId="15">#REF!</definedName>
    <definedName name="_qry1999">#REF!</definedName>
    <definedName name="_qry2000" localSheetId="16">#REF!</definedName>
    <definedName name="_qry2000" localSheetId="15">#REF!</definedName>
    <definedName name="_qry2000">#REF!</definedName>
    <definedName name="_tblType" localSheetId="16">#REF!</definedName>
    <definedName name="_tblType" localSheetId="15">#REF!</definedName>
    <definedName name="_tblType">#REF!</definedName>
    <definedName name="aa" localSheetId="16">#REF!</definedName>
    <definedName name="aa">#REF!</definedName>
    <definedName name="aaa">[1]BEF!$F$8</definedName>
    <definedName name="AINFn1" localSheetId="0">#REF!</definedName>
    <definedName name="AINFn1" localSheetId="16">#REF!</definedName>
    <definedName name="AINFn1" localSheetId="15">#REF!</definedName>
    <definedName name="AINFn1">#REF!</definedName>
    <definedName name="AINFn2" localSheetId="0">#REF!</definedName>
    <definedName name="AINFn2" localSheetId="16">#REF!</definedName>
    <definedName name="AINFn2" localSheetId="15">#REF!</definedName>
    <definedName name="AINFn2">#REF!</definedName>
    <definedName name="Antal">'[2]Indata Flygskolor'!$A$6:$A$25</definedName>
    <definedName name="Bel" localSheetId="16">#REF!</definedName>
    <definedName name="Bel" localSheetId="15">#REF!</definedName>
    <definedName name="Bel">#REF!</definedName>
    <definedName name="Belux" localSheetId="16">#REF!</definedName>
    <definedName name="Belux" localSheetId="15">#REF!</definedName>
    <definedName name="Belux">#REF!</definedName>
    <definedName name="beu" localSheetId="16" hidden="1">{#N/A,#N/A,TRUE,"Page de garde";#N/A,#N/A,TRUE,"Récap";#N/A,#N/A,TRUE,"2001";#N/A,#N/A,TRUE,"2002";#N/A,#N/A,TRUE,"MN";#N/A,#N/A,TRUE,"CB-CN ";#N/A,#N/A,TRUE,"Point TVA (avec ES)"}</definedName>
    <definedName name="beu" localSheetId="15" hidden="1">{#N/A,#N/A,TRUE,"Page de garde";#N/A,#N/A,TRUE,"Récap";#N/A,#N/A,TRUE,"2001";#N/A,#N/A,TRUE,"2002";#N/A,#N/A,TRUE,"MN";#N/A,#N/A,TRUE,"CB-CN ";#N/A,#N/A,TRUE,"Point TVA (avec ES)"}</definedName>
    <definedName name="beu" hidden="1">{#N/A,#N/A,TRUE,"Page de garde";#N/A,#N/A,TRUE,"Récap";#N/A,#N/A,TRUE,"2001";#N/A,#N/A,TRUE,"2002";#N/A,#N/A,TRUE,"MN";#N/A,#N/A,TRUE,"CB-CN ";#N/A,#N/A,TRUE,"Point TVA (avec ES)"}</definedName>
    <definedName name="buiohno" localSheetId="16" hidden="1">{#N/A,#N/A,FALSE,"Synthèse";#N/A,#N/A,FALSE,"Evolution de la TVA";#N/A,#N/A,FALSE,"Ventilation DGI-Douanes";#N/A,#N/A,FALSE,"prévision hors constaté ";#N/A,#N/A,FALSE,"recettes et écart à la prévisio"}</definedName>
    <definedName name="buiohno" localSheetId="15" hidden="1">{#N/A,#N/A,FALSE,"Synthèse";#N/A,#N/A,FALSE,"Evolution de la TVA";#N/A,#N/A,FALSE,"Ventilation DGI-Douanes";#N/A,#N/A,FALSE,"prévision hors constaté ";#N/A,#N/A,FALSE,"recettes et écart à la prévisio"}</definedName>
    <definedName name="buiohno" hidden="1">{#N/A,#N/A,FALSE,"Synthèse";#N/A,#N/A,FALSE,"Evolution de la TVA";#N/A,#N/A,FALSE,"Ventilation DGI-Douanes";#N/A,#N/A,FALSE,"prévision hors constaté ";#N/A,#N/A,FALSE,"recettes et écart à la prévisio"}</definedName>
    <definedName name="ceats" localSheetId="16">#REF!</definedName>
    <definedName name="ceats" localSheetId="15">#REF!</definedName>
    <definedName name="ceats">#REF!</definedName>
    <definedName name="ceats2" localSheetId="16">#REF!</definedName>
    <definedName name="ceats2" localSheetId="15">#REF!</definedName>
    <definedName name="ceats2">#REF!</definedName>
    <definedName name="ceats234" localSheetId="16">#REF!</definedName>
    <definedName name="ceats234" localSheetId="15">#REF!</definedName>
    <definedName name="ceats234">#REF!</definedName>
    <definedName name="COPIE" localSheetId="16" hidden="1">{#N/A,#N/A,TRUE,"Page de garde";#N/A,#N/A,TRUE,"Récap";#N/A,#N/A,TRUE,"2001";#N/A,#N/A,TRUE,"2002";#N/A,#N/A,TRUE,"MN";#N/A,#N/A,TRUE,"CB-CN ";#N/A,#N/A,TRUE,"Point TVA (avec ES)"}</definedName>
    <definedName name="COPIE" localSheetId="15" hidden="1">{#N/A,#N/A,TRUE,"Page de garde";#N/A,#N/A,TRUE,"Récap";#N/A,#N/A,TRUE,"2001";#N/A,#N/A,TRUE,"2002";#N/A,#N/A,TRUE,"MN";#N/A,#N/A,TRUE,"CB-CN ";#N/A,#N/A,TRUE,"Point TVA (avec ES)"}</definedName>
    <definedName name="COPIE" hidden="1">{#N/A,#N/A,TRUE,"Page de garde";#N/A,#N/A,TRUE,"Récap";#N/A,#N/A,TRUE,"2001";#N/A,#N/A,TRUE,"2002";#N/A,#N/A,TRUE,"MN";#N/A,#N/A,TRUE,"CB-CN ";#N/A,#N/A,TRUE,"Point TVA (avec ES)"}</definedName>
    <definedName name="COURANT" localSheetId="16" hidden="1">{#N/A,#N/A,FALSE,"Synthèse";#N/A,#N/A,FALSE,"Evolution de la TVA";#N/A,#N/A,FALSE,"Ventilation DGI-Douanes";#N/A,#N/A,FALSE,"prévision hors constaté ";#N/A,#N/A,FALSE,"recettes et écart à la prévisio"}</definedName>
    <definedName name="COURANT" localSheetId="15" hidden="1">{#N/A,#N/A,FALSE,"Synthèse";#N/A,#N/A,FALSE,"Evolution de la TVA";#N/A,#N/A,FALSE,"Ventilation DGI-Douanes";#N/A,#N/A,FALSE,"prévision hors constaté ";#N/A,#N/A,FALSE,"recettes et écart à la prévisio"}</definedName>
    <definedName name="COURANT" hidden="1">{#N/A,#N/A,FALSE,"Synthèse";#N/A,#N/A,FALSE,"Evolution de la TVA";#N/A,#N/A,FALSE,"Ventilation DGI-Douanes";#N/A,#N/A,FALSE,"prévision hors constaté ";#N/A,#N/A,FALSE,"recettes et écart à la prévisio"}</definedName>
    <definedName name="_xlnm.Database" localSheetId="16">#REF!</definedName>
    <definedName name="_xlnm.Database" localSheetId="15">#REF!</definedName>
    <definedName name="_xlnm.Database">#REF!</definedName>
    <definedName name="DC" localSheetId="0">#REF!</definedName>
    <definedName name="DC" localSheetId="16">#REF!</definedName>
    <definedName name="DC" localSheetId="15">#REF!</definedName>
    <definedName name="DC">#REF!</definedName>
    <definedName name="ddb" localSheetId="16">#REF!</definedName>
    <definedName name="ddb" localSheetId="15">#REF!</definedName>
    <definedName name="ddb">#REF!</definedName>
    <definedName name="ddc" localSheetId="16">#REF!</definedName>
    <definedName name="ddc">#REF!</definedName>
    <definedName name="ddd" localSheetId="16">#REF!</definedName>
    <definedName name="ddd">#REF!</definedName>
    <definedName name="dqfqq" localSheetId="16" hidden="1">{#N/A,#N/A,TRUE,"Page de garde";#N/A,#N/A,TRUE,"Récap";#N/A,#N/A,TRUE,"2001";#N/A,#N/A,TRUE,"2002";#N/A,#N/A,TRUE,"MN";#N/A,#N/A,TRUE,"CB-CN ";#N/A,#N/A,TRUE,"Point TVA (avec ES)"}</definedName>
    <definedName name="dqfqq" localSheetId="15" hidden="1">{#N/A,#N/A,TRUE,"Page de garde";#N/A,#N/A,TRUE,"Récap";#N/A,#N/A,TRUE,"2001";#N/A,#N/A,TRUE,"2002";#N/A,#N/A,TRUE,"MN";#N/A,#N/A,TRUE,"CB-CN ";#N/A,#N/A,TRUE,"Point TVA (avec ES)"}</definedName>
    <definedName name="dqfqq" hidden="1">{#N/A,#N/A,TRUE,"Page de garde";#N/A,#N/A,TRUE,"Récap";#N/A,#N/A,TRUE,"2001";#N/A,#N/A,TRUE,"2002";#N/A,#N/A,TRUE,"MN";#N/A,#N/A,TRUE,"CB-CN ";#N/A,#N/A,TRUE,"Point TVA (avec ES)"}</definedName>
    <definedName name="E2FUT" localSheetId="16" hidden="1">{#N/A,#N/A,FALSE,"couv";#N/A,#N/A,FALSE,"A1";#N/A,#N/A,FALSE,"B1";#N/A,#N/A,FALSE,"B2";#N/A,#N/A,FALSE,"C1";#N/A,#N/A,FALSE,"C3";#N/A,#N/A,FALSE,"C4";#N/A,#N/A,FALSE,"D1";#N/A,#N/A,FALSE,"D2";#N/A,#N/A,FALSE,"D3";#N/A,#N/A,FALSE,"E";#N/A,#N/A,FALSE,"E1A";#N/A,#N/A,FALSE,"E1B";#N/A,#N/A,FALSE,"E2";#N/A,#N/A,FALSE,"E3A ";#N/A,#N/A,FALSE,"E3B";#N/A,#N/A,FALSE,"E4";#N/A,#N/A,FALSE,"F1"}</definedName>
    <definedName name="E2FUT" localSheetId="15" hidden="1">{#N/A,#N/A,FALSE,"couv";#N/A,#N/A,FALSE,"A1";#N/A,#N/A,FALSE,"B1";#N/A,#N/A,FALSE,"B2";#N/A,#N/A,FALSE,"C1";#N/A,#N/A,FALSE,"C3";#N/A,#N/A,FALSE,"C4";#N/A,#N/A,FALSE,"D1";#N/A,#N/A,FALSE,"D2";#N/A,#N/A,FALSE,"D3";#N/A,#N/A,FALSE,"E";#N/A,#N/A,FALSE,"E1A";#N/A,#N/A,FALSE,"E1B";#N/A,#N/A,FALSE,"E2";#N/A,#N/A,FALSE,"E3A ";#N/A,#N/A,FALSE,"E3B";#N/A,#N/A,FALSE,"E4";#N/A,#N/A,FALSE,"F1"}</definedName>
    <definedName name="E2FUT" hidden="1">{#N/A,#N/A,FALSE,"couv";#N/A,#N/A,FALSE,"A1";#N/A,#N/A,FALSE,"B1";#N/A,#N/A,FALSE,"B2";#N/A,#N/A,FALSE,"C1";#N/A,#N/A,FALSE,"C3";#N/A,#N/A,FALSE,"C4";#N/A,#N/A,FALSE,"D1";#N/A,#N/A,FALSE,"D2";#N/A,#N/A,FALSE,"D3";#N/A,#N/A,FALSE,"E";#N/A,#N/A,FALSE,"E1A";#N/A,#N/A,FALSE,"E1B";#N/A,#N/A,FALSE,"E2";#N/A,#N/A,FALSE,"E3A ";#N/A,#N/A,FALSE,"E3B";#N/A,#N/A,FALSE,"E4";#N/A,#N/A,FALSE,"F1"}</definedName>
    <definedName name="E3FUT" localSheetId="16" hidden="1">{#N/A,#N/A,FALSE,"couv";#N/A,#N/A,FALSE,"A1";#N/A,#N/A,FALSE,"B1";#N/A,#N/A,FALSE,"B2";#N/A,#N/A,FALSE,"C1";#N/A,#N/A,FALSE,"C3";#N/A,#N/A,FALSE,"C4";#N/A,#N/A,FALSE,"D1";#N/A,#N/A,FALSE,"D2";#N/A,#N/A,FALSE,"D3";#N/A,#N/A,FALSE,"E";#N/A,#N/A,FALSE,"E1A";#N/A,#N/A,FALSE,"E1B";#N/A,#N/A,FALSE,"E2";#N/A,#N/A,FALSE,"E3A ";#N/A,#N/A,FALSE,"E3B";#N/A,#N/A,FALSE,"E4";#N/A,#N/A,FALSE,"F1"}</definedName>
    <definedName name="E3FUT" localSheetId="15" hidden="1">{#N/A,#N/A,FALSE,"couv";#N/A,#N/A,FALSE,"A1";#N/A,#N/A,FALSE,"B1";#N/A,#N/A,FALSE,"B2";#N/A,#N/A,FALSE,"C1";#N/A,#N/A,FALSE,"C3";#N/A,#N/A,FALSE,"C4";#N/A,#N/A,FALSE,"D1";#N/A,#N/A,FALSE,"D2";#N/A,#N/A,FALSE,"D3";#N/A,#N/A,FALSE,"E";#N/A,#N/A,FALSE,"E1A";#N/A,#N/A,FALSE,"E1B";#N/A,#N/A,FALSE,"E2";#N/A,#N/A,FALSE,"E3A ";#N/A,#N/A,FALSE,"E3B";#N/A,#N/A,FALSE,"E4";#N/A,#N/A,FALSE,"F1"}</definedName>
    <definedName name="E3FUT" hidden="1">{#N/A,#N/A,FALSE,"couv";#N/A,#N/A,FALSE,"A1";#N/A,#N/A,FALSE,"B1";#N/A,#N/A,FALSE,"B2";#N/A,#N/A,FALSE,"C1";#N/A,#N/A,FALSE,"C3";#N/A,#N/A,FALSE,"C4";#N/A,#N/A,FALSE,"D1";#N/A,#N/A,FALSE,"D2";#N/A,#N/A,FALSE,"D3";#N/A,#N/A,FALSE,"E";#N/A,#N/A,FALSE,"E1A";#N/A,#N/A,FALSE,"E1B";#N/A,#N/A,FALSE,"E2";#N/A,#N/A,FALSE,"E3A ";#N/A,#N/A,FALSE,"E3B";#N/A,#N/A,FALSE,"E4";#N/A,#N/A,FALSE,"F1"}</definedName>
    <definedName name="efqsd" localSheetId="16" hidden="1">{#N/A,#N/A,TRUE,"Page de garde";#N/A,#N/A,TRUE,"Récap";#N/A,#N/A,TRUE,"2001";#N/A,#N/A,TRUE,"2002";#N/A,#N/A,TRUE,"MN";#N/A,#N/A,TRUE,"CB-CN ";#N/A,#N/A,TRUE,"Point TVA (avec ES)"}</definedName>
    <definedName name="efqsd" localSheetId="15" hidden="1">{#N/A,#N/A,TRUE,"Page de garde";#N/A,#N/A,TRUE,"Récap";#N/A,#N/A,TRUE,"2001";#N/A,#N/A,TRUE,"2002";#N/A,#N/A,TRUE,"MN";#N/A,#N/A,TRUE,"CB-CN ";#N/A,#N/A,TRUE,"Point TVA (avec ES)"}</definedName>
    <definedName name="efqsd" hidden="1">{#N/A,#N/A,TRUE,"Page de garde";#N/A,#N/A,TRUE,"Récap";#N/A,#N/A,TRUE,"2001";#N/A,#N/A,TRUE,"2002";#N/A,#N/A,TRUE,"MN";#N/A,#N/A,TRUE,"CB-CN ";#N/A,#N/A,TRUE,"Point TVA (avec ES)"}</definedName>
    <definedName name="establ_fr" localSheetId="16">#REF!</definedName>
    <definedName name="establ_fr" localSheetId="15">#REF!</definedName>
    <definedName name="establ_fr">#REF!</definedName>
    <definedName name="establishment" localSheetId="16">#REF!</definedName>
    <definedName name="establishment" localSheetId="15">#REF!</definedName>
    <definedName name="establishment">#REF!</definedName>
    <definedName name="EUR" localSheetId="0">[1]BEF!$F$8</definedName>
    <definedName name="EUR">[3]BEF!$F$8</definedName>
    <definedName name="EV__LASTREFTIME__" hidden="1">39363.6565856481</definedName>
    <definedName name="exchnp6" localSheetId="16">[4]Tables!#REF!</definedName>
    <definedName name="exchnp6" localSheetId="15">[4]Tables!#REF!</definedName>
    <definedName name="exchnp6">[4]Tables!#REF!</definedName>
    <definedName name="EZ" localSheetId="16" hidden="1">{#N/A,#N/A,TRUE,"Page de garde";#N/A,#N/A,TRUE,"Récap";#N/A,#N/A,TRUE,"2001";#N/A,#N/A,TRUE,"2002";#N/A,#N/A,TRUE,"MN";#N/A,#N/A,TRUE,"CB-CN ";#N/A,#N/A,TRUE,"Point TVA (avec ES)"}</definedName>
    <definedName name="EZ" localSheetId="15" hidden="1">{#N/A,#N/A,TRUE,"Page de garde";#N/A,#N/A,TRUE,"Récap";#N/A,#N/A,TRUE,"2001";#N/A,#N/A,TRUE,"2002";#N/A,#N/A,TRUE,"MN";#N/A,#N/A,TRUE,"CB-CN ";#N/A,#N/A,TRUE,"Point TVA (avec ES)"}</definedName>
    <definedName name="EZ" hidden="1">{#N/A,#N/A,TRUE,"Page de garde";#N/A,#N/A,TRUE,"Récap";#N/A,#N/A,TRUE,"2001";#N/A,#N/A,TRUE,"2002";#N/A,#N/A,TRUE,"MN";#N/A,#N/A,TRUE,"CB-CN ";#N/A,#N/A,TRUE,"Point TVA (avec ES)"}</definedName>
    <definedName name="fd" localSheetId="16" hidden="1">{#N/A,#N/A,FALSE,"couv";#N/A,#N/A,FALSE,"A1";#N/A,#N/A,FALSE,"B1";#N/A,#N/A,FALSE,"B2";#N/A,#N/A,FALSE,"C1";#N/A,#N/A,FALSE,"C3";#N/A,#N/A,FALSE,"C4";#N/A,#N/A,FALSE,"D1";#N/A,#N/A,FALSE,"D2";#N/A,#N/A,FALSE,"D3";#N/A,#N/A,FALSE,"E";#N/A,#N/A,FALSE,"E1A";#N/A,#N/A,FALSE,"E1B";#N/A,#N/A,FALSE,"E2";#N/A,#N/A,FALSE,"E3A ";#N/A,#N/A,FALSE,"E3B";#N/A,#N/A,FALSE,"E4";#N/A,#N/A,FALSE,"F1"}</definedName>
    <definedName name="fd" localSheetId="15" hidden="1">{#N/A,#N/A,FALSE,"couv";#N/A,#N/A,FALSE,"A1";#N/A,#N/A,FALSE,"B1";#N/A,#N/A,FALSE,"B2";#N/A,#N/A,FALSE,"C1";#N/A,#N/A,FALSE,"C3";#N/A,#N/A,FALSE,"C4";#N/A,#N/A,FALSE,"D1";#N/A,#N/A,FALSE,"D2";#N/A,#N/A,FALSE,"D3";#N/A,#N/A,FALSE,"E";#N/A,#N/A,FALSE,"E1A";#N/A,#N/A,FALSE,"E1B";#N/A,#N/A,FALSE,"E2";#N/A,#N/A,FALSE,"E3A ";#N/A,#N/A,FALSE,"E3B";#N/A,#N/A,FALSE,"E4";#N/A,#N/A,FALSE,"F1"}</definedName>
    <definedName name="fd" hidden="1">{#N/A,#N/A,FALSE,"couv";#N/A,#N/A,FALSE,"A1";#N/A,#N/A,FALSE,"B1";#N/A,#N/A,FALSE,"B2";#N/A,#N/A,FALSE,"C1";#N/A,#N/A,FALSE,"C3";#N/A,#N/A,FALSE,"C4";#N/A,#N/A,FALSE,"D1";#N/A,#N/A,FALSE,"D2";#N/A,#N/A,FALSE,"D3";#N/A,#N/A,FALSE,"E";#N/A,#N/A,FALSE,"E1A";#N/A,#N/A,FALSE,"E1B";#N/A,#N/A,FALSE,"E2";#N/A,#N/A,FALSE,"E3A ";#N/A,#N/A,FALSE,"E3B";#N/A,#N/A,FALSE,"E4";#N/A,#N/A,FALSE,"F1"}</definedName>
    <definedName name="FINFn1" localSheetId="0">#REF!</definedName>
    <definedName name="FINFn1" localSheetId="16">#REF!</definedName>
    <definedName name="FINFn1" localSheetId="15">#REF!</definedName>
    <definedName name="FINFn1">#REF!</definedName>
    <definedName name="FINFn2" localSheetId="0">#REF!</definedName>
    <definedName name="FINFn2" localSheetId="16">#REF!</definedName>
    <definedName name="FINFn2" localSheetId="15">#REF!</definedName>
    <definedName name="FINFn2">#REF!</definedName>
    <definedName name="fvr" localSheetId="16" hidden="1">{#N/A,#N/A,TRUE,"Page de garde";#N/A,#N/A,TRUE,"Récap";#N/A,#N/A,TRUE,"2001";#N/A,#N/A,TRUE,"2002";#N/A,#N/A,TRUE,"MN";#N/A,#N/A,TRUE,"CB-CN ";#N/A,#N/A,TRUE,"Point TVA (avec ES)"}</definedName>
    <definedName name="fvr" localSheetId="15" hidden="1">{#N/A,#N/A,TRUE,"Page de garde";#N/A,#N/A,TRUE,"Récap";#N/A,#N/A,TRUE,"2001";#N/A,#N/A,TRUE,"2002";#N/A,#N/A,TRUE,"MN";#N/A,#N/A,TRUE,"CB-CN ";#N/A,#N/A,TRUE,"Point TVA (avec ES)"}</definedName>
    <definedName name="fvr" hidden="1">{#N/A,#N/A,TRUE,"Page de garde";#N/A,#N/A,TRUE,"Récap";#N/A,#N/A,TRUE,"2001";#N/A,#N/A,TRUE,"2002";#N/A,#N/A,TRUE,"MN";#N/A,#N/A,TRUE,"CB-CN ";#N/A,#N/A,TRUE,"Point TVA (avec ES)"}</definedName>
    <definedName name="General" localSheetId="16">#REF!</definedName>
    <definedName name="General" localSheetId="15">#REF!</definedName>
    <definedName name="General">#REF!</definedName>
    <definedName name="gfq" localSheetId="16" hidden="1">{#N/A,#N/A,TRUE,"Page de garde";#N/A,#N/A,TRUE,"Récap";#N/A,#N/A,TRUE,"2001";#N/A,#N/A,TRUE,"2002";#N/A,#N/A,TRUE,"MN";#N/A,#N/A,TRUE,"CB-CN ";#N/A,#N/A,TRUE,"Point TVA (avec ES)"}</definedName>
    <definedName name="gfq" localSheetId="15" hidden="1">{#N/A,#N/A,TRUE,"Page de garde";#N/A,#N/A,TRUE,"Récap";#N/A,#N/A,TRUE,"2001";#N/A,#N/A,TRUE,"2002";#N/A,#N/A,TRUE,"MN";#N/A,#N/A,TRUE,"CB-CN ";#N/A,#N/A,TRUE,"Point TVA (avec ES)"}</definedName>
    <definedName name="gfq" hidden="1">{#N/A,#N/A,TRUE,"Page de garde";#N/A,#N/A,TRUE,"Récap";#N/A,#N/A,TRUE,"2001";#N/A,#N/A,TRUE,"2002";#N/A,#N/A,TRUE,"MN";#N/A,#N/A,TRUE,"CB-CN ";#N/A,#N/A,TRUE,"Point TVA (avec ES)"}</definedName>
    <definedName name="ghcfyhj" localSheetId="16" hidden="1">{#N/A,#N/A,TRUE,"Page de garde";#N/A,#N/A,TRUE,"Récap";#N/A,#N/A,TRUE,"2001";#N/A,#N/A,TRUE,"2002";#N/A,#N/A,TRUE,"MN";#N/A,#N/A,TRUE,"CB-CN ";#N/A,#N/A,TRUE,"Point TVA (avec ES)"}</definedName>
    <definedName name="ghcfyhj" localSheetId="15" hidden="1">{#N/A,#N/A,TRUE,"Page de garde";#N/A,#N/A,TRUE,"Récap";#N/A,#N/A,TRUE,"2001";#N/A,#N/A,TRUE,"2002";#N/A,#N/A,TRUE,"MN";#N/A,#N/A,TRUE,"CB-CN ";#N/A,#N/A,TRUE,"Point TVA (avec ES)"}</definedName>
    <definedName name="ghcfyhj" hidden="1">{#N/A,#N/A,TRUE,"Page de garde";#N/A,#N/A,TRUE,"Récap";#N/A,#N/A,TRUE,"2001";#N/A,#N/A,TRUE,"2002";#N/A,#N/A,TRUE,"MN";#N/A,#N/A,TRUE,"CB-CN ";#N/A,#N/A,TRUE,"Point TVA (avec ES)"}</definedName>
    <definedName name="GRT" localSheetId="16" hidden="1">{#N/A,#N/A,FALSE,"Synthèse";#N/A,#N/A,FALSE,"Evolution de la TVA";#N/A,#N/A,FALSE,"Ventilation DGI-Douanes";#N/A,#N/A,FALSE,"prévision hors constaté ";#N/A,#N/A,FALSE,"recettes et écart à la prévisio"}</definedName>
    <definedName name="GRT" localSheetId="15" hidden="1">{#N/A,#N/A,FALSE,"Synthèse";#N/A,#N/A,FALSE,"Evolution de la TVA";#N/A,#N/A,FALSE,"Ventilation DGI-Douanes";#N/A,#N/A,FALSE,"prévision hors constaté ";#N/A,#N/A,FALSE,"recettes et écart à la prévisio"}</definedName>
    <definedName name="GRT" hidden="1">{#N/A,#N/A,FALSE,"Synthèse";#N/A,#N/A,FALSE,"Evolution de la TVA";#N/A,#N/A,FALSE,"Ventilation DGI-Douanes";#N/A,#N/A,FALSE,"prévision hors constaté ";#N/A,#N/A,FALSE,"recettes et écart à la prévisio"}</definedName>
    <definedName name="gvq" localSheetId="16" hidden="1">{#N/A,#N/A,TRUE,"Page de garde";#N/A,#N/A,TRUE,"Récap";#N/A,#N/A,TRUE,"2001";#N/A,#N/A,TRUE,"2002";#N/A,#N/A,TRUE,"MN";#N/A,#N/A,TRUE,"CB-CN ";#N/A,#N/A,TRUE,"Point TVA (avec ES)"}</definedName>
    <definedName name="gvq" localSheetId="15" hidden="1">{#N/A,#N/A,TRUE,"Page de garde";#N/A,#N/A,TRUE,"Récap";#N/A,#N/A,TRUE,"2001";#N/A,#N/A,TRUE,"2002";#N/A,#N/A,TRUE,"MN";#N/A,#N/A,TRUE,"CB-CN ";#N/A,#N/A,TRUE,"Point TVA (avec ES)"}</definedName>
    <definedName name="gvq" hidden="1">{#N/A,#N/A,TRUE,"Page de garde";#N/A,#N/A,TRUE,"Récap";#N/A,#N/A,TRUE,"2001";#N/A,#N/A,TRUE,"2002";#N/A,#N/A,TRUE,"MN";#N/A,#N/A,TRUE,"CB-CN ";#N/A,#N/A,TRUE,"Point TVA (avec ES)"}</definedName>
    <definedName name="hjdf" localSheetId="16" hidden="1">{#N/A,#N/A,FALSE,"couv";#N/A,#N/A,FALSE,"A1";#N/A,#N/A,FALSE,"B1";#N/A,#N/A,FALSE,"B2";#N/A,#N/A,FALSE,"C1";#N/A,#N/A,FALSE,"C3";#N/A,#N/A,FALSE,"C4";#N/A,#N/A,FALSE,"D1";#N/A,#N/A,FALSE,"D2";#N/A,#N/A,FALSE,"D3";#N/A,#N/A,FALSE,"E";#N/A,#N/A,FALSE,"E1A";#N/A,#N/A,FALSE,"E1B";#N/A,#N/A,FALSE,"E2";#N/A,#N/A,FALSE,"E3A ";#N/A,#N/A,FALSE,"E3B";#N/A,#N/A,FALSE,"E4";#N/A,#N/A,FALSE,"F1"}</definedName>
    <definedName name="hjdf" localSheetId="15" hidden="1">{#N/A,#N/A,FALSE,"couv";#N/A,#N/A,FALSE,"A1";#N/A,#N/A,FALSE,"B1";#N/A,#N/A,FALSE,"B2";#N/A,#N/A,FALSE,"C1";#N/A,#N/A,FALSE,"C3";#N/A,#N/A,FALSE,"C4";#N/A,#N/A,FALSE,"D1";#N/A,#N/A,FALSE,"D2";#N/A,#N/A,FALSE,"D3";#N/A,#N/A,FALSE,"E";#N/A,#N/A,FALSE,"E1A";#N/A,#N/A,FALSE,"E1B";#N/A,#N/A,FALSE,"E2";#N/A,#N/A,FALSE,"E3A ";#N/A,#N/A,FALSE,"E3B";#N/A,#N/A,FALSE,"E4";#N/A,#N/A,FALSE,"F1"}</definedName>
    <definedName name="hjdf" hidden="1">{#N/A,#N/A,FALSE,"couv";#N/A,#N/A,FALSE,"A1";#N/A,#N/A,FALSE,"B1";#N/A,#N/A,FALSE,"B2";#N/A,#N/A,FALSE,"C1";#N/A,#N/A,FALSE,"C3";#N/A,#N/A,FALSE,"C4";#N/A,#N/A,FALSE,"D1";#N/A,#N/A,FALSE,"D2";#N/A,#N/A,FALSE,"D3";#N/A,#N/A,FALSE,"E";#N/A,#N/A,FALSE,"E1A";#N/A,#N/A,FALSE,"E1B";#N/A,#N/A,FALSE,"E2";#N/A,#N/A,FALSE,"E3A ";#N/A,#N/A,FALSE,"E3B";#N/A,#N/A,FALSE,"E4";#N/A,#N/A,FALSE,"F1"}</definedName>
    <definedName name="HTML_CodePage" hidden="1">1252</definedName>
    <definedName name="HTML_Control" localSheetId="16" hidden="1">{"'TBADMI (Annexe 3)'!$B$164:$G$189"}</definedName>
    <definedName name="HTML_Control" localSheetId="15" hidden="1">{"'TBADMI (Annexe 3)'!$B$164:$G$189"}</definedName>
    <definedName name="HTML_Control" hidden="1">{"'TBADMI (Annexe 3)'!$B$164:$G$189"}</definedName>
    <definedName name="HTML_Description" hidden="1">""</definedName>
    <definedName name="HTML_Email" hidden="1">""</definedName>
    <definedName name="HTML_Header" hidden="1">"TBADMI (Annexe 3)"</definedName>
    <definedName name="HTML_LastUpdate" hidden="1">"22/09/2000"</definedName>
    <definedName name="HTML_LineAfter" hidden="1">FALSE</definedName>
    <definedName name="HTML_LineBefore" hidden="1">FALSE</definedName>
    <definedName name="HTML_Name" hidden="1">"Alain NICOLAS"</definedName>
    <definedName name="HTML_OBDlg2" hidden="1">TRUE</definedName>
    <definedName name="HTML_OBDlg4" hidden="1">TRUE</definedName>
    <definedName name="HTML_OS" hidden="1">0</definedName>
    <definedName name="HTML_PathFile" hidden="1">"D:\Mes documents\MonHTML.htm"</definedName>
    <definedName name="HTML_Title" hidden="1">"DSG - TBADMI_V2"</definedName>
    <definedName name="ib" localSheetId="16" hidden="1">{#N/A,#N/A,TRUE,"Page de garde";#N/A,#N/A,TRUE,"Récap";#N/A,#N/A,TRUE,"2001";#N/A,#N/A,TRUE,"2002";#N/A,#N/A,TRUE,"MN";#N/A,#N/A,TRUE,"CB-CN ";#N/A,#N/A,TRUE,"Point TVA (avec ES)"}</definedName>
    <definedName name="ib" localSheetId="15" hidden="1">{#N/A,#N/A,TRUE,"Page de garde";#N/A,#N/A,TRUE,"Récap";#N/A,#N/A,TRUE,"2001";#N/A,#N/A,TRUE,"2002";#N/A,#N/A,TRUE,"MN";#N/A,#N/A,TRUE,"CB-CN ";#N/A,#N/A,TRUE,"Point TVA (avec ES)"}</definedName>
    <definedName name="ib" hidden="1">{#N/A,#N/A,TRUE,"Page de garde";#N/A,#N/A,TRUE,"Récap";#N/A,#N/A,TRUE,"2001";#N/A,#N/A,TRUE,"2002";#N/A,#N/A,TRUE,"MN";#N/A,#N/A,TRUE,"CB-CN ";#N/A,#N/A,TRUE,"Point TVA (avec ES)"}</definedName>
    <definedName name="jdgj" localSheetId="16" hidden="1">{#N/A,#N/A,FALSE,"A2C";#N/A,#N/A,FALSE,"A3C";#N/A,#N/A,FALSE,"A4C";#N/A,#N/A,FALSE,"A5C";#N/A,#N/A,FALSE,"A3PRIVAT";#N/A,#N/A,FALSE,"A4LFI";#N/A,#N/A,FALSE,"A5LFI";#N/A,#N/A,FALSE,"C2C"}</definedName>
    <definedName name="jdgj" localSheetId="15" hidden="1">{#N/A,#N/A,FALSE,"A2C";#N/A,#N/A,FALSE,"A3C";#N/A,#N/A,FALSE,"A4C";#N/A,#N/A,FALSE,"A5C";#N/A,#N/A,FALSE,"A3PRIVAT";#N/A,#N/A,FALSE,"A4LFI";#N/A,#N/A,FALSE,"A5LFI";#N/A,#N/A,FALSE,"C2C"}</definedName>
    <definedName name="jdgj" hidden="1">{#N/A,#N/A,FALSE,"A2C";#N/A,#N/A,FALSE,"A3C";#N/A,#N/A,FALSE,"A4C";#N/A,#N/A,FALSE,"A5C";#N/A,#N/A,FALSE,"A3PRIVAT";#N/A,#N/A,FALSE,"A4LFI";#N/A,#N/A,FALSE,"A5LFI";#N/A,#N/A,FALSE,"C2C"}</definedName>
    <definedName name="mapperDesc" localSheetId="16">#REF!</definedName>
    <definedName name="mapperDesc" localSheetId="15">#REF!</definedName>
    <definedName name="mapperDesc">#REF!</definedName>
    <definedName name="mm" localSheetId="16" hidden="1">{#N/A,#N/A,TRUE,"Page de garde";#N/A,#N/A,TRUE,"Récap";#N/A,#N/A,TRUE,"2001";#N/A,#N/A,TRUE,"2002";#N/A,#N/A,TRUE,"MN";#N/A,#N/A,TRUE,"CB-CN ";#N/A,#N/A,TRUE,"Point TVA (avec ES)"}</definedName>
    <definedName name="mm" localSheetId="15" hidden="1">{#N/A,#N/A,TRUE,"Page de garde";#N/A,#N/A,TRUE,"Récap";#N/A,#N/A,TRUE,"2001";#N/A,#N/A,TRUE,"2002";#N/A,#N/A,TRUE,"MN";#N/A,#N/A,TRUE,"CB-CN ";#N/A,#N/A,TRUE,"Point TVA (avec ES)"}</definedName>
    <definedName name="mm" hidden="1">{#N/A,#N/A,TRUE,"Page de garde";#N/A,#N/A,TRUE,"Récap";#N/A,#N/A,TRUE,"2001";#N/A,#N/A,TRUE,"2002";#N/A,#N/A,TRUE,"MN";#N/A,#N/A,TRUE,"CB-CN ";#N/A,#N/A,TRUE,"Point TVA (avec ES)"}</definedName>
    <definedName name="mmmmm" localSheetId="16" hidden="1">{#N/A,#N/A,FALSE,"Synthèse";#N/A,#N/A,FALSE,"Evolution de la TVA";#N/A,#N/A,FALSE,"Ventilation DGI-Douanes";#N/A,#N/A,FALSE,"prévision hors constaté ";#N/A,#N/A,FALSE,"recettes et écart à la prévisio"}</definedName>
    <definedName name="mmmmm" localSheetId="15" hidden="1">{#N/A,#N/A,FALSE,"Synthèse";#N/A,#N/A,FALSE,"Evolution de la TVA";#N/A,#N/A,FALSE,"Ventilation DGI-Douanes";#N/A,#N/A,FALSE,"prévision hors constaté ";#N/A,#N/A,FALSE,"recettes et écart à la prévisio"}</definedName>
    <definedName name="mmmmm" hidden="1">{#N/A,#N/A,FALSE,"Synthèse";#N/A,#N/A,FALSE,"Evolution de la TVA";#N/A,#N/A,FALSE,"Ventilation DGI-Douanes";#N/A,#N/A,FALSE,"prévision hors constaté ";#N/A,#N/A,FALSE,"recettes et écart à la prévisio"}</definedName>
    <definedName name="outturn1999" localSheetId="16">#REF!</definedName>
    <definedName name="outturn1999" localSheetId="15">#REF!</definedName>
    <definedName name="outturn1999">#REF!</definedName>
    <definedName name="Phasing1999" localSheetId="16">#REF!</definedName>
    <definedName name="Phasing1999" localSheetId="15">#REF!</definedName>
    <definedName name="Phasing1999">#REF!</definedName>
    <definedName name="_xlnm.Print_Area" localSheetId="0">Checks!$A$1:$Q$171</definedName>
    <definedName name="_xlnm.Print_Area" localSheetId="16">'RP3 PP'!$A$1:$O$29</definedName>
    <definedName name="_xlnm.Print_Area" localSheetId="1">'T1'!$A$1:$O$76</definedName>
    <definedName name="_xlnm.Print_Area" localSheetId="2">'T1 ANSP'!$A$1:$X$77</definedName>
    <definedName name="_xlnm.Print_Area" localSheetId="3">'T1 MET'!$A$1:$X$77</definedName>
    <definedName name="_xlnm.Print_Area" localSheetId="4">'T1 NSA'!$A$1:$X$77</definedName>
    <definedName name="_xlnm.Print_Area" localSheetId="9">'T3'!$C$1:$M$178</definedName>
    <definedName name="_xlnm.Print_Area" localSheetId="10">'T3 ANSP'!$C$1:$M$254</definedName>
    <definedName name="_xlnm.Print_Area" localSheetId="11">'T3 MET'!$C$1:$M$254</definedName>
    <definedName name="_xlnm.Print_Area" localSheetId="12">'T3 MET old'!$C$1:$J$178</definedName>
    <definedName name="_xlnm.Print_Area" localSheetId="13">'T3 NSA'!$C$1:$M$254</definedName>
    <definedName name="_xlnm.Print_Area" localSheetId="14">'T3 NSA old'!$C$1:$J$178</definedName>
    <definedName name="qry1999Cats" localSheetId="16">#REF!</definedName>
    <definedName name="qry1999Cats" localSheetId="15">#REF!</definedName>
    <definedName name="qry1999Cats">#REF!</definedName>
    <definedName name="qry1999Rephasing" localSheetId="16">#REF!</definedName>
    <definedName name="qry1999Rephasing">#REF!</definedName>
    <definedName name="qry2000Categories" localSheetId="16">#REF!</definedName>
    <definedName name="qry2000Categories">#REF!</definedName>
    <definedName name="qry2000Cats" localSheetId="16">#REF!</definedName>
    <definedName name="qry2000Cats">#REF!</definedName>
    <definedName name="qry2000type" localSheetId="16">#REF!</definedName>
    <definedName name="qry2000type">#REF!</definedName>
    <definedName name="qry2001Categories" localSheetId="16">#REF!</definedName>
    <definedName name="qry2001Categories">#REF!</definedName>
    <definedName name="qry2001type" localSheetId="16">#REF!</definedName>
    <definedName name="qry2001type">#REF!</definedName>
    <definedName name="qry99OutturnCategories">'[5]Eurocontrol detail'!$A$1:$B$7</definedName>
    <definedName name="qryCATtotals" localSheetId="16">#REF!</definedName>
    <definedName name="qryCATtotals" localSheetId="15">#REF!</definedName>
    <definedName name="qryCATtotals">#REF!</definedName>
    <definedName name="qs" localSheetId="16" hidden="1">{#N/A,#N/A,TRUE,"Page de garde";#N/A,#N/A,TRUE,"Récap";#N/A,#N/A,TRUE,"2001";#N/A,#N/A,TRUE,"2002";#N/A,#N/A,TRUE,"MN";#N/A,#N/A,TRUE,"CB-CN ";#N/A,#N/A,TRUE,"Point TVA (avec ES)"}</definedName>
    <definedName name="qs" localSheetId="15" hidden="1">{#N/A,#N/A,TRUE,"Page de garde";#N/A,#N/A,TRUE,"Récap";#N/A,#N/A,TRUE,"2001";#N/A,#N/A,TRUE,"2002";#N/A,#N/A,TRUE,"MN";#N/A,#N/A,TRUE,"CB-CN ";#N/A,#N/A,TRUE,"Point TVA (avec ES)"}</definedName>
    <definedName name="qs" hidden="1">{#N/A,#N/A,TRUE,"Page de garde";#N/A,#N/A,TRUE,"Récap";#N/A,#N/A,TRUE,"2001";#N/A,#N/A,TRUE,"2002";#N/A,#N/A,TRUE,"MN";#N/A,#N/A,TRUE,"CB-CN ";#N/A,#N/A,TRUE,"Point TVA (avec ES)"}</definedName>
    <definedName name="_xlnm.Recorder" localSheetId="16">#REF!</definedName>
    <definedName name="_xlnm.Recorder" localSheetId="15">#REF!</definedName>
    <definedName name="_xlnm.Recorder">#REF!</definedName>
    <definedName name="SAPBEXdnldView" hidden="1">"D3P6O4JMXIHFGVEM2GX1TIU40"</definedName>
    <definedName name="SAPBEXsysID" hidden="1">"BWP"</definedName>
    <definedName name="sdqv" localSheetId="16" hidden="1">{#N/A,#N/A,TRUE,"Page de garde";#N/A,#N/A,TRUE,"Récap";#N/A,#N/A,TRUE,"2001";#N/A,#N/A,TRUE,"2002";#N/A,#N/A,TRUE,"MN";#N/A,#N/A,TRUE,"CB-CN ";#N/A,#N/A,TRUE,"Point TVA (avec ES)"}</definedName>
    <definedName name="sdqv" localSheetId="15" hidden="1">{#N/A,#N/A,TRUE,"Page de garde";#N/A,#N/A,TRUE,"Récap";#N/A,#N/A,TRUE,"2001";#N/A,#N/A,TRUE,"2002";#N/A,#N/A,TRUE,"MN";#N/A,#N/A,TRUE,"CB-CN ";#N/A,#N/A,TRUE,"Point TVA (avec ES)"}</definedName>
    <definedName name="sdqv" hidden="1">{#N/A,#N/A,TRUE,"Page de garde";#N/A,#N/A,TRUE,"Récap";#N/A,#N/A,TRUE,"2001";#N/A,#N/A,TRUE,"2002";#N/A,#N/A,TRUE,"MN";#N/A,#N/A,TRUE,"CB-CN ";#N/A,#N/A,TRUE,"Point TVA (avec ES)"}</definedName>
    <definedName name="section" localSheetId="16">#REF!</definedName>
    <definedName name="section" localSheetId="15">#REF!</definedName>
    <definedName name="section">#REF!</definedName>
    <definedName name="Solde" localSheetId="16" hidden="1">{#N/A,#N/A,TRUE,"Page de garde";#N/A,#N/A,TRUE,"Récap";#N/A,#N/A,TRUE,"2001";#N/A,#N/A,TRUE,"2002";#N/A,#N/A,TRUE,"MN";#N/A,#N/A,TRUE,"CB-CN ";#N/A,#N/A,TRUE,"Point TVA (avec ES)"}</definedName>
    <definedName name="Solde" localSheetId="15" hidden="1">{#N/A,#N/A,TRUE,"Page de garde";#N/A,#N/A,TRUE,"Récap";#N/A,#N/A,TRUE,"2001";#N/A,#N/A,TRUE,"2002";#N/A,#N/A,TRUE,"MN";#N/A,#N/A,TRUE,"CB-CN ";#N/A,#N/A,TRUE,"Point TVA (avec ES)"}</definedName>
    <definedName name="Solde" hidden="1">{#N/A,#N/A,TRUE,"Page de garde";#N/A,#N/A,TRUE,"Récap";#N/A,#N/A,TRUE,"2001";#N/A,#N/A,TRUE,"2002";#N/A,#N/A,TRUE,"MN";#N/A,#N/A,TRUE,"CB-CN ";#N/A,#N/A,TRUE,"Point TVA (avec ES)"}</definedName>
    <definedName name="sqdf" localSheetId="16" hidden="1">{#N/A,#N/A,FALSE,"couv";#N/A,#N/A,FALSE,"A1";#N/A,#N/A,FALSE,"B1";#N/A,#N/A,FALSE,"B2";#N/A,#N/A,FALSE,"C1";#N/A,#N/A,FALSE,"C3";#N/A,#N/A,FALSE,"C4";#N/A,#N/A,FALSE,"D1";#N/A,#N/A,FALSE,"D2";#N/A,#N/A,FALSE,"D3";#N/A,#N/A,FALSE,"E";#N/A,#N/A,FALSE,"E1A";#N/A,#N/A,FALSE,"E1B";#N/A,#N/A,FALSE,"E2";#N/A,#N/A,FALSE,"E3A ";#N/A,#N/A,FALSE,"E3B";#N/A,#N/A,FALSE,"E4";#N/A,#N/A,FALSE,"F1"}</definedName>
    <definedName name="sqdf" localSheetId="15" hidden="1">{#N/A,#N/A,FALSE,"couv";#N/A,#N/A,FALSE,"A1";#N/A,#N/A,FALSE,"B1";#N/A,#N/A,FALSE,"B2";#N/A,#N/A,FALSE,"C1";#N/A,#N/A,FALSE,"C3";#N/A,#N/A,FALSE,"C4";#N/A,#N/A,FALSE,"D1";#N/A,#N/A,FALSE,"D2";#N/A,#N/A,FALSE,"D3";#N/A,#N/A,FALSE,"E";#N/A,#N/A,FALSE,"E1A";#N/A,#N/A,FALSE,"E1B";#N/A,#N/A,FALSE,"E2";#N/A,#N/A,FALSE,"E3A ";#N/A,#N/A,FALSE,"E3B";#N/A,#N/A,FALSE,"E4";#N/A,#N/A,FALSE,"F1"}</definedName>
    <definedName name="sqdf" hidden="1">{#N/A,#N/A,FALSE,"couv";#N/A,#N/A,FALSE,"A1";#N/A,#N/A,FALSE,"B1";#N/A,#N/A,FALSE,"B2";#N/A,#N/A,FALSE,"C1";#N/A,#N/A,FALSE,"C3";#N/A,#N/A,FALSE,"C4";#N/A,#N/A,FALSE,"D1";#N/A,#N/A,FALSE,"D2";#N/A,#N/A,FALSE,"D3";#N/A,#N/A,FALSE,"E";#N/A,#N/A,FALSE,"E1A";#N/A,#N/A,FALSE,"E1B";#N/A,#N/A,FALSE,"E2";#N/A,#N/A,FALSE,"E3A ";#N/A,#N/A,FALSE,"E3B";#N/A,#N/A,FALSE,"E4";#N/A,#N/A,FALSE,"F1"}</definedName>
    <definedName name="ss" localSheetId="16">#REF!</definedName>
    <definedName name="ss" localSheetId="15">#REF!</definedName>
    <definedName name="ss">#REF!</definedName>
    <definedName name="sss" localSheetId="16" hidden="1">{#N/A,#N/A,TRUE,"Page de garde";#N/A,#N/A,TRUE,"Récap";#N/A,#N/A,TRUE,"2001";#N/A,#N/A,TRUE,"2002";#N/A,#N/A,TRUE,"MN";#N/A,#N/A,TRUE,"CB-CN ";#N/A,#N/A,TRUE,"Point TVA (avec ES)"}</definedName>
    <definedName name="sss" localSheetId="15" hidden="1">{#N/A,#N/A,TRUE,"Page de garde";#N/A,#N/A,TRUE,"Récap";#N/A,#N/A,TRUE,"2001";#N/A,#N/A,TRUE,"2002";#N/A,#N/A,TRUE,"MN";#N/A,#N/A,TRUE,"CB-CN ";#N/A,#N/A,TRUE,"Point TVA (avec ES)"}</definedName>
    <definedName name="sss" hidden="1">{#N/A,#N/A,TRUE,"Page de garde";#N/A,#N/A,TRUE,"Récap";#N/A,#N/A,TRUE,"2001";#N/A,#N/A,TRUE,"2002";#N/A,#N/A,TRUE,"MN";#N/A,#N/A,TRUE,"CB-CN ";#N/A,#N/A,TRUE,"Point TVA (avec ES)"}</definedName>
    <definedName name="suivi" localSheetId="16" hidden="1">{#N/A,#N/A,FALSE,"Synthèse";#N/A,#N/A,FALSE,"Evolution de la TVA";#N/A,#N/A,FALSE,"Ventilation DGI-Douanes";#N/A,#N/A,FALSE,"prévision hors constaté ";#N/A,#N/A,FALSE,"recettes et écart à la prévisio"}</definedName>
    <definedName name="suivi" localSheetId="15" hidden="1">{#N/A,#N/A,FALSE,"Synthèse";#N/A,#N/A,FALSE,"Evolution de la TVA";#N/A,#N/A,FALSE,"Ventilation DGI-Douanes";#N/A,#N/A,FALSE,"prévision hors constaté ";#N/A,#N/A,FALSE,"recettes et écart à la prévisio"}</definedName>
    <definedName name="suivi" hidden="1">{#N/A,#N/A,FALSE,"Synthèse";#N/A,#N/A,FALSE,"Evolution de la TVA";#N/A,#N/A,FALSE,"Ventilation DGI-Douanes";#N/A,#N/A,FALSE,"prévision hors constaté ";#N/A,#N/A,FALSE,"recettes et écart à la prévisio"}</definedName>
    <definedName name="table" localSheetId="16">#REF!</definedName>
    <definedName name="table" localSheetId="15">#REF!</definedName>
    <definedName name="table">#REF!</definedName>
    <definedName name="tblMapDescriptions" localSheetId="16">#REF!</definedName>
    <definedName name="tblMapDescriptions" localSheetId="15">#REF!</definedName>
    <definedName name="tblMapDescriptions">#REF!</definedName>
    <definedName name="test" localSheetId="16">#REF!</definedName>
    <definedName name="test" localSheetId="15">#REF!</definedName>
    <definedName name="test">#REF!</definedName>
    <definedName name="Teuro" localSheetId="0">#REF!</definedName>
    <definedName name="Teuro" localSheetId="16">#REF!</definedName>
    <definedName name="Teuro">#REF!</definedName>
    <definedName name="tghth" localSheetId="16" hidden="1">{"'TBADMI (Annexe 3)'!$B$164:$G$189"}</definedName>
    <definedName name="tghth" localSheetId="15" hidden="1">{"'TBADMI (Annexe 3)'!$B$164:$G$189"}</definedName>
    <definedName name="tghth" hidden="1">{"'TBADMI (Annexe 3)'!$B$164:$G$189"}</definedName>
    <definedName name="TITLE2" localSheetId="16">#REF!</definedName>
    <definedName name="TITLE2">#REF!</definedName>
    <definedName name="TITRE1" localSheetId="16">#REF!</definedName>
    <definedName name="TITRE1">#REF!</definedName>
    <definedName name="TITRE2" localSheetId="16">#REF!</definedName>
    <definedName name="TITRE2">#REF!</definedName>
    <definedName name="tot" localSheetId="16">#REF!</definedName>
    <definedName name="tot">#REF!</definedName>
    <definedName name="tota" localSheetId="16">#REF!</definedName>
    <definedName name="tota">#REF!</definedName>
    <definedName name="totb" localSheetId="16">#REF!</definedName>
    <definedName name="totb">#REF!</definedName>
    <definedName name="totc" localSheetId="16">#REF!</definedName>
    <definedName name="totc">#REF!</definedName>
    <definedName name="totd" localSheetId="16">#REF!</definedName>
    <definedName name="totd">#REF!</definedName>
    <definedName name="wrn.Dossier." localSheetId="16" hidden="1">{#N/A,#N/A,FALSE,"couv";#N/A,#N/A,FALSE,"A1";#N/A,#N/A,FALSE,"B1";#N/A,#N/A,FALSE,"B2";#N/A,#N/A,FALSE,"C1";#N/A,#N/A,FALSE,"C3";#N/A,#N/A,FALSE,"C4";#N/A,#N/A,FALSE,"D1";#N/A,#N/A,FALSE,"D2";#N/A,#N/A,FALSE,"D3";#N/A,#N/A,FALSE,"E";#N/A,#N/A,FALSE,"E1A";#N/A,#N/A,FALSE,"E1B";#N/A,#N/A,FALSE,"E2";#N/A,#N/A,FALSE,"E3A ";#N/A,#N/A,FALSE,"E3B";#N/A,#N/A,FALSE,"E4";#N/A,#N/A,FALSE,"F1"}</definedName>
    <definedName name="wrn.Dossier." localSheetId="15" hidden="1">{#N/A,#N/A,FALSE,"couv";#N/A,#N/A,FALSE,"A1";#N/A,#N/A,FALSE,"B1";#N/A,#N/A,FALSE,"B2";#N/A,#N/A,FALSE,"C1";#N/A,#N/A,FALSE,"C3";#N/A,#N/A,FALSE,"C4";#N/A,#N/A,FALSE,"D1";#N/A,#N/A,FALSE,"D2";#N/A,#N/A,FALSE,"D3";#N/A,#N/A,FALSE,"E";#N/A,#N/A,FALSE,"E1A";#N/A,#N/A,FALSE,"E1B";#N/A,#N/A,FALSE,"E2";#N/A,#N/A,FALSE,"E3A ";#N/A,#N/A,FALSE,"E3B";#N/A,#N/A,FALSE,"E4";#N/A,#N/A,FALSE,"F1"}</definedName>
    <definedName name="wrn.Dossier." hidden="1">{#N/A,#N/A,FALSE,"couv";#N/A,#N/A,FALSE,"A1";#N/A,#N/A,FALSE,"B1";#N/A,#N/A,FALSE,"B2";#N/A,#N/A,FALSE,"C1";#N/A,#N/A,FALSE,"C3";#N/A,#N/A,FALSE,"C4";#N/A,#N/A,FALSE,"D1";#N/A,#N/A,FALSE,"D2";#N/A,#N/A,FALSE,"D3";#N/A,#N/A,FALSE,"E";#N/A,#N/A,FALSE,"E1A";#N/A,#N/A,FALSE,"E1B";#N/A,#N/A,FALSE,"E2";#N/A,#N/A,FALSE,"E3A ";#N/A,#N/A,FALSE,"E3B";#N/A,#N/A,FALSE,"E4";#N/A,#N/A,FALSE,"F1"}</definedName>
    <definedName name="wrn.Dossier._.BEH._.2000." localSheetId="16" hidden="1">{#N/A,#N/A,TRUE,"Page de garde";#N/A,#N/A,TRUE,"Récap";#N/A,#N/A,TRUE,"2001";#N/A,#N/A,TRUE,"2002";#N/A,#N/A,TRUE,"MN";#N/A,#N/A,TRUE,"CB-CN ";#N/A,#N/A,TRUE,"Point TVA (avec ES)"}</definedName>
    <definedName name="wrn.Dossier._.BEH._.2000." localSheetId="15" hidden="1">{#N/A,#N/A,TRUE,"Page de garde";#N/A,#N/A,TRUE,"Récap";#N/A,#N/A,TRUE,"2001";#N/A,#N/A,TRUE,"2002";#N/A,#N/A,TRUE,"MN";#N/A,#N/A,TRUE,"CB-CN ";#N/A,#N/A,TRUE,"Point TVA (avec ES)"}</definedName>
    <definedName name="wrn.Dossier._.BEH._.2000." hidden="1">{#N/A,#N/A,TRUE,"Page de garde";#N/A,#N/A,TRUE,"Récap";#N/A,#N/A,TRUE,"2001";#N/A,#N/A,TRUE,"2002";#N/A,#N/A,TRUE,"MN";#N/A,#N/A,TRUE,"CB-CN ";#N/A,#N/A,TRUE,"Point TVA (avec ES)"}</definedName>
    <definedName name="wrn.Dossier._.janvier." localSheetId="16" hidden="1">{#N/A,#N/A,FALSE,"c_janv";#N/A,#N/A,FALSE,"A1";#N/A,#N/A,FALSE,"B1";#N/A,#N/A,FALSE,"B2";#N/A,#N/A,FALSE,"C1";#N/A,#N/A,FALSE,"C3";#N/A,#N/A,FALSE,"C4";#N/A,#N/A,FALSE,"D1";#N/A,#N/A,FALSE,"D2";#N/A,#N/A,FALSE,"D3";#N/A,#N/A,FALSE,"E1A";#N/A,#N/A,FALSE,"E1B";#N/A,#N/A,FALSE,"E2";#N/A,#N/A,FALSE,"E3A ";#N/A,#N/A,FALSE,"E3B";#N/A,#N/A,FALSE,"E4";#N/A,#N/A,FALSE,"F1"}</definedName>
    <definedName name="wrn.Dossier._.janvier." localSheetId="15" hidden="1">{#N/A,#N/A,FALSE,"c_janv";#N/A,#N/A,FALSE,"A1";#N/A,#N/A,FALSE,"B1";#N/A,#N/A,FALSE,"B2";#N/A,#N/A,FALSE,"C1";#N/A,#N/A,FALSE,"C3";#N/A,#N/A,FALSE,"C4";#N/A,#N/A,FALSE,"D1";#N/A,#N/A,FALSE,"D2";#N/A,#N/A,FALSE,"D3";#N/A,#N/A,FALSE,"E1A";#N/A,#N/A,FALSE,"E1B";#N/A,#N/A,FALSE,"E2";#N/A,#N/A,FALSE,"E3A ";#N/A,#N/A,FALSE,"E3B";#N/A,#N/A,FALSE,"E4";#N/A,#N/A,FALSE,"F1"}</definedName>
    <definedName name="wrn.Dossier._.janvier." hidden="1">{#N/A,#N/A,FALSE,"c_janv";#N/A,#N/A,FALSE,"A1";#N/A,#N/A,FALSE,"B1";#N/A,#N/A,FALSE,"B2";#N/A,#N/A,FALSE,"C1";#N/A,#N/A,FALSE,"C3";#N/A,#N/A,FALSE,"C4";#N/A,#N/A,FALSE,"D1";#N/A,#N/A,FALSE,"D2";#N/A,#N/A,FALSE,"D3";#N/A,#N/A,FALSE,"E1A";#N/A,#N/A,FALSE,"E1B";#N/A,#N/A,FALSE,"E2";#N/A,#N/A,FALSE,"E3A ";#N/A,#N/A,FALSE,"E3B";#N/A,#N/A,FALSE,"E4";#N/A,#N/A,FALSE,"F1"}</definedName>
    <definedName name="wrn.Dossier._.Sénat." localSheetId="16" hidden="1">{#N/A,#N/A,FALSE,"c_sénat";#N/A,#N/A,FALSE,"A1";#N/A,#N/A,FALSE,"B1";#N/A,#N/A,FALSE,"B2";#N/A,#N/A,FALSE,"C1";#N/A,#N/A,FALSE,"C3";#N/A,#N/A,FALSE,"C4";#N/A,#N/A,FALSE,"D1";#N/A,#N/A,FALSE,"D2";#N/A,#N/A,FALSE,"D3";#N/A,#N/A,FALSE,"E1A";#N/A,#N/A,FALSE,"E1B";#N/A,#N/A,FALSE,"E2";#N/A,#N/A,FALSE,"E3A ";#N/A,#N/A,FALSE,"E3B";#N/A,#N/A,FALSE,"E4";#N/A,#N/A,FALSE,"F1"}</definedName>
    <definedName name="wrn.Dossier._.Sénat." localSheetId="15" hidden="1">{#N/A,#N/A,FALSE,"c_sénat";#N/A,#N/A,FALSE,"A1";#N/A,#N/A,FALSE,"B1";#N/A,#N/A,FALSE,"B2";#N/A,#N/A,FALSE,"C1";#N/A,#N/A,FALSE,"C3";#N/A,#N/A,FALSE,"C4";#N/A,#N/A,FALSE,"D1";#N/A,#N/A,FALSE,"D2";#N/A,#N/A,FALSE,"D3";#N/A,#N/A,FALSE,"E1A";#N/A,#N/A,FALSE,"E1B";#N/A,#N/A,FALSE,"E2";#N/A,#N/A,FALSE,"E3A ";#N/A,#N/A,FALSE,"E3B";#N/A,#N/A,FALSE,"E4";#N/A,#N/A,FALSE,"F1"}</definedName>
    <definedName name="wrn.Dossier._.Sénat." hidden="1">{#N/A,#N/A,FALSE,"c_sénat";#N/A,#N/A,FALSE,"A1";#N/A,#N/A,FALSE,"B1";#N/A,#N/A,FALSE,"B2";#N/A,#N/A,FALSE,"C1";#N/A,#N/A,FALSE,"C3";#N/A,#N/A,FALSE,"C4";#N/A,#N/A,FALSE,"D1";#N/A,#N/A,FALSE,"D2";#N/A,#N/A,FALSE,"D3";#N/A,#N/A,FALSE,"E1A";#N/A,#N/A,FALSE,"E1B";#N/A,#N/A,FALSE,"E2";#N/A,#N/A,FALSE,"E3A ";#N/A,#N/A,FALSE,"E3B";#N/A,#N/A,FALSE,"E4";#N/A,#N/A,FALSE,"F1"}</definedName>
    <definedName name="wrn.sh_coul." localSheetId="16" hidden="1">{#N/A,#N/A,FALSE,"A2C";#N/A,#N/A,FALSE,"A3C";#N/A,#N/A,FALSE,"A4C";#N/A,#N/A,FALSE,"A5C";#N/A,#N/A,FALSE,"A3PRIVAT";#N/A,#N/A,FALSE,"A4LFI";#N/A,#N/A,FALSE,"A5LFI";#N/A,#N/A,FALSE,"C2C"}</definedName>
    <definedName name="wrn.sh_coul." localSheetId="15" hidden="1">{#N/A,#N/A,FALSE,"A2C";#N/A,#N/A,FALSE,"A3C";#N/A,#N/A,FALSE,"A4C";#N/A,#N/A,FALSE,"A5C";#N/A,#N/A,FALSE,"A3PRIVAT";#N/A,#N/A,FALSE,"A4LFI";#N/A,#N/A,FALSE,"A5LFI";#N/A,#N/A,FALSE,"C2C"}</definedName>
    <definedName name="wrn.sh_coul." hidden="1">{#N/A,#N/A,FALSE,"A2C";#N/A,#N/A,FALSE,"A3C";#N/A,#N/A,FALSE,"A4C";#N/A,#N/A,FALSE,"A5C";#N/A,#N/A,FALSE,"A3PRIVAT";#N/A,#N/A,FALSE,"A4LFI";#N/A,#N/A,FALSE,"A5LFI";#N/A,#N/A,FALSE,"C2C"}</definedName>
    <definedName name="wrn.sh_nb." localSheetId="16" hidden="1">{#N/A,#N/A,FALSE,"A2";#N/A,#N/A,FALSE,"A3";#N/A,#N/A,FALSE,"A4";#N/A,#N/A,FALSE,"A5";#N/A,#N/A,FALSE,"C2"}</definedName>
    <definedName name="wrn.sh_nb." localSheetId="15" hidden="1">{#N/A,#N/A,FALSE,"A2";#N/A,#N/A,FALSE,"A3";#N/A,#N/A,FALSE,"A4";#N/A,#N/A,FALSE,"A5";#N/A,#N/A,FALSE,"C2"}</definedName>
    <definedName name="wrn.sh_nb." hidden="1">{#N/A,#N/A,FALSE,"A2";#N/A,#N/A,FALSE,"A3";#N/A,#N/A,FALSE,"A4";#N/A,#N/A,FALSE,"A5";#N/A,#N/A,FALSE,"C2"}</definedName>
    <definedName name="wrn.Suivi._.mensuel." localSheetId="16" hidden="1">{#N/A,#N/A,FALSE,"Synthèse";#N/A,#N/A,FALSE,"Evolution de la TVA";#N/A,#N/A,FALSE,"Ventilation DGI-Douanes";#N/A,#N/A,FALSE,"prévision hors constaté ";#N/A,#N/A,FALSE,"recettes et écart à la prévisio"}</definedName>
    <definedName name="wrn.Suivi._.mensuel." localSheetId="15" hidden="1">{#N/A,#N/A,FALSE,"Synthèse";#N/A,#N/A,FALSE,"Evolution de la TVA";#N/A,#N/A,FALSE,"Ventilation DGI-Douanes";#N/A,#N/A,FALSE,"prévision hors constaté ";#N/A,#N/A,FALSE,"recettes et écart à la prévisio"}</definedName>
    <definedName name="wrn.Suivi._.mensuel." hidden="1">{#N/A,#N/A,FALSE,"Synthèse";#N/A,#N/A,FALSE,"Evolution de la TVA";#N/A,#N/A,FALSE,"Ventilation DGI-Douanes";#N/A,#N/A,FALSE,"prévision hors constaté ";#N/A,#N/A,FALSE,"recettes et écart à la prévisio"}</definedName>
    <definedName name="x">"Chart 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40" l="1"/>
  <c r="E24" i="40"/>
  <c r="Q42" i="12" l="1"/>
  <c r="V64" i="12" l="1"/>
  <c r="M260" i="40" l="1"/>
  <c r="V68" i="12" l="1"/>
  <c r="M258" i="40" l="1"/>
  <c r="S692" i="34" l="1"/>
  <c r="S691" i="34"/>
  <c r="V685" i="34"/>
  <c r="U685" i="34"/>
  <c r="T685" i="34"/>
  <c r="S685" i="34"/>
  <c r="V683" i="34"/>
  <c r="U683" i="34"/>
  <c r="T683" i="34"/>
  <c r="S683" i="34"/>
  <c r="S679" i="34"/>
  <c r="S677" i="34"/>
  <c r="S676" i="34"/>
  <c r="S674" i="34"/>
  <c r="V673" i="34"/>
  <c r="T673" i="34"/>
  <c r="S673" i="34"/>
  <c r="V671" i="34"/>
  <c r="W670" i="34"/>
  <c r="V670" i="34"/>
  <c r="U670" i="34"/>
  <c r="T670" i="34"/>
  <c r="S670" i="34"/>
  <c r="W668" i="34"/>
  <c r="V668" i="34"/>
  <c r="U668" i="34"/>
  <c r="T668" i="34"/>
  <c r="W465" i="34"/>
  <c r="V465" i="34"/>
  <c r="U465" i="34"/>
  <c r="T465" i="34"/>
  <c r="S465" i="34"/>
  <c r="W462" i="34"/>
  <c r="V462" i="34"/>
  <c r="U462" i="34"/>
  <c r="T462" i="34"/>
  <c r="W459" i="34"/>
  <c r="T459" i="34"/>
  <c r="S459" i="34"/>
  <c r="W456" i="34"/>
  <c r="V456" i="34"/>
  <c r="U456" i="34"/>
  <c r="T456" i="34"/>
  <c r="S456" i="34"/>
  <c r="W453" i="34"/>
  <c r="V453" i="34"/>
  <c r="U453" i="34"/>
  <c r="T453" i="34"/>
  <c r="S453" i="34"/>
  <c r="W450" i="34"/>
  <c r="V450" i="34"/>
  <c r="U450" i="34"/>
  <c r="T450" i="34"/>
  <c r="S450" i="34"/>
  <c r="W447" i="34"/>
  <c r="V447" i="34"/>
  <c r="U447" i="34"/>
  <c r="T447" i="34"/>
  <c r="S447" i="34"/>
  <c r="W444" i="34"/>
  <c r="V444" i="34"/>
  <c r="U444" i="34"/>
  <c r="T444" i="34"/>
  <c r="S444" i="34"/>
  <c r="W441" i="34"/>
  <c r="V441" i="34"/>
  <c r="U441" i="34"/>
  <c r="T441" i="34"/>
  <c r="S441" i="34"/>
  <c r="S728" i="34"/>
  <c r="S727" i="34"/>
  <c r="W721" i="34"/>
  <c r="V721" i="34"/>
  <c r="U721" i="34"/>
  <c r="T721" i="34"/>
  <c r="S721" i="34"/>
  <c r="V719" i="34"/>
  <c r="U719" i="34"/>
  <c r="T719" i="34"/>
  <c r="S719" i="34"/>
  <c r="W715" i="34"/>
  <c r="V715" i="34"/>
  <c r="U715" i="34"/>
  <c r="T715" i="34"/>
  <c r="S715" i="34"/>
  <c r="W713" i="34"/>
  <c r="V713" i="34"/>
  <c r="U713" i="34"/>
  <c r="T713" i="34"/>
  <c r="S713" i="34"/>
  <c r="W712" i="34"/>
  <c r="V712" i="34"/>
  <c r="U712" i="34"/>
  <c r="T712" i="34"/>
  <c r="S712" i="34"/>
  <c r="W710" i="34"/>
  <c r="V710" i="34"/>
  <c r="U710" i="34"/>
  <c r="T710" i="34"/>
  <c r="S710" i="34"/>
  <c r="V709" i="34"/>
  <c r="T709" i="34"/>
  <c r="S709" i="34"/>
  <c r="V707" i="34"/>
  <c r="W706" i="34"/>
  <c r="V706" i="34"/>
  <c r="U706" i="34"/>
  <c r="T706" i="34"/>
  <c r="S706" i="34"/>
  <c r="W704" i="34"/>
  <c r="V704" i="34"/>
  <c r="U704" i="34"/>
  <c r="T704" i="34"/>
  <c r="V573" i="34"/>
  <c r="W570" i="34"/>
  <c r="V570" i="34"/>
  <c r="U570" i="34"/>
  <c r="T570" i="34"/>
  <c r="S570" i="34"/>
  <c r="W567" i="34"/>
  <c r="V567" i="34"/>
  <c r="U567" i="34"/>
  <c r="T567" i="34"/>
  <c r="W564" i="34"/>
  <c r="T564" i="34"/>
  <c r="S564" i="34"/>
  <c r="W561" i="34"/>
  <c r="V561" i="34"/>
  <c r="U561" i="34"/>
  <c r="T561" i="34"/>
  <c r="S561" i="34"/>
  <c r="W558" i="34"/>
  <c r="V558" i="34"/>
  <c r="U558" i="34"/>
  <c r="T558" i="34"/>
  <c r="S558" i="34"/>
  <c r="W555" i="34"/>
  <c r="V555" i="34"/>
  <c r="U555" i="34"/>
  <c r="T555" i="34"/>
  <c r="S555" i="34"/>
  <c r="T552" i="34"/>
  <c r="S552" i="34"/>
  <c r="W549" i="34"/>
  <c r="V549" i="34"/>
  <c r="U549" i="34"/>
  <c r="T549" i="34"/>
  <c r="S549" i="34"/>
  <c r="W546" i="34"/>
  <c r="V546" i="34"/>
  <c r="U546" i="34"/>
  <c r="T546" i="34"/>
  <c r="S546" i="34"/>
  <c r="J89" i="37"/>
  <c r="I89" i="37"/>
  <c r="H89" i="37"/>
  <c r="G89" i="37"/>
  <c r="W460" i="34" s="1"/>
  <c r="F89" i="37"/>
  <c r="V460" i="34" s="1"/>
  <c r="E89" i="37"/>
  <c r="U460" i="34" s="1"/>
  <c r="D89" i="37"/>
  <c r="T460" i="34" s="1"/>
  <c r="C89" i="37"/>
  <c r="J85" i="37"/>
  <c r="I85" i="37"/>
  <c r="H85" i="37"/>
  <c r="G85" i="37"/>
  <c r="W448" i="34" s="1"/>
  <c r="F85" i="37"/>
  <c r="V448" i="34" s="1"/>
  <c r="E85" i="37"/>
  <c r="U448" i="34" s="1"/>
  <c r="D85" i="37"/>
  <c r="T448" i="34" s="1"/>
  <c r="C85" i="37"/>
  <c r="S448" i="34" s="1"/>
  <c r="J83" i="37"/>
  <c r="I83" i="37"/>
  <c r="H83" i="37"/>
  <c r="G83" i="37"/>
  <c r="W442" i="34" s="1"/>
  <c r="F83" i="37"/>
  <c r="V442" i="34" s="1"/>
  <c r="E83" i="37"/>
  <c r="U442" i="34" s="1"/>
  <c r="D83" i="37"/>
  <c r="T442" i="34" s="1"/>
  <c r="C83" i="37"/>
  <c r="S442" i="34" s="1"/>
  <c r="J89" i="38"/>
  <c r="I89" i="38"/>
  <c r="H89" i="38"/>
  <c r="G89" i="38"/>
  <c r="W565" i="34" s="1"/>
  <c r="F89" i="38"/>
  <c r="V565" i="34" s="1"/>
  <c r="E89" i="38"/>
  <c r="U565" i="34" s="1"/>
  <c r="D89" i="38"/>
  <c r="T565" i="34" s="1"/>
  <c r="C89" i="38"/>
  <c r="D87" i="38"/>
  <c r="T559" i="34" s="1"/>
  <c r="J85" i="38"/>
  <c r="I85" i="38"/>
  <c r="H85" i="38"/>
  <c r="G85" i="38"/>
  <c r="W553" i="34" s="1"/>
  <c r="F85" i="38"/>
  <c r="V553" i="34" s="1"/>
  <c r="E85" i="38"/>
  <c r="U553" i="34" s="1"/>
  <c r="D85" i="38"/>
  <c r="T553" i="34" s="1"/>
  <c r="C85" i="38"/>
  <c r="S553" i="34" s="1"/>
  <c r="E84" i="38"/>
  <c r="J83" i="38"/>
  <c r="I83" i="38"/>
  <c r="H83" i="38"/>
  <c r="G83" i="38"/>
  <c r="W547" i="34" s="1"/>
  <c r="F83" i="38"/>
  <c r="V547" i="34" s="1"/>
  <c r="E83" i="38"/>
  <c r="U547" i="34" s="1"/>
  <c r="D83" i="38"/>
  <c r="T547" i="34" s="1"/>
  <c r="C83" i="38"/>
  <c r="S547" i="34" s="1"/>
  <c r="D82" i="38"/>
  <c r="T544" i="34" s="1"/>
  <c r="F228" i="39"/>
  <c r="E228" i="39"/>
  <c r="M248" i="39"/>
  <c r="L248" i="39"/>
  <c r="K248" i="39"/>
  <c r="J248" i="39"/>
  <c r="I248" i="39"/>
  <c r="H248" i="39"/>
  <c r="G248" i="39"/>
  <c r="F248" i="39"/>
  <c r="E248" i="39"/>
  <c r="D248" i="39"/>
  <c r="M247" i="39"/>
  <c r="L247" i="39"/>
  <c r="K247" i="39"/>
  <c r="J247" i="39"/>
  <c r="I247" i="39"/>
  <c r="H247" i="39"/>
  <c r="G247" i="39"/>
  <c r="F247" i="39"/>
  <c r="E247" i="39"/>
  <c r="D247" i="39"/>
  <c r="M246" i="39"/>
  <c r="L246" i="39"/>
  <c r="K246" i="39"/>
  <c r="J246" i="39"/>
  <c r="I246" i="39"/>
  <c r="H246" i="39"/>
  <c r="G246" i="39"/>
  <c r="F246" i="39"/>
  <c r="E246" i="39"/>
  <c r="D246" i="39"/>
  <c r="M245" i="39"/>
  <c r="L245" i="39"/>
  <c r="K245" i="39"/>
  <c r="J245" i="39"/>
  <c r="I245" i="39"/>
  <c r="H245" i="39"/>
  <c r="G245" i="39"/>
  <c r="F245" i="39"/>
  <c r="E245" i="39"/>
  <c r="D245" i="39"/>
  <c r="M244" i="39"/>
  <c r="L244" i="39"/>
  <c r="K244" i="39"/>
  <c r="J244" i="39"/>
  <c r="I244" i="39"/>
  <c r="H244" i="39"/>
  <c r="G244" i="39"/>
  <c r="F244" i="39"/>
  <c r="E244" i="39"/>
  <c r="D244" i="39"/>
  <c r="M243" i="39"/>
  <c r="L243" i="39"/>
  <c r="K243" i="39"/>
  <c r="J243" i="39"/>
  <c r="I243" i="39"/>
  <c r="H243" i="39"/>
  <c r="G243" i="39"/>
  <c r="F243" i="39"/>
  <c r="E243" i="39"/>
  <c r="D243" i="39"/>
  <c r="M242" i="39"/>
  <c r="L242" i="39"/>
  <c r="K242" i="39"/>
  <c r="J242" i="39"/>
  <c r="I242" i="39"/>
  <c r="H242" i="39"/>
  <c r="G242" i="39"/>
  <c r="F242" i="39"/>
  <c r="E242" i="39"/>
  <c r="D242" i="39"/>
  <c r="M241" i="39"/>
  <c r="L241" i="39"/>
  <c r="K241" i="39"/>
  <c r="J241" i="39"/>
  <c r="I241" i="39"/>
  <c r="H241" i="39"/>
  <c r="G241" i="39"/>
  <c r="F241" i="39"/>
  <c r="E241" i="39"/>
  <c r="D241" i="39"/>
  <c r="M240" i="39"/>
  <c r="L240" i="39"/>
  <c r="K240" i="39"/>
  <c r="J240" i="39"/>
  <c r="I240" i="39"/>
  <c r="H240" i="39"/>
  <c r="G240" i="39"/>
  <c r="F240" i="39"/>
  <c r="E240" i="39"/>
  <c r="D240" i="39"/>
  <c r="M239" i="39"/>
  <c r="L239" i="39"/>
  <c r="K239" i="39"/>
  <c r="J239" i="39"/>
  <c r="I239" i="39"/>
  <c r="H239" i="39"/>
  <c r="G239" i="39"/>
  <c r="F239" i="39"/>
  <c r="E239" i="39"/>
  <c r="D239" i="39"/>
  <c r="L236" i="39"/>
  <c r="K236" i="39"/>
  <c r="J236" i="39"/>
  <c r="I236" i="39"/>
  <c r="H236" i="39"/>
  <c r="G236" i="39"/>
  <c r="F236" i="39"/>
  <c r="E236" i="39"/>
  <c r="L235" i="39"/>
  <c r="K235" i="39"/>
  <c r="J235" i="39"/>
  <c r="I235" i="39"/>
  <c r="H235" i="39"/>
  <c r="G235" i="39"/>
  <c r="F235" i="39"/>
  <c r="E235" i="39"/>
  <c r="L234" i="39"/>
  <c r="K234" i="39"/>
  <c r="J234" i="39"/>
  <c r="I234" i="39"/>
  <c r="H234" i="39"/>
  <c r="G234" i="39"/>
  <c r="F234" i="39"/>
  <c r="E234" i="39"/>
  <c r="L233" i="39"/>
  <c r="K233" i="39"/>
  <c r="J233" i="39"/>
  <c r="I233" i="39"/>
  <c r="H233" i="39"/>
  <c r="G233" i="39"/>
  <c r="F233" i="39"/>
  <c r="E233" i="39"/>
  <c r="L232" i="39"/>
  <c r="K232" i="39"/>
  <c r="J232" i="39"/>
  <c r="I232" i="39"/>
  <c r="H232" i="39"/>
  <c r="G232" i="39"/>
  <c r="F232" i="39"/>
  <c r="E232" i="39"/>
  <c r="M231" i="39"/>
  <c r="L231" i="39"/>
  <c r="K231" i="39"/>
  <c r="J231" i="39"/>
  <c r="L230" i="39"/>
  <c r="K230" i="39"/>
  <c r="J230" i="39"/>
  <c r="H230" i="39"/>
  <c r="G230" i="39"/>
  <c r="F230" i="39"/>
  <c r="E230" i="39"/>
  <c r="L229" i="39"/>
  <c r="K229" i="39"/>
  <c r="J229" i="39"/>
  <c r="I229" i="39"/>
  <c r="G229" i="39"/>
  <c r="F229" i="39"/>
  <c r="E229" i="39"/>
  <c r="L228" i="39"/>
  <c r="K228" i="39"/>
  <c r="J228" i="39"/>
  <c r="I228" i="39"/>
  <c r="H228" i="39"/>
  <c r="M226" i="39"/>
  <c r="L226" i="39"/>
  <c r="K226" i="39"/>
  <c r="J226" i="39"/>
  <c r="I226" i="39"/>
  <c r="H226" i="39"/>
  <c r="G226" i="39"/>
  <c r="F226" i="39"/>
  <c r="E226" i="39"/>
  <c r="D226" i="39"/>
  <c r="M225" i="39"/>
  <c r="L225" i="39"/>
  <c r="K225" i="39"/>
  <c r="J225" i="39"/>
  <c r="I225" i="39"/>
  <c r="H225" i="39"/>
  <c r="G225" i="39"/>
  <c r="F225" i="39"/>
  <c r="E225" i="39"/>
  <c r="D225" i="39"/>
  <c r="M224" i="39"/>
  <c r="L224" i="39"/>
  <c r="K224" i="39"/>
  <c r="J224" i="39"/>
  <c r="I224" i="39"/>
  <c r="H224" i="39"/>
  <c r="G224" i="39"/>
  <c r="F224" i="39"/>
  <c r="E224" i="39"/>
  <c r="D224" i="39"/>
  <c r="M223" i="39"/>
  <c r="L223" i="39"/>
  <c r="K223" i="39"/>
  <c r="J223" i="39"/>
  <c r="I223" i="39"/>
  <c r="H223" i="39"/>
  <c r="G223" i="39"/>
  <c r="F223" i="39"/>
  <c r="E223" i="39"/>
  <c r="D223" i="39"/>
  <c r="M222" i="39"/>
  <c r="L222" i="39"/>
  <c r="K222" i="39"/>
  <c r="J222" i="39"/>
  <c r="I222" i="39"/>
  <c r="H222" i="39"/>
  <c r="G222" i="39"/>
  <c r="F222" i="39"/>
  <c r="E222" i="39"/>
  <c r="D222" i="39"/>
  <c r="M221" i="39"/>
  <c r="L221" i="39"/>
  <c r="K221" i="39"/>
  <c r="J221" i="39"/>
  <c r="I221" i="39"/>
  <c r="H221" i="39"/>
  <c r="G221" i="39"/>
  <c r="F221" i="39"/>
  <c r="E221" i="39"/>
  <c r="D221" i="39"/>
  <c r="M220" i="39"/>
  <c r="L220" i="39"/>
  <c r="K220" i="39"/>
  <c r="J220" i="39"/>
  <c r="I220" i="39"/>
  <c r="H220" i="39"/>
  <c r="G220" i="39"/>
  <c r="F220" i="39"/>
  <c r="E220" i="39"/>
  <c r="D220" i="39"/>
  <c r="M219" i="39"/>
  <c r="L219" i="39"/>
  <c r="K219" i="39"/>
  <c r="J219" i="39"/>
  <c r="I219" i="39"/>
  <c r="H219" i="39"/>
  <c r="G219" i="39"/>
  <c r="F219" i="39"/>
  <c r="E219" i="39"/>
  <c r="D219" i="39"/>
  <c r="M218" i="39"/>
  <c r="L218" i="39"/>
  <c r="K218" i="39"/>
  <c r="J218" i="39"/>
  <c r="I218" i="39"/>
  <c r="H218" i="39"/>
  <c r="G218" i="39"/>
  <c r="F218" i="39"/>
  <c r="E218" i="39"/>
  <c r="D218" i="39"/>
  <c r="M217" i="39"/>
  <c r="L217" i="39"/>
  <c r="K217" i="39"/>
  <c r="J217" i="39"/>
  <c r="I217" i="39"/>
  <c r="H217" i="39"/>
  <c r="G217" i="39"/>
  <c r="F217" i="39"/>
  <c r="E217" i="39"/>
  <c r="D217" i="39"/>
  <c r="M216" i="39"/>
  <c r="L216" i="39"/>
  <c r="K216" i="39"/>
  <c r="J216" i="39"/>
  <c r="I216" i="39"/>
  <c r="H216" i="39"/>
  <c r="G216" i="39"/>
  <c r="F216" i="39"/>
  <c r="E216" i="39"/>
  <c r="D216" i="39"/>
  <c r="M215" i="39"/>
  <c r="L215" i="39"/>
  <c r="K215" i="39"/>
  <c r="J215" i="39"/>
  <c r="I215" i="39"/>
  <c r="H215" i="39"/>
  <c r="G215" i="39"/>
  <c r="F215" i="39"/>
  <c r="E215" i="39"/>
  <c r="D215" i="39"/>
  <c r="M214" i="39"/>
  <c r="L214" i="39"/>
  <c r="K214" i="39"/>
  <c r="J214" i="39"/>
  <c r="I214" i="39"/>
  <c r="H214" i="39"/>
  <c r="G214" i="39"/>
  <c r="F214" i="39"/>
  <c r="E214" i="39"/>
  <c r="D214" i="39"/>
  <c r="M213" i="39"/>
  <c r="L213" i="39"/>
  <c r="K213" i="39"/>
  <c r="J213" i="39"/>
  <c r="I213" i="39"/>
  <c r="H213" i="39"/>
  <c r="G213" i="39"/>
  <c r="F213" i="39"/>
  <c r="E213" i="39"/>
  <c r="D213" i="39"/>
  <c r="L210" i="39"/>
  <c r="K210" i="39"/>
  <c r="J210" i="39"/>
  <c r="I210" i="39"/>
  <c r="H210" i="39"/>
  <c r="G210" i="39"/>
  <c r="F210" i="39"/>
  <c r="E210" i="39"/>
  <c r="L209" i="39"/>
  <c r="K209" i="39"/>
  <c r="J209" i="39"/>
  <c r="I209" i="39"/>
  <c r="H209" i="39"/>
  <c r="G209" i="39"/>
  <c r="F209" i="39"/>
  <c r="E209" i="39"/>
  <c r="L208" i="39"/>
  <c r="K208" i="39"/>
  <c r="J208" i="39"/>
  <c r="I208" i="39"/>
  <c r="H208" i="39"/>
  <c r="G208" i="39"/>
  <c r="F208" i="39"/>
  <c r="E208" i="39"/>
  <c r="L207" i="39"/>
  <c r="K207" i="39"/>
  <c r="J207" i="39"/>
  <c r="I207" i="39"/>
  <c r="H207" i="39"/>
  <c r="G207" i="39"/>
  <c r="F207" i="39"/>
  <c r="E207" i="39"/>
  <c r="L206" i="39"/>
  <c r="K206" i="39"/>
  <c r="J206" i="39"/>
  <c r="I206" i="39"/>
  <c r="H206" i="39"/>
  <c r="G206" i="39"/>
  <c r="F206" i="39"/>
  <c r="E206" i="39"/>
  <c r="L204" i="39"/>
  <c r="K204" i="39"/>
  <c r="J204" i="39"/>
  <c r="I204" i="39"/>
  <c r="H204" i="39"/>
  <c r="G204" i="39"/>
  <c r="F204" i="39"/>
  <c r="E204" i="39"/>
  <c r="L203" i="39"/>
  <c r="K203" i="39"/>
  <c r="J203" i="39"/>
  <c r="I203" i="39"/>
  <c r="H203" i="39"/>
  <c r="G203" i="39"/>
  <c r="E203" i="39"/>
  <c r="L202" i="39"/>
  <c r="K202" i="39"/>
  <c r="J202" i="39"/>
  <c r="I202" i="39"/>
  <c r="H202" i="39"/>
  <c r="G202" i="39"/>
  <c r="F202" i="39"/>
  <c r="L201" i="39"/>
  <c r="K201" i="39"/>
  <c r="J201" i="39"/>
  <c r="L200" i="39"/>
  <c r="K200" i="39"/>
  <c r="J200" i="39"/>
  <c r="I200" i="39"/>
  <c r="H200" i="39"/>
  <c r="G200" i="39"/>
  <c r="F200" i="39"/>
  <c r="E200" i="39"/>
  <c r="D200" i="39"/>
  <c r="L199" i="39"/>
  <c r="K199" i="39"/>
  <c r="J199" i="39"/>
  <c r="I199" i="39"/>
  <c r="H199" i="39"/>
  <c r="G199" i="39"/>
  <c r="F199" i="39"/>
  <c r="E199" i="39"/>
  <c r="D199" i="39"/>
  <c r="L198" i="39"/>
  <c r="K198" i="39"/>
  <c r="J198" i="39"/>
  <c r="I198" i="39"/>
  <c r="H198" i="39"/>
  <c r="G198" i="39"/>
  <c r="F198" i="39"/>
  <c r="E198" i="39"/>
  <c r="D198" i="39"/>
  <c r="L195" i="39"/>
  <c r="K195" i="39"/>
  <c r="J195" i="39"/>
  <c r="I195" i="39"/>
  <c r="H195" i="39"/>
  <c r="G195" i="39"/>
  <c r="F195" i="39"/>
  <c r="E195" i="39"/>
  <c r="L194" i="39"/>
  <c r="K194" i="39"/>
  <c r="J194" i="39"/>
  <c r="I194" i="39"/>
  <c r="H194" i="39"/>
  <c r="G194" i="39"/>
  <c r="F194" i="39"/>
  <c r="E194" i="39"/>
  <c r="L193" i="39"/>
  <c r="K193" i="39"/>
  <c r="J193" i="39"/>
  <c r="I193" i="39"/>
  <c r="H193" i="39"/>
  <c r="G193" i="39"/>
  <c r="F193" i="39"/>
  <c r="E193" i="39"/>
  <c r="L192" i="39"/>
  <c r="K192" i="39"/>
  <c r="J192" i="39"/>
  <c r="I192" i="39"/>
  <c r="H192" i="39"/>
  <c r="G192" i="39"/>
  <c r="F192" i="39"/>
  <c r="E192" i="39"/>
  <c r="L191" i="39"/>
  <c r="K191" i="39"/>
  <c r="J191" i="39"/>
  <c r="I191" i="39"/>
  <c r="H191" i="39"/>
  <c r="G191" i="39"/>
  <c r="F191" i="39"/>
  <c r="E191" i="39"/>
  <c r="L189" i="39"/>
  <c r="K189" i="39"/>
  <c r="J189" i="39"/>
  <c r="I189" i="39"/>
  <c r="H189" i="39"/>
  <c r="G189" i="39"/>
  <c r="F189" i="39"/>
  <c r="E189" i="39"/>
  <c r="L188" i="39"/>
  <c r="K188" i="39"/>
  <c r="J188" i="39"/>
  <c r="I188" i="39"/>
  <c r="H188" i="39"/>
  <c r="G188" i="39"/>
  <c r="F188" i="39"/>
  <c r="E188" i="39"/>
  <c r="L187" i="39"/>
  <c r="K187" i="39"/>
  <c r="J187" i="39"/>
  <c r="I187" i="39"/>
  <c r="H187" i="39"/>
  <c r="G187" i="39"/>
  <c r="F187" i="39"/>
  <c r="E187" i="39"/>
  <c r="L185" i="39"/>
  <c r="K185" i="39"/>
  <c r="J185" i="39"/>
  <c r="I185" i="39"/>
  <c r="H185" i="39"/>
  <c r="G185" i="39"/>
  <c r="F185" i="39"/>
  <c r="E185" i="39"/>
  <c r="D185" i="39"/>
  <c r="L184" i="39"/>
  <c r="K184" i="39"/>
  <c r="J184" i="39"/>
  <c r="I184" i="39"/>
  <c r="H184" i="39"/>
  <c r="G184" i="39"/>
  <c r="F184" i="39"/>
  <c r="E184" i="39"/>
  <c r="D184" i="39"/>
  <c r="L183" i="39"/>
  <c r="K183" i="39"/>
  <c r="J183" i="39"/>
  <c r="I183" i="39"/>
  <c r="H183" i="39"/>
  <c r="G183" i="39"/>
  <c r="F183" i="39"/>
  <c r="E183" i="39"/>
  <c r="D183" i="39"/>
  <c r="K180" i="39"/>
  <c r="J180" i="39"/>
  <c r="I180" i="39"/>
  <c r="H180" i="39"/>
  <c r="G180" i="39"/>
  <c r="F180" i="39"/>
  <c r="E180" i="39"/>
  <c r="L179" i="39"/>
  <c r="J179" i="39"/>
  <c r="I179" i="39"/>
  <c r="H179" i="39"/>
  <c r="G179" i="39"/>
  <c r="F179" i="39"/>
  <c r="E179" i="39"/>
  <c r="L178" i="39"/>
  <c r="K178" i="39"/>
  <c r="I178" i="39"/>
  <c r="H178" i="39"/>
  <c r="G178" i="39"/>
  <c r="F178" i="39"/>
  <c r="E178" i="39"/>
  <c r="L177" i="39"/>
  <c r="K177" i="39"/>
  <c r="J177" i="39"/>
  <c r="H177" i="39"/>
  <c r="G177" i="39"/>
  <c r="F177" i="39"/>
  <c r="E177" i="39"/>
  <c r="L176" i="39"/>
  <c r="K176" i="39"/>
  <c r="J176" i="39"/>
  <c r="I176" i="39"/>
  <c r="G176" i="39"/>
  <c r="F176" i="39"/>
  <c r="E176" i="39"/>
  <c r="M175" i="39"/>
  <c r="L175" i="39"/>
  <c r="K175" i="39"/>
  <c r="J175" i="39"/>
  <c r="L174" i="39"/>
  <c r="K174" i="39"/>
  <c r="J174" i="39"/>
  <c r="I174" i="39"/>
  <c r="H174" i="39"/>
  <c r="F174" i="39"/>
  <c r="E174" i="39"/>
  <c r="L173" i="39"/>
  <c r="K173" i="39"/>
  <c r="J173" i="39"/>
  <c r="I173" i="39"/>
  <c r="H173" i="39"/>
  <c r="G173" i="39"/>
  <c r="E173" i="39"/>
  <c r="L172" i="39"/>
  <c r="K172" i="39"/>
  <c r="J172" i="39"/>
  <c r="I172" i="39"/>
  <c r="H172" i="39"/>
  <c r="G172" i="39"/>
  <c r="F172" i="39"/>
  <c r="L171" i="39"/>
  <c r="K171" i="39"/>
  <c r="J171" i="39"/>
  <c r="M170" i="39"/>
  <c r="L170" i="39"/>
  <c r="K170" i="39"/>
  <c r="J170" i="39"/>
  <c r="I170" i="39"/>
  <c r="H170" i="39"/>
  <c r="G170" i="39"/>
  <c r="F170" i="39"/>
  <c r="E170" i="39"/>
  <c r="D170" i="39"/>
  <c r="L169" i="39"/>
  <c r="K169" i="39"/>
  <c r="J169" i="39"/>
  <c r="I169" i="39"/>
  <c r="H169" i="39"/>
  <c r="G169" i="39"/>
  <c r="F169" i="39"/>
  <c r="D169" i="39"/>
  <c r="L168" i="39"/>
  <c r="K168" i="39"/>
  <c r="J168" i="39"/>
  <c r="I168" i="39"/>
  <c r="H168" i="39"/>
  <c r="G168" i="39"/>
  <c r="F168" i="39"/>
  <c r="E168" i="39"/>
  <c r="D168" i="39"/>
  <c r="L165" i="39"/>
  <c r="K165" i="39"/>
  <c r="J165" i="39"/>
  <c r="I165" i="39"/>
  <c r="H165" i="39"/>
  <c r="G165" i="39"/>
  <c r="F165" i="39"/>
  <c r="E165" i="39"/>
  <c r="L164" i="39"/>
  <c r="K164" i="39"/>
  <c r="J164" i="39"/>
  <c r="I164" i="39"/>
  <c r="H164" i="39"/>
  <c r="G164" i="39"/>
  <c r="F164" i="39"/>
  <c r="E164" i="39"/>
  <c r="M163" i="39"/>
  <c r="K163" i="39"/>
  <c r="J163" i="39"/>
  <c r="I163" i="39"/>
  <c r="H163" i="39"/>
  <c r="G163" i="39"/>
  <c r="F163" i="39"/>
  <c r="E163" i="39"/>
  <c r="M162" i="39"/>
  <c r="L162" i="39"/>
  <c r="J162" i="39"/>
  <c r="I162" i="39"/>
  <c r="H162" i="39"/>
  <c r="G162" i="39"/>
  <c r="F162" i="39"/>
  <c r="E162" i="39"/>
  <c r="M161" i="39"/>
  <c r="L161" i="39"/>
  <c r="K161" i="39"/>
  <c r="I161" i="39"/>
  <c r="H161" i="39"/>
  <c r="G161" i="39"/>
  <c r="F161" i="39"/>
  <c r="E161" i="39"/>
  <c r="M160" i="39"/>
  <c r="L160" i="39"/>
  <c r="K160" i="39"/>
  <c r="J160" i="39"/>
  <c r="F160" i="39"/>
  <c r="E160" i="39"/>
  <c r="M159" i="39"/>
  <c r="L159" i="39"/>
  <c r="K159" i="39"/>
  <c r="J159" i="39"/>
  <c r="H159" i="39"/>
  <c r="G159" i="39"/>
  <c r="F159" i="39"/>
  <c r="E159" i="39"/>
  <c r="M158" i="39"/>
  <c r="L158" i="39"/>
  <c r="K158" i="39"/>
  <c r="J158" i="39"/>
  <c r="I158" i="39"/>
  <c r="G158" i="39"/>
  <c r="F158" i="39"/>
  <c r="E158" i="39"/>
  <c r="M157" i="39"/>
  <c r="L157" i="39"/>
  <c r="K157" i="39"/>
  <c r="J157" i="39"/>
  <c r="I157" i="39"/>
  <c r="H157" i="39"/>
  <c r="F157" i="39"/>
  <c r="E157" i="39"/>
  <c r="L155" i="39"/>
  <c r="K155" i="39"/>
  <c r="J155" i="39"/>
  <c r="I155" i="39"/>
  <c r="H155" i="39"/>
  <c r="G155" i="39"/>
  <c r="F155" i="39"/>
  <c r="E155" i="39"/>
  <c r="L154" i="39"/>
  <c r="K154" i="39"/>
  <c r="J154" i="39"/>
  <c r="I154" i="39"/>
  <c r="H154" i="39"/>
  <c r="G154" i="39"/>
  <c r="F154" i="39"/>
  <c r="E154" i="39"/>
  <c r="M153" i="39"/>
  <c r="K153" i="39"/>
  <c r="J153" i="39"/>
  <c r="I153" i="39"/>
  <c r="H153" i="39"/>
  <c r="G153" i="39"/>
  <c r="F153" i="39"/>
  <c r="E153" i="39"/>
  <c r="M152" i="39"/>
  <c r="L152" i="39"/>
  <c r="J152" i="39"/>
  <c r="I152" i="39"/>
  <c r="H152" i="39"/>
  <c r="G152" i="39"/>
  <c r="F152" i="39"/>
  <c r="E152" i="39"/>
  <c r="M151" i="39"/>
  <c r="L151" i="39"/>
  <c r="K151" i="39"/>
  <c r="I151" i="39"/>
  <c r="H151" i="39"/>
  <c r="G151" i="39"/>
  <c r="F151" i="39"/>
  <c r="E151" i="39"/>
  <c r="M150" i="39"/>
  <c r="L150" i="39"/>
  <c r="K150" i="39"/>
  <c r="J150" i="39"/>
  <c r="F150" i="39"/>
  <c r="E150" i="39"/>
  <c r="L149" i="39"/>
  <c r="K149" i="39"/>
  <c r="J149" i="39"/>
  <c r="H149" i="39"/>
  <c r="G149" i="39"/>
  <c r="F149" i="39"/>
  <c r="E149" i="39"/>
  <c r="L148" i="39"/>
  <c r="K148" i="39"/>
  <c r="J148" i="39"/>
  <c r="I148" i="39"/>
  <c r="G148" i="39"/>
  <c r="F148" i="39"/>
  <c r="E148" i="39"/>
  <c r="L147" i="39"/>
  <c r="K147" i="39"/>
  <c r="J147" i="39"/>
  <c r="I147" i="39"/>
  <c r="H147" i="39"/>
  <c r="F147" i="39"/>
  <c r="E147" i="39"/>
  <c r="L146" i="39"/>
  <c r="K146" i="39"/>
  <c r="J146" i="39"/>
  <c r="L145" i="39"/>
  <c r="K145" i="39"/>
  <c r="J145" i="39"/>
  <c r="I145" i="39"/>
  <c r="H145" i="39"/>
  <c r="G145" i="39"/>
  <c r="E145" i="39"/>
  <c r="L144" i="39"/>
  <c r="K144" i="39"/>
  <c r="J144" i="39"/>
  <c r="I144" i="39"/>
  <c r="H144" i="39"/>
  <c r="G144" i="39"/>
  <c r="F144" i="39"/>
  <c r="D144" i="39"/>
  <c r="L143" i="39"/>
  <c r="K143" i="39"/>
  <c r="J143" i="39"/>
  <c r="I143" i="39"/>
  <c r="H143" i="39"/>
  <c r="G143" i="39"/>
  <c r="F143" i="39"/>
  <c r="E143" i="39"/>
  <c r="D143" i="39"/>
  <c r="L140" i="39"/>
  <c r="K140" i="39"/>
  <c r="J140" i="39"/>
  <c r="I140" i="39"/>
  <c r="H140" i="39"/>
  <c r="G140" i="39"/>
  <c r="F140" i="39"/>
  <c r="E140" i="39"/>
  <c r="L139" i="39"/>
  <c r="K139" i="39"/>
  <c r="J139" i="39"/>
  <c r="I139" i="39"/>
  <c r="H139" i="39"/>
  <c r="G139" i="39"/>
  <c r="F139" i="39"/>
  <c r="E139" i="39"/>
  <c r="M138" i="39"/>
  <c r="K138" i="39"/>
  <c r="J138" i="39"/>
  <c r="I138" i="39"/>
  <c r="H138" i="39"/>
  <c r="G138" i="39"/>
  <c r="F138" i="39"/>
  <c r="E138" i="39"/>
  <c r="M137" i="39"/>
  <c r="L137" i="39"/>
  <c r="J137" i="39"/>
  <c r="I137" i="39"/>
  <c r="H137" i="39"/>
  <c r="G137" i="39"/>
  <c r="F137" i="39"/>
  <c r="E137" i="39"/>
  <c r="M136" i="39"/>
  <c r="L136" i="39"/>
  <c r="K136" i="39"/>
  <c r="I136" i="39"/>
  <c r="H136" i="39"/>
  <c r="G136" i="39"/>
  <c r="F136" i="39"/>
  <c r="E136" i="39"/>
  <c r="M135" i="39"/>
  <c r="L135" i="39"/>
  <c r="K135" i="39"/>
  <c r="J135" i="39"/>
  <c r="F135" i="39"/>
  <c r="E135" i="39"/>
  <c r="M134" i="39"/>
  <c r="L134" i="39"/>
  <c r="K134" i="39"/>
  <c r="J134" i="39"/>
  <c r="H134" i="39"/>
  <c r="G134" i="39"/>
  <c r="F134" i="39"/>
  <c r="E134" i="39"/>
  <c r="M133" i="39"/>
  <c r="L133" i="39"/>
  <c r="K133" i="39"/>
  <c r="J133" i="39"/>
  <c r="I133" i="39"/>
  <c r="G133" i="39"/>
  <c r="F133" i="39"/>
  <c r="E133" i="39"/>
  <c r="M132" i="39"/>
  <c r="L132" i="39"/>
  <c r="K132" i="39"/>
  <c r="J132" i="39"/>
  <c r="I132" i="39"/>
  <c r="H132" i="39"/>
  <c r="F132" i="39"/>
  <c r="E132" i="39"/>
  <c r="M131" i="39"/>
  <c r="M130" i="39"/>
  <c r="L130" i="39"/>
  <c r="K130" i="39"/>
  <c r="J130" i="39"/>
  <c r="I130" i="39"/>
  <c r="H130" i="39"/>
  <c r="G130" i="39"/>
  <c r="F130" i="39"/>
  <c r="E130" i="39"/>
  <c r="D130" i="39"/>
  <c r="M129" i="39"/>
  <c r="L129" i="39"/>
  <c r="K129" i="39"/>
  <c r="J129" i="39"/>
  <c r="I129" i="39"/>
  <c r="H129" i="39"/>
  <c r="G129" i="39"/>
  <c r="F129" i="39"/>
  <c r="E129" i="39"/>
  <c r="D129" i="39"/>
  <c r="M128" i="39"/>
  <c r="L128" i="39"/>
  <c r="K128" i="39"/>
  <c r="J128" i="39"/>
  <c r="I128" i="39"/>
  <c r="H128" i="39"/>
  <c r="G128" i="39"/>
  <c r="F128" i="39"/>
  <c r="E128" i="39"/>
  <c r="D128" i="39"/>
  <c r="L125" i="39"/>
  <c r="K125" i="39"/>
  <c r="J125" i="39"/>
  <c r="I125" i="39"/>
  <c r="H125" i="39"/>
  <c r="G125" i="39"/>
  <c r="F125" i="39"/>
  <c r="E125" i="39"/>
  <c r="L124" i="39"/>
  <c r="K124" i="39"/>
  <c r="J124" i="39"/>
  <c r="I124" i="39"/>
  <c r="H124" i="39"/>
  <c r="G124" i="39"/>
  <c r="F124" i="39"/>
  <c r="E124" i="39"/>
  <c r="M123" i="39"/>
  <c r="K123" i="39"/>
  <c r="J123" i="39"/>
  <c r="I123" i="39"/>
  <c r="H123" i="39"/>
  <c r="G123" i="39"/>
  <c r="F123" i="39"/>
  <c r="E123" i="39"/>
  <c r="M122" i="39"/>
  <c r="L122" i="39"/>
  <c r="J122" i="39"/>
  <c r="I122" i="39"/>
  <c r="H122" i="39"/>
  <c r="G122" i="39"/>
  <c r="F122" i="39"/>
  <c r="E122" i="39"/>
  <c r="M121" i="39"/>
  <c r="L121" i="39"/>
  <c r="K121" i="39"/>
  <c r="I121" i="39"/>
  <c r="H121" i="39"/>
  <c r="G121" i="39"/>
  <c r="F121" i="39"/>
  <c r="E121" i="39"/>
  <c r="M120" i="39"/>
  <c r="L120" i="39"/>
  <c r="K120" i="39"/>
  <c r="J120" i="39"/>
  <c r="F120" i="39"/>
  <c r="E120" i="39"/>
  <c r="M119" i="39"/>
  <c r="L119" i="39"/>
  <c r="K119" i="39"/>
  <c r="J119" i="39"/>
  <c r="H119" i="39"/>
  <c r="G119" i="39"/>
  <c r="F119" i="39"/>
  <c r="E119" i="39"/>
  <c r="M118" i="39"/>
  <c r="L118" i="39"/>
  <c r="K118" i="39"/>
  <c r="J118" i="39"/>
  <c r="I118" i="39"/>
  <c r="G118" i="39"/>
  <c r="F118" i="39"/>
  <c r="E118" i="39"/>
  <c r="M117" i="39"/>
  <c r="L117" i="39"/>
  <c r="K117" i="39"/>
  <c r="J117" i="39"/>
  <c r="I117" i="39"/>
  <c r="H117" i="39"/>
  <c r="F117" i="39"/>
  <c r="E117" i="39"/>
  <c r="L116" i="39"/>
  <c r="K116" i="39"/>
  <c r="J116" i="39"/>
  <c r="M115" i="39"/>
  <c r="L115" i="39"/>
  <c r="K115" i="39"/>
  <c r="J115" i="39"/>
  <c r="I115" i="39"/>
  <c r="H115" i="39"/>
  <c r="G115" i="39"/>
  <c r="E115" i="39"/>
  <c r="D115" i="39"/>
  <c r="M114" i="39"/>
  <c r="L114" i="39"/>
  <c r="K114" i="39"/>
  <c r="J114" i="39"/>
  <c r="I114" i="39"/>
  <c r="H114" i="39"/>
  <c r="G114" i="39"/>
  <c r="F114" i="39"/>
  <c r="D114" i="39"/>
  <c r="L113" i="39"/>
  <c r="K113" i="39"/>
  <c r="J113" i="39"/>
  <c r="I113" i="39"/>
  <c r="H113" i="39"/>
  <c r="G113" i="39"/>
  <c r="F113" i="39"/>
  <c r="E113" i="39"/>
  <c r="D113" i="39"/>
  <c r="L110" i="39"/>
  <c r="K110" i="39"/>
  <c r="J110" i="39"/>
  <c r="H110" i="39"/>
  <c r="G110" i="39"/>
  <c r="F110" i="39"/>
  <c r="E110" i="39"/>
  <c r="D110" i="39"/>
  <c r="L109" i="39"/>
  <c r="K109" i="39"/>
  <c r="J109" i="39"/>
  <c r="I109" i="39"/>
  <c r="G109" i="39"/>
  <c r="F109" i="39"/>
  <c r="E109" i="39"/>
  <c r="D109" i="39"/>
  <c r="F108" i="39"/>
  <c r="E108" i="39"/>
  <c r="L106" i="39"/>
  <c r="K106" i="39"/>
  <c r="J106" i="39"/>
  <c r="I106" i="39"/>
  <c r="H106" i="39"/>
  <c r="G106" i="39"/>
  <c r="E106" i="39"/>
  <c r="D106" i="39"/>
  <c r="L105" i="39"/>
  <c r="K105" i="39"/>
  <c r="J105" i="39"/>
  <c r="I105" i="39"/>
  <c r="H105" i="39"/>
  <c r="G105" i="39"/>
  <c r="E105" i="39"/>
  <c r="D105" i="39"/>
  <c r="L104" i="39"/>
  <c r="K104" i="39"/>
  <c r="J104" i="39"/>
  <c r="I104" i="39"/>
  <c r="H104" i="39"/>
  <c r="G104" i="39"/>
  <c r="E104" i="39"/>
  <c r="D104" i="39"/>
  <c r="F102" i="39"/>
  <c r="E102" i="39"/>
  <c r="L101" i="39"/>
  <c r="K101" i="39"/>
  <c r="J101" i="39"/>
  <c r="I101" i="39"/>
  <c r="H101" i="39"/>
  <c r="G101" i="39"/>
  <c r="F101" i="39"/>
  <c r="E101" i="39"/>
  <c r="L100" i="39"/>
  <c r="K100" i="39"/>
  <c r="J100" i="39"/>
  <c r="I100" i="39"/>
  <c r="H100" i="39"/>
  <c r="G100" i="39"/>
  <c r="F100" i="39"/>
  <c r="E100" i="39"/>
  <c r="M99" i="39"/>
  <c r="K99" i="39"/>
  <c r="J99" i="39"/>
  <c r="I99" i="39"/>
  <c r="H99" i="39"/>
  <c r="G99" i="39"/>
  <c r="F99" i="39"/>
  <c r="E99" i="39"/>
  <c r="M98" i="39"/>
  <c r="L98" i="39"/>
  <c r="J98" i="39"/>
  <c r="I98" i="39"/>
  <c r="H98" i="39"/>
  <c r="G98" i="39"/>
  <c r="F98" i="39"/>
  <c r="E98" i="39"/>
  <c r="M97" i="39"/>
  <c r="L97" i="39"/>
  <c r="K97" i="39"/>
  <c r="I97" i="39"/>
  <c r="H97" i="39"/>
  <c r="G97" i="39"/>
  <c r="F97" i="39"/>
  <c r="E97" i="39"/>
  <c r="M96" i="39"/>
  <c r="L96" i="39"/>
  <c r="K96" i="39"/>
  <c r="J96" i="39"/>
  <c r="F96" i="39"/>
  <c r="E96" i="39"/>
  <c r="L95" i="39"/>
  <c r="K95" i="39"/>
  <c r="J95" i="39"/>
  <c r="H95" i="39"/>
  <c r="G95" i="39"/>
  <c r="F95" i="39"/>
  <c r="E95" i="39"/>
  <c r="L94" i="39"/>
  <c r="K94" i="39"/>
  <c r="J94" i="39"/>
  <c r="I94" i="39"/>
  <c r="G94" i="39"/>
  <c r="F94" i="39"/>
  <c r="E94" i="39"/>
  <c r="L93" i="39"/>
  <c r="K93" i="39"/>
  <c r="J93" i="39"/>
  <c r="I93" i="39"/>
  <c r="H93" i="39"/>
  <c r="F93" i="39"/>
  <c r="E93" i="39"/>
  <c r="F91" i="39"/>
  <c r="E91" i="39"/>
  <c r="L90" i="39"/>
  <c r="K90" i="39"/>
  <c r="J90" i="39"/>
  <c r="I90" i="39"/>
  <c r="H90" i="39"/>
  <c r="G90" i="39"/>
  <c r="F90" i="39"/>
  <c r="E90" i="39"/>
  <c r="L89" i="39"/>
  <c r="K89" i="39"/>
  <c r="J89" i="39"/>
  <c r="I89" i="39"/>
  <c r="H89" i="39"/>
  <c r="G89" i="39"/>
  <c r="F89" i="39"/>
  <c r="E89" i="39"/>
  <c r="M88" i="39"/>
  <c r="K88" i="39"/>
  <c r="J88" i="39"/>
  <c r="I88" i="39"/>
  <c r="H88" i="39"/>
  <c r="G88" i="39"/>
  <c r="F88" i="39"/>
  <c r="E88" i="39"/>
  <c r="M87" i="39"/>
  <c r="L87" i="39"/>
  <c r="J87" i="39"/>
  <c r="I87" i="39"/>
  <c r="H87" i="39"/>
  <c r="G87" i="39"/>
  <c r="F87" i="39"/>
  <c r="E87" i="39"/>
  <c r="M86" i="39"/>
  <c r="L86" i="39"/>
  <c r="K86" i="39"/>
  <c r="I86" i="39"/>
  <c r="H86" i="39"/>
  <c r="G86" i="39"/>
  <c r="F86" i="39"/>
  <c r="E86" i="39"/>
  <c r="M85" i="39"/>
  <c r="L85" i="39"/>
  <c r="K85" i="39"/>
  <c r="J85" i="39"/>
  <c r="F85" i="39"/>
  <c r="E85" i="39"/>
  <c r="L84" i="39"/>
  <c r="K84" i="39"/>
  <c r="J84" i="39"/>
  <c r="H84" i="39"/>
  <c r="G84" i="39"/>
  <c r="F84" i="39"/>
  <c r="E84" i="39"/>
  <c r="L83" i="39"/>
  <c r="K83" i="39"/>
  <c r="J83" i="39"/>
  <c r="I83" i="39"/>
  <c r="G83" i="39"/>
  <c r="F83" i="39"/>
  <c r="E83" i="39"/>
  <c r="L82" i="39"/>
  <c r="K82" i="39"/>
  <c r="J82" i="39"/>
  <c r="I82" i="39"/>
  <c r="H82" i="39"/>
  <c r="F82" i="39"/>
  <c r="E82" i="39"/>
  <c r="F80" i="39"/>
  <c r="E80" i="39"/>
  <c r="L79" i="39"/>
  <c r="K79" i="39"/>
  <c r="J79" i="39"/>
  <c r="I79" i="39"/>
  <c r="H79" i="39"/>
  <c r="G79" i="39"/>
  <c r="F79" i="39"/>
  <c r="E79" i="39"/>
  <c r="L78" i="39"/>
  <c r="K78" i="39"/>
  <c r="J78" i="39"/>
  <c r="I78" i="39"/>
  <c r="H78" i="39"/>
  <c r="G78" i="39"/>
  <c r="F78" i="39"/>
  <c r="E78" i="39"/>
  <c r="M77" i="39"/>
  <c r="K77" i="39"/>
  <c r="J77" i="39"/>
  <c r="I77" i="39"/>
  <c r="H77" i="39"/>
  <c r="G77" i="39"/>
  <c r="F77" i="39"/>
  <c r="E77" i="39"/>
  <c r="M76" i="39"/>
  <c r="L76" i="39"/>
  <c r="J76" i="39"/>
  <c r="I76" i="39"/>
  <c r="H76" i="39"/>
  <c r="G76" i="39"/>
  <c r="F76" i="39"/>
  <c r="E76" i="39"/>
  <c r="M75" i="39"/>
  <c r="L75" i="39"/>
  <c r="K75" i="39"/>
  <c r="I75" i="39"/>
  <c r="H75" i="39"/>
  <c r="G75" i="39"/>
  <c r="F75" i="39"/>
  <c r="E75" i="39"/>
  <c r="M74" i="39"/>
  <c r="L74" i="39"/>
  <c r="K74" i="39"/>
  <c r="J74" i="39"/>
  <c r="F74" i="39"/>
  <c r="E74" i="39"/>
  <c r="L73" i="39"/>
  <c r="K73" i="39"/>
  <c r="J73" i="39"/>
  <c r="H73" i="39"/>
  <c r="G73" i="39"/>
  <c r="F73" i="39"/>
  <c r="E73" i="39"/>
  <c r="L72" i="39"/>
  <c r="K72" i="39"/>
  <c r="J72" i="39"/>
  <c r="I72" i="39"/>
  <c r="G72" i="39"/>
  <c r="F72" i="39"/>
  <c r="E72" i="39"/>
  <c r="L71" i="39"/>
  <c r="K71" i="39"/>
  <c r="J71" i="39"/>
  <c r="I71" i="39"/>
  <c r="H71" i="39"/>
  <c r="F71" i="39"/>
  <c r="E71" i="39"/>
  <c r="M69" i="39"/>
  <c r="L69" i="39"/>
  <c r="K69" i="39"/>
  <c r="J69" i="39"/>
  <c r="I69" i="39"/>
  <c r="H69" i="39"/>
  <c r="G69" i="39"/>
  <c r="F69" i="39"/>
  <c r="E69" i="39"/>
  <c r="D69" i="39"/>
  <c r="M68" i="39"/>
  <c r="L68" i="39"/>
  <c r="K68" i="39"/>
  <c r="J68" i="39"/>
  <c r="I68" i="39"/>
  <c r="H68" i="39"/>
  <c r="G68" i="39"/>
  <c r="F68" i="39"/>
  <c r="E68" i="39"/>
  <c r="D68" i="39"/>
  <c r="M67" i="39"/>
  <c r="L67" i="39"/>
  <c r="K67" i="39"/>
  <c r="J67" i="39"/>
  <c r="I67" i="39"/>
  <c r="H67" i="39"/>
  <c r="G67" i="39"/>
  <c r="F67" i="39"/>
  <c r="E67" i="39"/>
  <c r="D67" i="39"/>
  <c r="M66" i="39"/>
  <c r="L66" i="39"/>
  <c r="K66" i="39"/>
  <c r="J66" i="39"/>
  <c r="I66" i="39"/>
  <c r="H66" i="39"/>
  <c r="G66" i="39"/>
  <c r="F66" i="39"/>
  <c r="E66" i="39"/>
  <c r="D66" i="39"/>
  <c r="M65" i="39"/>
  <c r="L65" i="39"/>
  <c r="K65" i="39"/>
  <c r="J65" i="39"/>
  <c r="I65" i="39"/>
  <c r="H65" i="39"/>
  <c r="G65" i="39"/>
  <c r="F65" i="39"/>
  <c r="E65" i="39"/>
  <c r="D65" i="39"/>
  <c r="M64" i="39"/>
  <c r="L64" i="39"/>
  <c r="K64" i="39"/>
  <c r="J64" i="39"/>
  <c r="I64" i="39"/>
  <c r="H64" i="39"/>
  <c r="G64" i="39"/>
  <c r="F64" i="39"/>
  <c r="E64" i="39"/>
  <c r="D64" i="39"/>
  <c r="M63" i="39"/>
  <c r="L63" i="39"/>
  <c r="K63" i="39"/>
  <c r="J63" i="39"/>
  <c r="I63" i="39"/>
  <c r="H63" i="39"/>
  <c r="G63" i="39"/>
  <c r="F63" i="39"/>
  <c r="E63" i="39"/>
  <c r="D63" i="39"/>
  <c r="M62" i="39"/>
  <c r="L62" i="39"/>
  <c r="K62" i="39"/>
  <c r="J62" i="39"/>
  <c r="I62" i="39"/>
  <c r="H62" i="39"/>
  <c r="G62" i="39"/>
  <c r="F62" i="39"/>
  <c r="E62" i="39"/>
  <c r="D62" i="39"/>
  <c r="M61" i="39"/>
  <c r="L61" i="39"/>
  <c r="K61" i="39"/>
  <c r="J61" i="39"/>
  <c r="I61" i="39"/>
  <c r="H61" i="39"/>
  <c r="G61" i="39"/>
  <c r="F61" i="39"/>
  <c r="E61" i="39"/>
  <c r="D61" i="39"/>
  <c r="M60" i="39"/>
  <c r="L60" i="39"/>
  <c r="K60" i="39"/>
  <c r="J60" i="39"/>
  <c r="I60" i="39"/>
  <c r="H60" i="39"/>
  <c r="G60" i="39"/>
  <c r="F60" i="39"/>
  <c r="E60" i="39"/>
  <c r="D60" i="39"/>
  <c r="M58" i="39"/>
  <c r="L58" i="39"/>
  <c r="K58" i="39"/>
  <c r="J58" i="39"/>
  <c r="I58" i="39"/>
  <c r="H58" i="39"/>
  <c r="G58" i="39"/>
  <c r="F58" i="39"/>
  <c r="E58" i="39"/>
  <c r="D58" i="39"/>
  <c r="M57" i="39"/>
  <c r="L57" i="39"/>
  <c r="K57" i="39"/>
  <c r="J57" i="39"/>
  <c r="I57" i="39"/>
  <c r="H57" i="39"/>
  <c r="G57" i="39"/>
  <c r="F57" i="39"/>
  <c r="E57" i="39"/>
  <c r="D57" i="39"/>
  <c r="M56" i="39"/>
  <c r="L56" i="39"/>
  <c r="K56" i="39"/>
  <c r="J56" i="39"/>
  <c r="I56" i="39"/>
  <c r="H56" i="39"/>
  <c r="G56" i="39"/>
  <c r="F56" i="39"/>
  <c r="E56" i="39"/>
  <c r="D56" i="39"/>
  <c r="M55" i="39"/>
  <c r="L55" i="39"/>
  <c r="K55" i="39"/>
  <c r="J55" i="39"/>
  <c r="I55" i="39"/>
  <c r="H55" i="39"/>
  <c r="G55" i="39"/>
  <c r="F55" i="39"/>
  <c r="E55" i="39"/>
  <c r="D55" i="39"/>
  <c r="M54" i="39"/>
  <c r="L54" i="39"/>
  <c r="K54" i="39"/>
  <c r="J54" i="39"/>
  <c r="I54" i="39"/>
  <c r="H54" i="39"/>
  <c r="G54" i="39"/>
  <c r="F54" i="39"/>
  <c r="E54" i="39"/>
  <c r="D54" i="39"/>
  <c r="M53" i="39"/>
  <c r="L53" i="39"/>
  <c r="K53" i="39"/>
  <c r="J53" i="39"/>
  <c r="I53" i="39"/>
  <c r="H53" i="39"/>
  <c r="G53" i="39"/>
  <c r="F53" i="39"/>
  <c r="E53" i="39"/>
  <c r="D53" i="39"/>
  <c r="M52" i="39"/>
  <c r="L52" i="39"/>
  <c r="K52" i="39"/>
  <c r="J52" i="39"/>
  <c r="I52" i="39"/>
  <c r="H52" i="39"/>
  <c r="G52" i="39"/>
  <c r="F52" i="39"/>
  <c r="E52" i="39"/>
  <c r="D52" i="39"/>
  <c r="M51" i="39"/>
  <c r="L51" i="39"/>
  <c r="K51" i="39"/>
  <c r="J51" i="39"/>
  <c r="I51" i="39"/>
  <c r="H51" i="39"/>
  <c r="G51" i="39"/>
  <c r="F51" i="39"/>
  <c r="E51" i="39"/>
  <c r="D51" i="39"/>
  <c r="M50" i="39"/>
  <c r="L50" i="39"/>
  <c r="K50" i="39"/>
  <c r="J50" i="39"/>
  <c r="I50" i="39"/>
  <c r="H50" i="39"/>
  <c r="G50" i="39"/>
  <c r="F50" i="39"/>
  <c r="E50" i="39"/>
  <c r="D50" i="39"/>
  <c r="M49" i="39"/>
  <c r="L49" i="39"/>
  <c r="K49" i="39"/>
  <c r="J49" i="39"/>
  <c r="I49" i="39"/>
  <c r="H49" i="39"/>
  <c r="G49" i="39"/>
  <c r="F49" i="39"/>
  <c r="E49" i="39"/>
  <c r="D49" i="39"/>
  <c r="F47" i="39"/>
  <c r="E47" i="39"/>
  <c r="L46" i="39"/>
  <c r="K46" i="39"/>
  <c r="J46" i="39"/>
  <c r="I46" i="39"/>
  <c r="H46" i="39"/>
  <c r="G46" i="39"/>
  <c r="F46" i="39"/>
  <c r="E46" i="39"/>
  <c r="L45" i="39"/>
  <c r="K45" i="39"/>
  <c r="J45" i="39"/>
  <c r="I45" i="39"/>
  <c r="H45" i="39"/>
  <c r="G45" i="39"/>
  <c r="F45" i="39"/>
  <c r="E45" i="39"/>
  <c r="M44" i="39"/>
  <c r="K44" i="39"/>
  <c r="J44" i="39"/>
  <c r="I44" i="39"/>
  <c r="H44" i="39"/>
  <c r="G44" i="39"/>
  <c r="F44" i="39"/>
  <c r="E44" i="39"/>
  <c r="M43" i="39"/>
  <c r="L43" i="39"/>
  <c r="J43" i="39"/>
  <c r="I43" i="39"/>
  <c r="H43" i="39"/>
  <c r="G43" i="39"/>
  <c r="F43" i="39"/>
  <c r="E43" i="39"/>
  <c r="M42" i="39"/>
  <c r="L42" i="39"/>
  <c r="K42" i="39"/>
  <c r="I42" i="39"/>
  <c r="H42" i="39"/>
  <c r="G42" i="39"/>
  <c r="F42" i="39"/>
  <c r="E42" i="39"/>
  <c r="M41" i="39"/>
  <c r="L41" i="39"/>
  <c r="K41" i="39"/>
  <c r="J41" i="39"/>
  <c r="F41" i="39"/>
  <c r="E41" i="39"/>
  <c r="M40" i="39"/>
  <c r="L40" i="39"/>
  <c r="K40" i="39"/>
  <c r="J40" i="39"/>
  <c r="H40" i="39"/>
  <c r="G40" i="39"/>
  <c r="F40" i="39"/>
  <c r="E40" i="39"/>
  <c r="M39" i="39"/>
  <c r="L39" i="39"/>
  <c r="K39" i="39"/>
  <c r="J39" i="39"/>
  <c r="I39" i="39"/>
  <c r="G39" i="39"/>
  <c r="F39" i="39"/>
  <c r="E39" i="39"/>
  <c r="M38" i="39"/>
  <c r="L38" i="39"/>
  <c r="K38" i="39"/>
  <c r="J38" i="39"/>
  <c r="I38" i="39"/>
  <c r="H38" i="39"/>
  <c r="F38" i="39"/>
  <c r="E38" i="39"/>
  <c r="L35" i="39"/>
  <c r="K35" i="39"/>
  <c r="J35" i="39"/>
  <c r="I35" i="39"/>
  <c r="H35" i="39"/>
  <c r="G35" i="39"/>
  <c r="F35" i="39"/>
  <c r="E35" i="39"/>
  <c r="L34" i="39"/>
  <c r="K34" i="39"/>
  <c r="J34" i="39"/>
  <c r="I34" i="39"/>
  <c r="H34" i="39"/>
  <c r="G34" i="39"/>
  <c r="F34" i="39"/>
  <c r="E34" i="39"/>
  <c r="M33" i="39"/>
  <c r="K33" i="39"/>
  <c r="J33" i="39"/>
  <c r="I33" i="39"/>
  <c r="H33" i="39"/>
  <c r="G33" i="39"/>
  <c r="F33" i="39"/>
  <c r="E33" i="39"/>
  <c r="M32" i="39"/>
  <c r="L32" i="39"/>
  <c r="J32" i="39"/>
  <c r="I32" i="39"/>
  <c r="H32" i="39"/>
  <c r="G32" i="39"/>
  <c r="F32" i="39"/>
  <c r="E32" i="39"/>
  <c r="M31" i="39"/>
  <c r="L31" i="39"/>
  <c r="K31" i="39"/>
  <c r="I31" i="39"/>
  <c r="H31" i="39"/>
  <c r="G31" i="39"/>
  <c r="F31" i="39"/>
  <c r="E31" i="39"/>
  <c r="M30" i="39"/>
  <c r="L30" i="39"/>
  <c r="K30" i="39"/>
  <c r="J30" i="39"/>
  <c r="F30" i="39"/>
  <c r="E30" i="39"/>
  <c r="M29" i="39"/>
  <c r="L29" i="39"/>
  <c r="K29" i="39"/>
  <c r="J29" i="39"/>
  <c r="H29" i="39"/>
  <c r="G29" i="39"/>
  <c r="F29" i="39"/>
  <c r="E29" i="39"/>
  <c r="M28" i="39"/>
  <c r="L28" i="39"/>
  <c r="K28" i="39"/>
  <c r="J28" i="39"/>
  <c r="I28" i="39"/>
  <c r="H28" i="39"/>
  <c r="G28" i="39"/>
  <c r="F28" i="39"/>
  <c r="E28" i="39"/>
  <c r="D28" i="39"/>
  <c r="M27" i="39"/>
  <c r="L27" i="39"/>
  <c r="K27" i="39"/>
  <c r="J27" i="39"/>
  <c r="I27" i="39"/>
  <c r="H27" i="39"/>
  <c r="G27" i="39"/>
  <c r="F27" i="39"/>
  <c r="E27" i="39"/>
  <c r="D27" i="39"/>
  <c r="M26" i="39"/>
  <c r="L26" i="39"/>
  <c r="K26" i="39"/>
  <c r="J26" i="39"/>
  <c r="I26" i="39"/>
  <c r="H26" i="39"/>
  <c r="G26" i="39"/>
  <c r="M25" i="39"/>
  <c r="L25" i="39"/>
  <c r="K25" i="39"/>
  <c r="J25" i="39"/>
  <c r="I25" i="39"/>
  <c r="H25" i="39"/>
  <c r="G25" i="39"/>
  <c r="E25" i="39"/>
  <c r="D25" i="39"/>
  <c r="M24" i="39"/>
  <c r="L24" i="39"/>
  <c r="K24" i="39"/>
  <c r="J24" i="39"/>
  <c r="I24" i="39"/>
  <c r="H24" i="39"/>
  <c r="G24" i="39"/>
  <c r="F24" i="39"/>
  <c r="D24" i="39"/>
  <c r="M23" i="39"/>
  <c r="L23" i="39"/>
  <c r="K23" i="39"/>
  <c r="J23" i="39"/>
  <c r="I23" i="39"/>
  <c r="H23" i="39"/>
  <c r="G23" i="39"/>
  <c r="F23" i="39"/>
  <c r="E23" i="39"/>
  <c r="D23" i="39"/>
  <c r="L20" i="39"/>
  <c r="K20" i="39"/>
  <c r="J20" i="39"/>
  <c r="I20" i="39"/>
  <c r="H20" i="39"/>
  <c r="G20" i="39"/>
  <c r="F20" i="39"/>
  <c r="E20" i="39"/>
  <c r="L19" i="39"/>
  <c r="K19" i="39"/>
  <c r="J19" i="39"/>
  <c r="I19" i="39"/>
  <c r="H19" i="39"/>
  <c r="G19" i="39"/>
  <c r="F19" i="39"/>
  <c r="E19" i="39"/>
  <c r="M18" i="39"/>
  <c r="K18" i="39"/>
  <c r="J18" i="39"/>
  <c r="I18" i="39"/>
  <c r="H18" i="39"/>
  <c r="G18" i="39"/>
  <c r="F18" i="39"/>
  <c r="E18" i="39"/>
  <c r="M17" i="39"/>
  <c r="L17" i="39"/>
  <c r="J17" i="39"/>
  <c r="I17" i="39"/>
  <c r="H17" i="39"/>
  <c r="G17" i="39"/>
  <c r="F17" i="39"/>
  <c r="E17" i="39"/>
  <c r="M16" i="39"/>
  <c r="L16" i="39"/>
  <c r="K16" i="39"/>
  <c r="I16" i="39"/>
  <c r="H16" i="39"/>
  <c r="G16" i="39"/>
  <c r="F16" i="39"/>
  <c r="E16" i="39"/>
  <c r="M15" i="39"/>
  <c r="L15" i="39"/>
  <c r="K15" i="39"/>
  <c r="J15" i="39"/>
  <c r="F15" i="39"/>
  <c r="E15" i="39"/>
  <c r="M14" i="39"/>
  <c r="L14" i="39"/>
  <c r="K14" i="39"/>
  <c r="J14" i="39"/>
  <c r="H14" i="39"/>
  <c r="G14" i="39"/>
  <c r="F14" i="39"/>
  <c r="E14" i="39"/>
  <c r="M13" i="39"/>
  <c r="L13" i="39"/>
  <c r="K13" i="39"/>
  <c r="J13" i="39"/>
  <c r="I13" i="39"/>
  <c r="G13" i="39"/>
  <c r="F13" i="39"/>
  <c r="E13" i="39"/>
  <c r="M12" i="39"/>
  <c r="L12" i="39"/>
  <c r="K12" i="39"/>
  <c r="J12" i="39"/>
  <c r="I12" i="39"/>
  <c r="H12" i="39"/>
  <c r="F12" i="39"/>
  <c r="E12" i="39"/>
  <c r="M11" i="39"/>
  <c r="L11" i="39"/>
  <c r="K11" i="39"/>
  <c r="J11" i="39"/>
  <c r="I11" i="39"/>
  <c r="H11" i="39"/>
  <c r="G11" i="39"/>
  <c r="M10" i="39"/>
  <c r="L10" i="39"/>
  <c r="K10" i="39"/>
  <c r="J10" i="39"/>
  <c r="I10" i="39"/>
  <c r="H10" i="39"/>
  <c r="G10" i="39"/>
  <c r="E10" i="39"/>
  <c r="D10" i="39"/>
  <c r="M9" i="39"/>
  <c r="L9" i="39"/>
  <c r="K9" i="39"/>
  <c r="J9" i="39"/>
  <c r="I9" i="39"/>
  <c r="H9" i="39"/>
  <c r="G9" i="39"/>
  <c r="F9" i="39"/>
  <c r="E9" i="39"/>
  <c r="D9" i="39"/>
  <c r="D173" i="49"/>
  <c r="F173" i="49" s="1"/>
  <c r="F175" i="49" s="1"/>
  <c r="L146" i="49"/>
  <c r="K146" i="49"/>
  <c r="J146" i="49"/>
  <c r="F146" i="49"/>
  <c r="D146" i="49"/>
  <c r="F145" i="49"/>
  <c r="E144" i="49"/>
  <c r="E146" i="49" s="1"/>
  <c r="E156" i="49" s="1"/>
  <c r="E166" i="49" s="1"/>
  <c r="C87" i="38" s="1"/>
  <c r="S559" i="34" s="1"/>
  <c r="M111" i="49"/>
  <c r="L111" i="49"/>
  <c r="J84" i="38" s="1"/>
  <c r="K111" i="49"/>
  <c r="I84" i="38" s="1"/>
  <c r="J111" i="49"/>
  <c r="H84" i="38" s="1"/>
  <c r="I111" i="49"/>
  <c r="G84" i="38" s="1"/>
  <c r="H111" i="49"/>
  <c r="F84" i="38" s="1"/>
  <c r="G111" i="49"/>
  <c r="F111" i="49"/>
  <c r="E111" i="49"/>
  <c r="D111" i="49"/>
  <c r="U707" i="34" s="1"/>
  <c r="M106" i="49"/>
  <c r="M105" i="49"/>
  <c r="M104" i="49"/>
  <c r="M107" i="49" s="1"/>
  <c r="E107" i="49"/>
  <c r="C84" i="38" s="1"/>
  <c r="S550" i="34" s="1"/>
  <c r="D107" i="49"/>
  <c r="W709" i="34" s="1"/>
  <c r="F106" i="49"/>
  <c r="F105" i="49"/>
  <c r="F104" i="49"/>
  <c r="D68" i="49"/>
  <c r="M68" i="49" s="1"/>
  <c r="D67" i="49"/>
  <c r="M67" i="49" s="1"/>
  <c r="D66" i="49"/>
  <c r="L66" i="49" s="1"/>
  <c r="L69" i="49" s="1"/>
  <c r="D65" i="49"/>
  <c r="K65" i="49" s="1"/>
  <c r="K69" i="49" s="1"/>
  <c r="D64" i="49"/>
  <c r="J64" i="49" s="1"/>
  <c r="J69" i="49" s="1"/>
  <c r="D62" i="49"/>
  <c r="D57" i="49"/>
  <c r="M57" i="49" s="1"/>
  <c r="D56" i="49"/>
  <c r="M56" i="49" s="1"/>
  <c r="D55" i="49"/>
  <c r="L55" i="49" s="1"/>
  <c r="L58" i="49" s="1"/>
  <c r="D54" i="49"/>
  <c r="K54" i="49" s="1"/>
  <c r="K58" i="49" s="1"/>
  <c r="D53" i="49"/>
  <c r="J53" i="49" s="1"/>
  <c r="J58" i="49" s="1"/>
  <c r="D51" i="49"/>
  <c r="I51" i="49" s="1"/>
  <c r="I52" i="49" s="1"/>
  <c r="I58" i="49" s="1"/>
  <c r="E11" i="49"/>
  <c r="D11" i="49"/>
  <c r="F10" i="49"/>
  <c r="F11" i="49" s="1"/>
  <c r="F21" i="49" s="1"/>
  <c r="D173" i="48"/>
  <c r="I110" i="48"/>
  <c r="I110" i="39" s="1"/>
  <c r="H109" i="48"/>
  <c r="H109" i="39" s="1"/>
  <c r="G108" i="48"/>
  <c r="G111" i="48" s="1"/>
  <c r="G111" i="39" s="1"/>
  <c r="F106" i="48"/>
  <c r="F107" i="48" s="1"/>
  <c r="D84" i="37" s="1"/>
  <c r="T445" i="34" s="1"/>
  <c r="F105" i="48"/>
  <c r="F105" i="39" s="1"/>
  <c r="F104" i="48"/>
  <c r="T689" i="34" s="1"/>
  <c r="M111" i="48"/>
  <c r="L111" i="48"/>
  <c r="J84" i="37" s="1"/>
  <c r="K111" i="48"/>
  <c r="I84" i="37" s="1"/>
  <c r="J111" i="48"/>
  <c r="H84" i="37" s="1"/>
  <c r="I111" i="48"/>
  <c r="G84" i="37" s="1"/>
  <c r="W445" i="34" s="1"/>
  <c r="H111" i="48"/>
  <c r="F84" i="37" s="1"/>
  <c r="V445" i="34" s="1"/>
  <c r="F111" i="48"/>
  <c r="F111" i="39" s="1"/>
  <c r="E111" i="48"/>
  <c r="E111" i="39" s="1"/>
  <c r="M107" i="48"/>
  <c r="L107" i="48"/>
  <c r="L107" i="39" s="1"/>
  <c r="K107" i="48"/>
  <c r="K107" i="39" s="1"/>
  <c r="J107" i="48"/>
  <c r="J107" i="39" s="1"/>
  <c r="I107" i="48"/>
  <c r="I107" i="39" s="1"/>
  <c r="H107" i="48"/>
  <c r="H107" i="39" s="1"/>
  <c r="G107" i="48"/>
  <c r="E84" i="37" s="1"/>
  <c r="U445" i="34" s="1"/>
  <c r="E107" i="48"/>
  <c r="C84" i="37" s="1"/>
  <c r="S445" i="34" s="1"/>
  <c r="D111" i="48"/>
  <c r="U673" i="34" s="1"/>
  <c r="D107" i="48"/>
  <c r="W673" i="34" s="1"/>
  <c r="F10" i="48"/>
  <c r="D236" i="49"/>
  <c r="M236" i="49" s="1"/>
  <c r="D235" i="49"/>
  <c r="D234" i="49"/>
  <c r="M234" i="49" s="1"/>
  <c r="D233" i="49"/>
  <c r="M233" i="49" s="1"/>
  <c r="D232" i="49"/>
  <c r="M232" i="49" s="1"/>
  <c r="D230" i="49"/>
  <c r="D229" i="49"/>
  <c r="D210" i="49"/>
  <c r="M210" i="49" s="1"/>
  <c r="D209" i="49"/>
  <c r="M209" i="49" s="1"/>
  <c r="D208" i="49"/>
  <c r="D207" i="49"/>
  <c r="D206" i="49"/>
  <c r="M206" i="49" s="1"/>
  <c r="D204" i="49"/>
  <c r="M204" i="49" s="1"/>
  <c r="D203" i="49"/>
  <c r="F203" i="49" s="1"/>
  <c r="D202" i="49"/>
  <c r="E202" i="49" s="1"/>
  <c r="E205" i="49" s="1"/>
  <c r="D195" i="49"/>
  <c r="M195" i="49" s="1"/>
  <c r="D194" i="49"/>
  <c r="M194" i="49" s="1"/>
  <c r="D193" i="49"/>
  <c r="D192" i="49"/>
  <c r="M192" i="49" s="1"/>
  <c r="D191" i="49"/>
  <c r="M191" i="49" s="1"/>
  <c r="D189" i="49"/>
  <c r="M189" i="49" s="1"/>
  <c r="D188" i="49"/>
  <c r="M188" i="49" s="1"/>
  <c r="D187" i="49"/>
  <c r="D180" i="49"/>
  <c r="D179" i="49"/>
  <c r="D178" i="49"/>
  <c r="D177" i="49"/>
  <c r="D176" i="49"/>
  <c r="D174" i="49"/>
  <c r="D172" i="49"/>
  <c r="D165" i="49"/>
  <c r="D164" i="49"/>
  <c r="W718" i="34" s="1"/>
  <c r="D163" i="49"/>
  <c r="L163" i="49" s="1"/>
  <c r="D162" i="49"/>
  <c r="U718" i="34" s="1"/>
  <c r="D161" i="49"/>
  <c r="T718" i="34" s="1"/>
  <c r="D159" i="49"/>
  <c r="D140" i="49"/>
  <c r="M140" i="49" s="1"/>
  <c r="D139" i="49"/>
  <c r="D138" i="49"/>
  <c r="L138" i="49" s="1"/>
  <c r="D137" i="49"/>
  <c r="D136" i="49"/>
  <c r="J136" i="49" s="1"/>
  <c r="J141" i="49" s="1"/>
  <c r="H86" i="38" s="1"/>
  <c r="D134" i="49"/>
  <c r="D133" i="49"/>
  <c r="H133" i="49" s="1"/>
  <c r="H135" i="49" s="1"/>
  <c r="D132" i="49"/>
  <c r="T724" i="34" s="1"/>
  <c r="D20" i="49"/>
  <c r="M20" i="49" s="1"/>
  <c r="D19" i="49"/>
  <c r="D18" i="49"/>
  <c r="D17" i="49"/>
  <c r="D16" i="49"/>
  <c r="W700" i="34" s="1"/>
  <c r="D14" i="49"/>
  <c r="U698" i="34" s="1"/>
  <c r="D13" i="49"/>
  <c r="T700" i="34" s="1"/>
  <c r="D12" i="49"/>
  <c r="G12" i="49" s="1"/>
  <c r="G15" i="49" s="1"/>
  <c r="G21" i="49" s="1"/>
  <c r="L237" i="49"/>
  <c r="J90" i="38" s="1"/>
  <c r="K237" i="49"/>
  <c r="I90" i="38" s="1"/>
  <c r="J237" i="49"/>
  <c r="H90" i="38" s="1"/>
  <c r="M235" i="49"/>
  <c r="I231" i="49"/>
  <c r="I237" i="49" s="1"/>
  <c r="G90" i="38" s="1"/>
  <c r="W568" i="34" s="1"/>
  <c r="H231" i="49"/>
  <c r="H237" i="49" s="1"/>
  <c r="F90" i="38" s="1"/>
  <c r="V568" i="34" s="1"/>
  <c r="F231" i="49"/>
  <c r="F237" i="49" s="1"/>
  <c r="D90" i="38" s="1"/>
  <c r="T568" i="34" s="1"/>
  <c r="E231" i="49"/>
  <c r="E237" i="49" s="1"/>
  <c r="C90" i="38" s="1"/>
  <c r="S568" i="34" s="1"/>
  <c r="M230" i="49"/>
  <c r="M229" i="49"/>
  <c r="M208" i="49"/>
  <c r="M207" i="49"/>
  <c r="L205" i="49"/>
  <c r="L211" i="49" s="1"/>
  <c r="K205" i="49"/>
  <c r="K211" i="49" s="1"/>
  <c r="J205" i="49"/>
  <c r="J211" i="49" s="1"/>
  <c r="I205" i="49"/>
  <c r="H205" i="49"/>
  <c r="G205" i="49"/>
  <c r="I201" i="49"/>
  <c r="H201" i="49"/>
  <c r="H211" i="49" s="1"/>
  <c r="G201" i="49"/>
  <c r="F201" i="49"/>
  <c r="E201" i="49"/>
  <c r="D201" i="49"/>
  <c r="M200" i="49"/>
  <c r="M199" i="49"/>
  <c r="M198" i="49"/>
  <c r="M193" i="49"/>
  <c r="L190" i="49"/>
  <c r="K190" i="49"/>
  <c r="J190" i="49"/>
  <c r="I190" i="49"/>
  <c r="H190" i="49"/>
  <c r="G190" i="49"/>
  <c r="F190" i="49"/>
  <c r="E190" i="49"/>
  <c r="L186" i="49"/>
  <c r="L196" i="49" s="1"/>
  <c r="K186" i="49"/>
  <c r="K196" i="49" s="1"/>
  <c r="J186" i="49"/>
  <c r="I186" i="49"/>
  <c r="I196" i="49" s="1"/>
  <c r="H186" i="49"/>
  <c r="H196" i="49" s="1"/>
  <c r="G186" i="49"/>
  <c r="G196" i="49" s="1"/>
  <c r="F186" i="49"/>
  <c r="E186" i="49"/>
  <c r="E196" i="49" s="1"/>
  <c r="D186" i="49"/>
  <c r="M185" i="49"/>
  <c r="M184" i="49"/>
  <c r="M183" i="49"/>
  <c r="L180" i="49"/>
  <c r="L181" i="49" s="1"/>
  <c r="J88" i="38" s="1"/>
  <c r="J178" i="49"/>
  <c r="M178" i="49" s="1"/>
  <c r="H176" i="49"/>
  <c r="I175" i="49"/>
  <c r="W573" i="34" s="1"/>
  <c r="H175" i="49"/>
  <c r="G174" i="49"/>
  <c r="I171" i="49"/>
  <c r="H171" i="49"/>
  <c r="G171" i="49"/>
  <c r="F171" i="49"/>
  <c r="D171" i="49"/>
  <c r="W719" i="34" s="1"/>
  <c r="E169" i="49"/>
  <c r="E171" i="49" s="1"/>
  <c r="M168" i="49"/>
  <c r="M165" i="49"/>
  <c r="M164" i="49"/>
  <c r="K162" i="49"/>
  <c r="J161" i="49"/>
  <c r="I159" i="49"/>
  <c r="I160" i="49" s="1"/>
  <c r="F156" i="49"/>
  <c r="F166" i="49" s="1"/>
  <c r="I146" i="49"/>
  <c r="H146" i="49"/>
  <c r="G146" i="49"/>
  <c r="M145" i="49"/>
  <c r="M143" i="49"/>
  <c r="M139" i="49"/>
  <c r="K137" i="49"/>
  <c r="L131" i="49"/>
  <c r="K131" i="49"/>
  <c r="J131" i="49"/>
  <c r="I131" i="49"/>
  <c r="H131" i="49"/>
  <c r="G131" i="49"/>
  <c r="F131" i="49"/>
  <c r="F141" i="49" s="1"/>
  <c r="D86" i="38" s="1"/>
  <c r="T556" i="34" s="1"/>
  <c r="E131" i="49"/>
  <c r="E141" i="49" s="1"/>
  <c r="C86" i="38" s="1"/>
  <c r="S556" i="34" s="1"/>
  <c r="D131" i="49"/>
  <c r="M19" i="49"/>
  <c r="L18" i="49"/>
  <c r="L21" i="49" s="1"/>
  <c r="J82" i="38" s="1"/>
  <c r="K17" i="49"/>
  <c r="K21" i="49" s="1"/>
  <c r="I82" i="38" s="1"/>
  <c r="I14" i="49"/>
  <c r="I15" i="49" s="1"/>
  <c r="I21" i="49" s="1"/>
  <c r="G82" i="38" s="1"/>
  <c r="W544" i="34" s="1"/>
  <c r="H13" i="49"/>
  <c r="H15" i="49" s="1"/>
  <c r="H21" i="49" s="1"/>
  <c r="F82" i="38" s="1"/>
  <c r="V544" i="34" s="1"/>
  <c r="E21" i="49"/>
  <c r="S726" i="34" s="1"/>
  <c r="D236" i="48"/>
  <c r="M236" i="48" s="1"/>
  <c r="D235" i="48"/>
  <c r="M235" i="48" s="1"/>
  <c r="D234" i="48"/>
  <c r="D233" i="48"/>
  <c r="D232" i="48"/>
  <c r="D230" i="48"/>
  <c r="I230" i="48" s="1"/>
  <c r="D229" i="48"/>
  <c r="H229" i="48" s="1"/>
  <c r="D210" i="48"/>
  <c r="D209" i="48"/>
  <c r="M209" i="48" s="1"/>
  <c r="D208" i="48"/>
  <c r="D207" i="48"/>
  <c r="D206" i="48"/>
  <c r="D204" i="48"/>
  <c r="M204" i="48" s="1"/>
  <c r="D203" i="48"/>
  <c r="F203" i="48" s="1"/>
  <c r="F205" i="48" s="1"/>
  <c r="D202" i="48"/>
  <c r="D195" i="48"/>
  <c r="D194" i="48"/>
  <c r="M194" i="48" s="1"/>
  <c r="D193" i="48"/>
  <c r="M193" i="48" s="1"/>
  <c r="D192" i="48"/>
  <c r="D191" i="48"/>
  <c r="D189" i="48"/>
  <c r="M189" i="48" s="1"/>
  <c r="D188" i="48"/>
  <c r="M188" i="48" s="1"/>
  <c r="D187" i="48"/>
  <c r="D180" i="48"/>
  <c r="D179" i="48"/>
  <c r="K179" i="48" s="1"/>
  <c r="D178" i="48"/>
  <c r="J178" i="48" s="1"/>
  <c r="M178" i="48" s="1"/>
  <c r="D177" i="48"/>
  <c r="D176" i="48"/>
  <c r="D174" i="48"/>
  <c r="G174" i="48" s="1"/>
  <c r="G175" i="48" s="1"/>
  <c r="U468" i="34" s="1"/>
  <c r="D172" i="48"/>
  <c r="D165" i="48"/>
  <c r="D164" i="48"/>
  <c r="W682" i="34" s="1"/>
  <c r="D163" i="48"/>
  <c r="V682" i="34" s="1"/>
  <c r="D162" i="48"/>
  <c r="U682" i="34" s="1"/>
  <c r="D161" i="48"/>
  <c r="T682" i="34" s="1"/>
  <c r="D159" i="48"/>
  <c r="D140" i="48"/>
  <c r="M140" i="48" s="1"/>
  <c r="D139" i="48"/>
  <c r="M139" i="48" s="1"/>
  <c r="D138" i="48"/>
  <c r="D137" i="48"/>
  <c r="D136" i="48"/>
  <c r="D134" i="48"/>
  <c r="I134" i="48" s="1"/>
  <c r="I135" i="48" s="1"/>
  <c r="D133" i="48"/>
  <c r="D132" i="48"/>
  <c r="G132" i="48" s="1"/>
  <c r="G135" i="48" s="1"/>
  <c r="D101" i="48"/>
  <c r="M101" i="48" s="1"/>
  <c r="D100" i="48"/>
  <c r="M100" i="48" s="1"/>
  <c r="D99" i="48"/>
  <c r="D98" i="48"/>
  <c r="D97" i="48"/>
  <c r="J97" i="48" s="1"/>
  <c r="J102" i="48" s="1"/>
  <c r="D95" i="48"/>
  <c r="V679" i="34" s="1"/>
  <c r="D94" i="48"/>
  <c r="U679" i="34" s="1"/>
  <c r="D93" i="48"/>
  <c r="T679" i="34" s="1"/>
  <c r="D90" i="48"/>
  <c r="M90" i="48" s="1"/>
  <c r="D89" i="48"/>
  <c r="D88" i="48"/>
  <c r="D87" i="48"/>
  <c r="D86" i="48"/>
  <c r="J86" i="48" s="1"/>
  <c r="J91" i="48" s="1"/>
  <c r="D84" i="48"/>
  <c r="V676" i="34" s="1"/>
  <c r="D83" i="48"/>
  <c r="U674" i="34" s="1"/>
  <c r="D82" i="48"/>
  <c r="D79" i="48"/>
  <c r="M79" i="48" s="1"/>
  <c r="D78" i="48"/>
  <c r="D77" i="48"/>
  <c r="D76" i="48"/>
  <c r="D75" i="48"/>
  <c r="J75" i="48" s="1"/>
  <c r="J80" i="48" s="1"/>
  <c r="D73" i="48"/>
  <c r="D72" i="48"/>
  <c r="D71" i="48"/>
  <c r="G71" i="48" s="1"/>
  <c r="G74" i="48" s="1"/>
  <c r="G80" i="48" s="1"/>
  <c r="D46" i="48"/>
  <c r="M46" i="48" s="1"/>
  <c r="D45" i="48"/>
  <c r="M45" i="48" s="1"/>
  <c r="D44" i="48"/>
  <c r="S667" i="34" s="1"/>
  <c r="D43" i="48"/>
  <c r="D42" i="48"/>
  <c r="J42" i="48" s="1"/>
  <c r="J47" i="48" s="1"/>
  <c r="D40" i="48"/>
  <c r="I40" i="48" s="1"/>
  <c r="I41" i="48" s="1"/>
  <c r="I47" i="48" s="1"/>
  <c r="D39" i="48"/>
  <c r="D38" i="48"/>
  <c r="G38" i="48" s="1"/>
  <c r="G41" i="48" s="1"/>
  <c r="G47" i="48" s="1"/>
  <c r="D20" i="48"/>
  <c r="M20" i="48" s="1"/>
  <c r="D19" i="48"/>
  <c r="M19" i="48" s="1"/>
  <c r="D18" i="48"/>
  <c r="D17" i="48"/>
  <c r="D16" i="48"/>
  <c r="W662" i="34" s="1"/>
  <c r="D14" i="48"/>
  <c r="I14" i="48" s="1"/>
  <c r="I15" i="48" s="1"/>
  <c r="L237" i="48"/>
  <c r="J90" i="37" s="1"/>
  <c r="K237" i="48"/>
  <c r="I90" i="37" s="1"/>
  <c r="J237" i="48"/>
  <c r="H90" i="37" s="1"/>
  <c r="M234" i="48"/>
  <c r="M233" i="48"/>
  <c r="M232" i="48"/>
  <c r="F231" i="48"/>
  <c r="F237" i="48" s="1"/>
  <c r="D90" i="37" s="1"/>
  <c r="T463" i="34" s="1"/>
  <c r="E231" i="48"/>
  <c r="E237" i="48" s="1"/>
  <c r="C90" i="37" s="1"/>
  <c r="S463" i="34" s="1"/>
  <c r="M210" i="48"/>
  <c r="M208" i="48"/>
  <c r="M207" i="48"/>
  <c r="M206" i="48"/>
  <c r="L205" i="48"/>
  <c r="L211" i="48" s="1"/>
  <c r="K205" i="48"/>
  <c r="K211" i="48" s="1"/>
  <c r="J205" i="48"/>
  <c r="J211" i="48" s="1"/>
  <c r="I205" i="48"/>
  <c r="H205" i="48"/>
  <c r="G205" i="48"/>
  <c r="I201" i="48"/>
  <c r="I211" i="48" s="1"/>
  <c r="H201" i="48"/>
  <c r="G201" i="48"/>
  <c r="F201" i="48"/>
  <c r="E201" i="48"/>
  <c r="D201" i="48"/>
  <c r="M200" i="48"/>
  <c r="M199" i="48"/>
  <c r="M201" i="48" s="1"/>
  <c r="M198" i="48"/>
  <c r="M195" i="48"/>
  <c r="M192" i="48"/>
  <c r="M191" i="48"/>
  <c r="L190" i="48"/>
  <c r="K190" i="48"/>
  <c r="J190" i="48"/>
  <c r="I190" i="48"/>
  <c r="H190" i="48"/>
  <c r="G190" i="48"/>
  <c r="F190" i="48"/>
  <c r="E190" i="48"/>
  <c r="L186" i="48"/>
  <c r="L196" i="48" s="1"/>
  <c r="K186" i="48"/>
  <c r="K196" i="48" s="1"/>
  <c r="J186" i="48"/>
  <c r="J196" i="48" s="1"/>
  <c r="I186" i="48"/>
  <c r="I196" i="48" s="1"/>
  <c r="H186" i="48"/>
  <c r="H196" i="48" s="1"/>
  <c r="G186" i="48"/>
  <c r="G196" i="48" s="1"/>
  <c r="F186" i="48"/>
  <c r="F196" i="48" s="1"/>
  <c r="E186" i="48"/>
  <c r="E196" i="48" s="1"/>
  <c r="D186" i="48"/>
  <c r="M185" i="48"/>
  <c r="M184" i="48"/>
  <c r="M183" i="48"/>
  <c r="I175" i="48"/>
  <c r="W468" i="34" s="1"/>
  <c r="H175" i="48"/>
  <c r="V468" i="34" s="1"/>
  <c r="I171" i="48"/>
  <c r="H171" i="48"/>
  <c r="G171" i="48"/>
  <c r="F171" i="48"/>
  <c r="E171" i="48"/>
  <c r="D171" i="48"/>
  <c r="W685" i="34" s="1"/>
  <c r="E169" i="48"/>
  <c r="M169" i="48" s="1"/>
  <c r="M168" i="48"/>
  <c r="M165" i="48"/>
  <c r="M164" i="48"/>
  <c r="K162" i="48"/>
  <c r="J161" i="48"/>
  <c r="I159" i="48"/>
  <c r="I160" i="48" s="1"/>
  <c r="I146" i="48"/>
  <c r="H146" i="48"/>
  <c r="G146" i="48"/>
  <c r="D146" i="48"/>
  <c r="F145" i="48"/>
  <c r="M145" i="48" s="1"/>
  <c r="E144" i="48"/>
  <c r="M144" i="48" s="1"/>
  <c r="M143" i="48"/>
  <c r="L138" i="48"/>
  <c r="K137" i="48"/>
  <c r="J136" i="48"/>
  <c r="H133" i="48"/>
  <c r="H135" i="48" s="1"/>
  <c r="L131" i="48"/>
  <c r="K131" i="48"/>
  <c r="J131" i="48"/>
  <c r="I131" i="48"/>
  <c r="H131" i="48"/>
  <c r="G131" i="48"/>
  <c r="F131" i="48"/>
  <c r="F141" i="48" s="1"/>
  <c r="D86" i="37" s="1"/>
  <c r="T451" i="34" s="1"/>
  <c r="E131" i="48"/>
  <c r="E141" i="48" s="1"/>
  <c r="C86" i="37" s="1"/>
  <c r="S451" i="34" s="1"/>
  <c r="D131" i="48"/>
  <c r="L99" i="48"/>
  <c r="L102" i="48" s="1"/>
  <c r="K98" i="48"/>
  <c r="K102" i="48" s="1"/>
  <c r="M89" i="48"/>
  <c r="L88" i="48"/>
  <c r="L91" i="48" s="1"/>
  <c r="K87" i="48"/>
  <c r="K91" i="48" s="1"/>
  <c r="H83" i="48"/>
  <c r="H85" i="48" s="1"/>
  <c r="H91" i="48" s="1"/>
  <c r="M78" i="48"/>
  <c r="L77" i="48"/>
  <c r="L80" i="48" s="1"/>
  <c r="K76" i="48"/>
  <c r="K80" i="48" s="1"/>
  <c r="I73" i="48"/>
  <c r="I74" i="48" s="1"/>
  <c r="I80" i="48" s="1"/>
  <c r="H72" i="48"/>
  <c r="H74" i="48" s="1"/>
  <c r="H80" i="48" s="1"/>
  <c r="L44" i="48"/>
  <c r="L47" i="48" s="1"/>
  <c r="K43" i="48"/>
  <c r="K47" i="48" s="1"/>
  <c r="H39" i="48"/>
  <c r="H41" i="48" s="1"/>
  <c r="H47" i="48" s="1"/>
  <c r="L18" i="48"/>
  <c r="L21" i="48" s="1"/>
  <c r="J82" i="37" s="1"/>
  <c r="K17" i="48"/>
  <c r="K21" i="48" s="1"/>
  <c r="I82" i="37" s="1"/>
  <c r="J16" i="48"/>
  <c r="J21" i="48" s="1"/>
  <c r="H82" i="37" s="1"/>
  <c r="E11" i="48"/>
  <c r="E21" i="48" s="1"/>
  <c r="S689" i="34" s="1"/>
  <c r="D11" i="48"/>
  <c r="F11" i="48"/>
  <c r="F21" i="48" s="1"/>
  <c r="D82" i="37" s="1"/>
  <c r="T439" i="34" s="1"/>
  <c r="M169" i="49" l="1"/>
  <c r="M201" i="49"/>
  <c r="F181" i="49"/>
  <c r="W707" i="34"/>
  <c r="S725" i="34"/>
  <c r="I211" i="49"/>
  <c r="T726" i="34"/>
  <c r="M186" i="49"/>
  <c r="G211" i="49"/>
  <c r="H141" i="49"/>
  <c r="F86" i="38" s="1"/>
  <c r="V556" i="34" s="1"/>
  <c r="L141" i="49"/>
  <c r="J86" i="38" s="1"/>
  <c r="D190" i="49"/>
  <c r="E211" i="49"/>
  <c r="F107" i="49"/>
  <c r="D84" i="38" s="1"/>
  <c r="T550" i="34" s="1"/>
  <c r="U709" i="34"/>
  <c r="J16" i="49"/>
  <c r="J21" i="49" s="1"/>
  <c r="H82" i="38" s="1"/>
  <c r="M171" i="49"/>
  <c r="H181" i="49"/>
  <c r="F88" i="38" s="1"/>
  <c r="F196" i="49"/>
  <c r="J196" i="49"/>
  <c r="V724" i="34"/>
  <c r="C82" i="38"/>
  <c r="S544" i="34" s="1"/>
  <c r="U671" i="34"/>
  <c r="W683" i="34"/>
  <c r="S690" i="34"/>
  <c r="J141" i="48"/>
  <c r="H86" i="37" s="1"/>
  <c r="M186" i="48"/>
  <c r="G211" i="48"/>
  <c r="H211" i="48"/>
  <c r="F106" i="39"/>
  <c r="T690" i="34"/>
  <c r="C82" i="37"/>
  <c r="S439" i="34" s="1"/>
  <c r="W671" i="34"/>
  <c r="F104" i="39"/>
  <c r="G108" i="39"/>
  <c r="L163" i="48"/>
  <c r="D175" i="48"/>
  <c r="D181" i="48" s="1"/>
  <c r="U667" i="34"/>
  <c r="M141" i="49"/>
  <c r="U700" i="34"/>
  <c r="V716" i="34"/>
  <c r="V718" i="34"/>
  <c r="T722" i="34"/>
  <c r="T573" i="34"/>
  <c r="S698" i="34"/>
  <c r="W698" i="34"/>
  <c r="W716" i="34"/>
  <c r="U722" i="34"/>
  <c r="U724" i="34"/>
  <c r="D135" i="49"/>
  <c r="M180" i="49"/>
  <c r="M58" i="49"/>
  <c r="E82" i="38"/>
  <c r="U544" i="34" s="1"/>
  <c r="T698" i="34"/>
  <c r="S700" i="34"/>
  <c r="T716" i="34"/>
  <c r="V722" i="34"/>
  <c r="U716" i="34"/>
  <c r="M80" i="48"/>
  <c r="U688" i="34"/>
  <c r="M21" i="48"/>
  <c r="M141" i="48"/>
  <c r="H229" i="39"/>
  <c r="M229" i="48"/>
  <c r="H231" i="48"/>
  <c r="H237" i="48" s="1"/>
  <c r="F90" i="37" s="1"/>
  <c r="V463" i="34" s="1"/>
  <c r="I21" i="48"/>
  <c r="G82" i="37" s="1"/>
  <c r="W439" i="34" s="1"/>
  <c r="I231" i="48"/>
  <c r="I237" i="48" s="1"/>
  <c r="G90" i="37" s="1"/>
  <c r="W463" i="34" s="1"/>
  <c r="I230" i="39"/>
  <c r="M102" i="48"/>
  <c r="D85" i="48"/>
  <c r="U664" i="34"/>
  <c r="U665" i="34"/>
  <c r="T667" i="34"/>
  <c r="V674" i="34"/>
  <c r="U676" i="34"/>
  <c r="T677" i="34"/>
  <c r="W680" i="34"/>
  <c r="U686" i="34"/>
  <c r="D190" i="48"/>
  <c r="D196" i="48" s="1"/>
  <c r="W664" i="34"/>
  <c r="U677" i="34"/>
  <c r="T680" i="34"/>
  <c r="V686" i="34"/>
  <c r="V688" i="34"/>
  <c r="U662" i="34"/>
  <c r="T674" i="34"/>
  <c r="V677" i="34"/>
  <c r="U680" i="34"/>
  <c r="G181" i="48"/>
  <c r="E88" i="37" s="1"/>
  <c r="T665" i="34"/>
  <c r="T676" i="34"/>
  <c r="V680" i="34"/>
  <c r="T686" i="34"/>
  <c r="T688" i="34"/>
  <c r="M144" i="49"/>
  <c r="M146" i="49" s="1"/>
  <c r="M69" i="49"/>
  <c r="I62" i="49"/>
  <c r="I63" i="49" s="1"/>
  <c r="M230" i="48"/>
  <c r="F146" i="48"/>
  <c r="F156" i="48" s="1"/>
  <c r="F166" i="48" s="1"/>
  <c r="D87" i="37" s="1"/>
  <c r="T454" i="34" s="1"/>
  <c r="M187" i="49"/>
  <c r="M190" i="49" s="1"/>
  <c r="M196" i="49" s="1"/>
  <c r="D15" i="49"/>
  <c r="M173" i="49"/>
  <c r="M202" i="49"/>
  <c r="G231" i="49"/>
  <c r="G237" i="49" s="1"/>
  <c r="E90" i="38" s="1"/>
  <c r="U568" i="34" s="1"/>
  <c r="G132" i="49"/>
  <c r="G135" i="49" s="1"/>
  <c r="G141" i="49" s="1"/>
  <c r="E86" i="38" s="1"/>
  <c r="U556" i="34" s="1"/>
  <c r="D196" i="49"/>
  <c r="M21" i="49"/>
  <c r="M176" i="49"/>
  <c r="K141" i="49"/>
  <c r="I86" i="38" s="1"/>
  <c r="G175" i="49"/>
  <c r="M174" i="49"/>
  <c r="M237" i="49"/>
  <c r="F205" i="49"/>
  <c r="F211" i="49" s="1"/>
  <c r="M203" i="49"/>
  <c r="I134" i="49"/>
  <c r="I135" i="49" s="1"/>
  <c r="I141" i="49" s="1"/>
  <c r="G86" i="38" s="1"/>
  <c r="W556" i="34" s="1"/>
  <c r="E172" i="49"/>
  <c r="S565" i="34" s="1"/>
  <c r="D175" i="49"/>
  <c r="D181" i="49" s="1"/>
  <c r="K179" i="49"/>
  <c r="K181" i="49" s="1"/>
  <c r="I88" i="38" s="1"/>
  <c r="I177" i="49"/>
  <c r="I181" i="49" s="1"/>
  <c r="G88" i="38" s="1"/>
  <c r="W562" i="34" s="1"/>
  <c r="D205" i="49"/>
  <c r="D211" i="49" s="1"/>
  <c r="J181" i="49"/>
  <c r="H88" i="38" s="1"/>
  <c r="M73" i="48"/>
  <c r="H141" i="48"/>
  <c r="F86" i="37" s="1"/>
  <c r="V451" i="34" s="1"/>
  <c r="D135" i="48"/>
  <c r="M146" i="48"/>
  <c r="D74" i="48"/>
  <c r="D80" i="48" s="1"/>
  <c r="G82" i="48"/>
  <c r="G85" i="48" s="1"/>
  <c r="G91" i="48" s="1"/>
  <c r="I141" i="48"/>
  <c r="G86" i="37" s="1"/>
  <c r="W451" i="34" s="1"/>
  <c r="M91" i="48"/>
  <c r="F211" i="48"/>
  <c r="K141" i="48"/>
  <c r="I86" i="37" s="1"/>
  <c r="M187" i="48"/>
  <c r="M190" i="48" s="1"/>
  <c r="M196" i="48" s="1"/>
  <c r="D141" i="48"/>
  <c r="L141" i="48"/>
  <c r="J86" i="37" s="1"/>
  <c r="M71" i="48"/>
  <c r="M83" i="48"/>
  <c r="D96" i="48"/>
  <c r="D41" i="48"/>
  <c r="M47" i="48"/>
  <c r="I84" i="48"/>
  <c r="I85" i="48" s="1"/>
  <c r="I91" i="48" s="1"/>
  <c r="M171" i="48"/>
  <c r="H94" i="48"/>
  <c r="H96" i="48" s="1"/>
  <c r="H102" i="48" s="1"/>
  <c r="K181" i="48"/>
  <c r="I88" i="37" s="1"/>
  <c r="M179" i="48"/>
  <c r="M237" i="48"/>
  <c r="M72" i="48"/>
  <c r="I95" i="48"/>
  <c r="I96" i="48" s="1"/>
  <c r="I102" i="48" s="1"/>
  <c r="G141" i="48"/>
  <c r="E86" i="37" s="1"/>
  <c r="U451" i="34" s="1"/>
  <c r="M174" i="48"/>
  <c r="H176" i="48"/>
  <c r="H181" i="48" s="1"/>
  <c r="F88" i="37" s="1"/>
  <c r="M203" i="48"/>
  <c r="E146" i="48"/>
  <c r="E156" i="48" s="1"/>
  <c r="E166" i="48" s="1"/>
  <c r="C87" i="37" s="1"/>
  <c r="S454" i="34" s="1"/>
  <c r="E172" i="48"/>
  <c r="S462" i="34" s="1"/>
  <c r="I177" i="48"/>
  <c r="I181" i="48" s="1"/>
  <c r="G88" i="37" s="1"/>
  <c r="W457" i="34" s="1"/>
  <c r="D205" i="48"/>
  <c r="D211" i="48" s="1"/>
  <c r="F173" i="48"/>
  <c r="F175" i="48" s="1"/>
  <c r="L180" i="48"/>
  <c r="L181" i="48" s="1"/>
  <c r="J88" i="37" s="1"/>
  <c r="J181" i="48"/>
  <c r="H88" i="37" s="1"/>
  <c r="E202" i="48"/>
  <c r="E205" i="48" s="1"/>
  <c r="E211" i="48" s="1"/>
  <c r="G93" i="48"/>
  <c r="K65" i="2"/>
  <c r="L65" i="2" s="1"/>
  <c r="M65" i="2" s="1"/>
  <c r="N65" i="2" s="1"/>
  <c r="I65" i="2"/>
  <c r="J65" i="2" s="1"/>
  <c r="T65" i="2" s="1"/>
  <c r="U65" i="2" s="1"/>
  <c r="V65" i="2" s="1"/>
  <c r="V65" i="12" s="1"/>
  <c r="F251" i="49" l="1"/>
  <c r="T725" i="34"/>
  <c r="D88" i="38"/>
  <c r="M205" i="49"/>
  <c r="M211" i="49" s="1"/>
  <c r="G181" i="49"/>
  <c r="E88" i="38" s="1"/>
  <c r="U573" i="34"/>
  <c r="D141" i="49"/>
  <c r="W724" i="34"/>
  <c r="W722" i="34"/>
  <c r="E175" i="49"/>
  <c r="S567" i="34"/>
  <c r="D21" i="49"/>
  <c r="V700" i="34"/>
  <c r="V698" i="34"/>
  <c r="I69" i="49"/>
  <c r="W726" i="34" s="1"/>
  <c r="W552" i="34"/>
  <c r="W550" i="34"/>
  <c r="M176" i="48"/>
  <c r="M181" i="48" s="1"/>
  <c r="M95" i="48"/>
  <c r="D47" i="48"/>
  <c r="W667" i="34"/>
  <c r="W665" i="34"/>
  <c r="M177" i="48"/>
  <c r="M82" i="48"/>
  <c r="D102" i="48"/>
  <c r="W677" i="34"/>
  <c r="W679" i="34"/>
  <c r="W688" i="34"/>
  <c r="W686" i="34"/>
  <c r="D91" i="48"/>
  <c r="W676" i="34"/>
  <c r="W674" i="34"/>
  <c r="F181" i="48"/>
  <c r="T468" i="34"/>
  <c r="W690" i="34"/>
  <c r="M180" i="48"/>
  <c r="S460" i="34"/>
  <c r="W689" i="34"/>
  <c r="V66" i="12"/>
  <c r="E17" i="36"/>
  <c r="M177" i="49"/>
  <c r="M179" i="49"/>
  <c r="M172" i="49"/>
  <c r="M173" i="48"/>
  <c r="E175" i="48"/>
  <c r="M172" i="48"/>
  <c r="M202" i="48"/>
  <c r="M205" i="48" s="1"/>
  <c r="M211" i="48" s="1"/>
  <c r="M84" i="48"/>
  <c r="G96" i="48"/>
  <c r="G102" i="48" s="1"/>
  <c r="M93" i="48"/>
  <c r="M94" i="48"/>
  <c r="H38" i="35"/>
  <c r="I38" i="35"/>
  <c r="J38" i="35"/>
  <c r="D76" i="35"/>
  <c r="D72" i="35"/>
  <c r="D71" i="35"/>
  <c r="D70" i="35"/>
  <c r="D59" i="35"/>
  <c r="D54" i="35"/>
  <c r="D53" i="35"/>
  <c r="D52" i="35"/>
  <c r="D51" i="35"/>
  <c r="E181" i="49" l="1"/>
  <c r="S573" i="34"/>
  <c r="W725" i="34"/>
  <c r="T562" i="34"/>
  <c r="T571" i="34"/>
  <c r="F251" i="48"/>
  <c r="D88" i="37"/>
  <c r="E181" i="48"/>
  <c r="S468" i="34"/>
  <c r="V665" i="34"/>
  <c r="V667" i="34"/>
  <c r="V70" i="12"/>
  <c r="M181" i="49"/>
  <c r="D39" i="35"/>
  <c r="E251" i="49" l="1"/>
  <c r="C88" i="38"/>
  <c r="C88" i="37"/>
  <c r="E251" i="48"/>
  <c r="T457" i="34"/>
  <c r="T466" i="34"/>
  <c r="D17" i="35"/>
  <c r="S562" i="34" l="1"/>
  <c r="S571" i="34"/>
  <c r="S457" i="34"/>
  <c r="S466" i="34"/>
  <c r="T23" i="34"/>
  <c r="T24" i="34"/>
  <c r="T25" i="34"/>
  <c r="T26" i="34"/>
  <c r="T27" i="34"/>
  <c r="T54" i="34"/>
  <c r="T60" i="34"/>
  <c r="T63" i="34"/>
  <c r="T69" i="34"/>
  <c r="T85" i="34"/>
  <c r="T92" i="34"/>
  <c r="T93" i="34"/>
  <c r="T102" i="34"/>
  <c r="T108" i="34"/>
  <c r="T111" i="34"/>
  <c r="T117" i="34"/>
  <c r="T119" i="34"/>
  <c r="T123" i="34"/>
  <c r="T124" i="34"/>
  <c r="T125" i="34"/>
  <c r="T126" i="34"/>
  <c r="T128" i="34"/>
  <c r="T133" i="34"/>
  <c r="T136" i="34"/>
  <c r="T140" i="34"/>
  <c r="T141" i="34"/>
  <c r="T144" i="34"/>
  <c r="T147" i="34"/>
  <c r="T150" i="34"/>
  <c r="T156" i="34"/>
  <c r="T165" i="34"/>
  <c r="T167" i="34"/>
  <c r="T171" i="34"/>
  <c r="U69" i="2"/>
  <c r="U65" i="12"/>
  <c r="U60" i="2"/>
  <c r="P47" i="2"/>
  <c r="Q47" i="2"/>
  <c r="R47" i="2"/>
  <c r="P60" i="2"/>
  <c r="Q60" i="2"/>
  <c r="R60" i="2"/>
  <c r="P69" i="2"/>
  <c r="Q69" i="2"/>
  <c r="R69" i="2"/>
  <c r="U68" i="12"/>
  <c r="U64" i="12"/>
  <c r="T58" i="34" s="1"/>
  <c r="U42" i="12"/>
  <c r="U68" i="11"/>
  <c r="D39" i="37" s="1"/>
  <c r="U64" i="11"/>
  <c r="U64" i="10" s="1"/>
  <c r="U42" i="11"/>
  <c r="U39" i="11"/>
  <c r="T121" i="34" s="1"/>
  <c r="U18" i="11"/>
  <c r="U28" i="11" s="1"/>
  <c r="U68" i="10"/>
  <c r="U57" i="10"/>
  <c r="U42" i="10"/>
  <c r="U39" i="10"/>
  <c r="U41" i="10" s="1"/>
  <c r="T161" i="34" s="1"/>
  <c r="U31" i="10"/>
  <c r="T139" i="34" s="1"/>
  <c r="U18" i="10"/>
  <c r="T138" i="34" s="1"/>
  <c r="P18" i="10"/>
  <c r="Q18" i="10"/>
  <c r="Q61" i="10" s="1"/>
  <c r="I12" i="38" s="1"/>
  <c r="I81" i="38" s="1"/>
  <c r="R18" i="10"/>
  <c r="P31" i="10"/>
  <c r="Q31" i="10"/>
  <c r="R31" i="10"/>
  <c r="P39" i="10"/>
  <c r="P41" i="10" s="1"/>
  <c r="Q39" i="10"/>
  <c r="Q41" i="10" s="1"/>
  <c r="R39" i="10"/>
  <c r="R41" i="10" s="1"/>
  <c r="P57" i="10"/>
  <c r="P57" i="2" s="1"/>
  <c r="Q57" i="10"/>
  <c r="Q57" i="2" s="1"/>
  <c r="R57" i="10"/>
  <c r="R57" i="2" s="1"/>
  <c r="P68" i="10"/>
  <c r="Q68" i="10"/>
  <c r="R68" i="10"/>
  <c r="P18" i="11"/>
  <c r="P31" i="11" s="1"/>
  <c r="Q18" i="11"/>
  <c r="Q19" i="11" s="1"/>
  <c r="R18" i="11"/>
  <c r="R31" i="11" s="1"/>
  <c r="P39" i="11"/>
  <c r="P41" i="11" s="1"/>
  <c r="Q39" i="11"/>
  <c r="Q41" i="11" s="1"/>
  <c r="R39" i="11"/>
  <c r="R41" i="11" s="1"/>
  <c r="P64" i="11"/>
  <c r="P64" i="10" s="1"/>
  <c r="Q64" i="11"/>
  <c r="Q64" i="10" s="1"/>
  <c r="R64" i="11"/>
  <c r="R64" i="10" s="1"/>
  <c r="P68" i="11"/>
  <c r="H38" i="37" s="1"/>
  <c r="Q68" i="11"/>
  <c r="R68" i="11"/>
  <c r="J38" i="37" s="1"/>
  <c r="T83" i="34" l="1"/>
  <c r="U61" i="10"/>
  <c r="T152" i="34" s="1"/>
  <c r="U41" i="11"/>
  <c r="T113" i="34" s="1"/>
  <c r="I38" i="38"/>
  <c r="I92" i="38"/>
  <c r="U61" i="11"/>
  <c r="T168" i="34"/>
  <c r="T160" i="34"/>
  <c r="T145" i="34"/>
  <c r="T137" i="34"/>
  <c r="T120" i="34"/>
  <c r="T90" i="34"/>
  <c r="U57" i="2"/>
  <c r="T155" i="34"/>
  <c r="D39" i="38"/>
  <c r="T166" i="34"/>
  <c r="T143" i="34"/>
  <c r="T135" i="34"/>
  <c r="T118" i="34"/>
  <c r="Q69" i="11"/>
  <c r="I38" i="37"/>
  <c r="T142" i="34"/>
  <c r="T134" i="34"/>
  <c r="T164" i="34"/>
  <c r="T149" i="34"/>
  <c r="T116" i="34"/>
  <c r="R69" i="10"/>
  <c r="J92" i="38"/>
  <c r="J38" i="38"/>
  <c r="T163" i="34"/>
  <c r="T148" i="34"/>
  <c r="T132" i="34"/>
  <c r="T115" i="34"/>
  <c r="T170" i="34"/>
  <c r="T162" i="34"/>
  <c r="T131" i="34"/>
  <c r="T122" i="34"/>
  <c r="T114" i="34"/>
  <c r="T84" i="34"/>
  <c r="H38" i="38"/>
  <c r="H92" i="38"/>
  <c r="T169" i="34"/>
  <c r="T146" i="34"/>
  <c r="T61" i="34"/>
  <c r="D17" i="36"/>
  <c r="T107" i="34"/>
  <c r="T106" i="34"/>
  <c r="T59" i="34"/>
  <c r="T62" i="34"/>
  <c r="T48" i="34"/>
  <c r="T53" i="34"/>
  <c r="T101" i="34"/>
  <c r="T52" i="34"/>
  <c r="T100" i="34"/>
  <c r="T154" i="34"/>
  <c r="U65" i="11"/>
  <c r="D17" i="37" s="1"/>
  <c r="Q69" i="10"/>
  <c r="Q32" i="10"/>
  <c r="R61" i="11"/>
  <c r="P61" i="10"/>
  <c r="R19" i="10"/>
  <c r="R61" i="10"/>
  <c r="Q19" i="10"/>
  <c r="R32" i="10"/>
  <c r="Q61" i="11"/>
  <c r="P61" i="11"/>
  <c r="R19" i="11"/>
  <c r="R69" i="11"/>
  <c r="T127" i="34" l="1"/>
  <c r="T129" i="34"/>
  <c r="U31" i="11"/>
  <c r="T88" i="34"/>
  <c r="T112" i="34"/>
  <c r="I12" i="37"/>
  <c r="J12" i="37"/>
  <c r="H12" i="38"/>
  <c r="H81" i="38" s="1"/>
  <c r="H12" i="37"/>
  <c r="J12" i="38"/>
  <c r="J81" i="38" s="1"/>
  <c r="T98" i="34"/>
  <c r="T110" i="34"/>
  <c r="T96" i="34"/>
  <c r="T109" i="34"/>
  <c r="U66" i="11"/>
  <c r="U65" i="10"/>
  <c r="U66" i="10" s="1"/>
  <c r="Q31" i="11"/>
  <c r="Q32" i="11" s="1"/>
  <c r="T91" i="34" l="1"/>
  <c r="T89" i="34"/>
  <c r="T86" i="34"/>
  <c r="T87" i="34"/>
  <c r="H81" i="37"/>
  <c r="H15" i="37"/>
  <c r="J81" i="37"/>
  <c r="J15" i="37"/>
  <c r="I15" i="37"/>
  <c r="I81" i="37"/>
  <c r="U70" i="11"/>
  <c r="T105" i="34" s="1"/>
  <c r="T99" i="34"/>
  <c r="T104" i="34"/>
  <c r="T97" i="34"/>
  <c r="U70" i="10"/>
  <c r="T157" i="34" s="1"/>
  <c r="T153" i="34"/>
  <c r="T151" i="34"/>
  <c r="T158" i="34"/>
  <c r="R32" i="11"/>
  <c r="I175" i="40"/>
  <c r="I175" i="39" s="1"/>
  <c r="H175" i="40"/>
  <c r="H175" i="39" s="1"/>
  <c r="T159" i="34" l="1"/>
  <c r="T103" i="34"/>
  <c r="D39" i="36"/>
  <c r="E39" i="36"/>
  <c r="M106" i="40"/>
  <c r="M106" i="39" s="1"/>
  <c r="M105" i="40"/>
  <c r="M105" i="39" s="1"/>
  <c r="M104" i="40"/>
  <c r="M104" i="39" s="1"/>
  <c r="M110" i="40"/>
  <c r="M110" i="39" s="1"/>
  <c r="M109" i="40"/>
  <c r="M109" i="39" s="1"/>
  <c r="J89" i="35"/>
  <c r="I89" i="35"/>
  <c r="H89" i="35"/>
  <c r="R68" i="12"/>
  <c r="Q68" i="12"/>
  <c r="P68" i="12"/>
  <c r="H38" i="36" s="1"/>
  <c r="R64" i="12"/>
  <c r="Q64" i="12"/>
  <c r="P64" i="12"/>
  <c r="I69" i="36"/>
  <c r="D179" i="40" s="1"/>
  <c r="J69" i="36"/>
  <c r="D180" i="40" s="1"/>
  <c r="O64" i="12"/>
  <c r="Q58" i="34" s="1"/>
  <c r="O68" i="12"/>
  <c r="W306" i="34" s="1"/>
  <c r="L237" i="40"/>
  <c r="K237" i="40"/>
  <c r="J237" i="40"/>
  <c r="J237" i="39" s="1"/>
  <c r="H231" i="40"/>
  <c r="F231" i="40"/>
  <c r="F231" i="39" s="1"/>
  <c r="E231" i="40"/>
  <c r="E231" i="39" s="1"/>
  <c r="D236" i="40"/>
  <c r="D236" i="39" s="1"/>
  <c r="D235" i="40"/>
  <c r="D234" i="40"/>
  <c r="D234" i="39" s="1"/>
  <c r="D233" i="40"/>
  <c r="D233" i="39" s="1"/>
  <c r="D210" i="40"/>
  <c r="M210" i="40" s="1"/>
  <c r="D209" i="40"/>
  <c r="D208" i="40"/>
  <c r="M208" i="40" s="1"/>
  <c r="D207" i="40"/>
  <c r="D207" i="39" s="1"/>
  <c r="D206" i="40"/>
  <c r="D206" i="39" s="1"/>
  <c r="D204" i="40"/>
  <c r="M200" i="40"/>
  <c r="M200" i="39" s="1"/>
  <c r="M199" i="40"/>
  <c r="M198" i="40"/>
  <c r="M198" i="39" s="1"/>
  <c r="M185" i="40"/>
  <c r="M185" i="39" s="1"/>
  <c r="M184" i="40"/>
  <c r="M184" i="39" s="1"/>
  <c r="M183" i="40"/>
  <c r="M183" i="39" s="1"/>
  <c r="L186" i="40"/>
  <c r="L186" i="39" s="1"/>
  <c r="K186" i="40"/>
  <c r="K186" i="39" s="1"/>
  <c r="J186" i="40"/>
  <c r="J186" i="39" s="1"/>
  <c r="L205" i="40"/>
  <c r="K205" i="40"/>
  <c r="J205" i="40"/>
  <c r="J205" i="39" s="1"/>
  <c r="I205" i="40"/>
  <c r="I205" i="39" s="1"/>
  <c r="H205" i="40"/>
  <c r="H205" i="39" s="1"/>
  <c r="G205" i="40"/>
  <c r="G205" i="39" s="1"/>
  <c r="E190" i="40"/>
  <c r="E190" i="39" s="1"/>
  <c r="F190" i="40"/>
  <c r="F190" i="39" s="1"/>
  <c r="L190" i="40"/>
  <c r="L190" i="39" s="1"/>
  <c r="K190" i="40"/>
  <c r="K190" i="39" s="1"/>
  <c r="J190" i="40"/>
  <c r="J190" i="39" s="1"/>
  <c r="D195" i="40"/>
  <c r="D194" i="40"/>
  <c r="D193" i="40"/>
  <c r="D193" i="39" s="1"/>
  <c r="D192" i="40"/>
  <c r="D191" i="40"/>
  <c r="D191" i="39" s="1"/>
  <c r="I190" i="40"/>
  <c r="I190" i="39" s="1"/>
  <c r="H190" i="40"/>
  <c r="H190" i="39" s="1"/>
  <c r="G190" i="40"/>
  <c r="G190" i="39" s="1"/>
  <c r="D165" i="40"/>
  <c r="D165" i="39" s="1"/>
  <c r="D164" i="40"/>
  <c r="D164" i="39" s="1"/>
  <c r="W610" i="34" s="1"/>
  <c r="D163" i="40"/>
  <c r="D162" i="40"/>
  <c r="D140" i="40"/>
  <c r="D140" i="39" s="1"/>
  <c r="D139" i="40"/>
  <c r="D139" i="39" s="1"/>
  <c r="D138" i="40"/>
  <c r="D138" i="39" s="1"/>
  <c r="D137" i="40"/>
  <c r="L131" i="40"/>
  <c r="L131" i="39" s="1"/>
  <c r="K131" i="40"/>
  <c r="K131" i="39" s="1"/>
  <c r="J131" i="40"/>
  <c r="J131" i="39" s="1"/>
  <c r="D125" i="40"/>
  <c r="D125" i="39" s="1"/>
  <c r="D124" i="40"/>
  <c r="D124" i="39" s="1"/>
  <c r="D123" i="40"/>
  <c r="D123" i="39" s="1"/>
  <c r="D122" i="40"/>
  <c r="D122" i="39" s="1"/>
  <c r="D101" i="40"/>
  <c r="D101" i="39" s="1"/>
  <c r="D100" i="40"/>
  <c r="D100" i="39" s="1"/>
  <c r="D99" i="40"/>
  <c r="D98" i="40"/>
  <c r="D97" i="40"/>
  <c r="D97" i="39" s="1"/>
  <c r="D90" i="40"/>
  <c r="D90" i="39" s="1"/>
  <c r="D89" i="40"/>
  <c r="D88" i="40"/>
  <c r="D87" i="40"/>
  <c r="D86" i="40"/>
  <c r="D79" i="40"/>
  <c r="D79" i="39" s="1"/>
  <c r="D78" i="40"/>
  <c r="D78" i="39" s="1"/>
  <c r="D77" i="40"/>
  <c r="D77" i="39" s="1"/>
  <c r="D76" i="40"/>
  <c r="D76" i="39" s="1"/>
  <c r="D46" i="40"/>
  <c r="D46" i="39" s="1"/>
  <c r="D45" i="40"/>
  <c r="D44" i="40"/>
  <c r="D44" i="39" s="1"/>
  <c r="D43" i="40"/>
  <c r="E24" i="39"/>
  <c r="D20" i="40"/>
  <c r="D20" i="39" s="1"/>
  <c r="D19" i="40"/>
  <c r="D19" i="39" s="1"/>
  <c r="D18" i="40"/>
  <c r="D18" i="39" s="1"/>
  <c r="D17" i="40"/>
  <c r="D131" i="40"/>
  <c r="D131" i="39" s="1"/>
  <c r="E131" i="40"/>
  <c r="F131" i="40"/>
  <c r="G131" i="40"/>
  <c r="H131" i="40"/>
  <c r="I131" i="40"/>
  <c r="I186" i="40"/>
  <c r="I186" i="39" s="1"/>
  <c r="I201" i="40"/>
  <c r="I171" i="40"/>
  <c r="I171" i="39" s="1"/>
  <c r="F69" i="36"/>
  <c r="I231" i="40"/>
  <c r="T57" i="10"/>
  <c r="S148" i="34" s="1"/>
  <c r="C16" i="37"/>
  <c r="S384" i="34" s="1"/>
  <c r="T42" i="10"/>
  <c r="T42" i="11"/>
  <c r="T42" i="12"/>
  <c r="S37" i="34"/>
  <c r="S40" i="34"/>
  <c r="S44" i="34"/>
  <c r="S45" i="34"/>
  <c r="S47" i="34"/>
  <c r="S54" i="34"/>
  <c r="S60" i="34"/>
  <c r="S69" i="34"/>
  <c r="S71" i="34"/>
  <c r="S75" i="34"/>
  <c r="S76" i="34"/>
  <c r="S77" i="34"/>
  <c r="S78" i="34"/>
  <c r="S79" i="34"/>
  <c r="S80" i="34"/>
  <c r="S81" i="34"/>
  <c r="S85" i="34"/>
  <c r="S92" i="34"/>
  <c r="S93" i="34"/>
  <c r="S95" i="34"/>
  <c r="S102" i="34"/>
  <c r="S108" i="34"/>
  <c r="S117" i="34"/>
  <c r="S119" i="34"/>
  <c r="S123" i="34"/>
  <c r="S124" i="34"/>
  <c r="S125" i="34"/>
  <c r="S126" i="34"/>
  <c r="S128" i="34"/>
  <c r="S136" i="34"/>
  <c r="S140" i="34"/>
  <c r="S141" i="34"/>
  <c r="S144" i="34"/>
  <c r="S147" i="34"/>
  <c r="S156" i="34"/>
  <c r="S165" i="34"/>
  <c r="S167" i="34"/>
  <c r="S171" i="34"/>
  <c r="S24" i="34"/>
  <c r="S23" i="34"/>
  <c r="S14" i="34"/>
  <c r="C76" i="35"/>
  <c r="C72" i="35"/>
  <c r="C71" i="35"/>
  <c r="C70" i="35"/>
  <c r="C69" i="35"/>
  <c r="C59" i="35"/>
  <c r="S606" i="34" s="1"/>
  <c r="C53" i="35"/>
  <c r="C52" i="35"/>
  <c r="C51" i="35"/>
  <c r="C39" i="35"/>
  <c r="C28" i="37"/>
  <c r="S665" i="34" s="1"/>
  <c r="C54" i="36"/>
  <c r="C54" i="35" s="1"/>
  <c r="C28" i="36"/>
  <c r="C27" i="35"/>
  <c r="C26" i="35"/>
  <c r="C25" i="35"/>
  <c r="C22" i="35"/>
  <c r="T69" i="2"/>
  <c r="T60" i="2"/>
  <c r="T52" i="2"/>
  <c r="T51" i="2"/>
  <c r="T50" i="2"/>
  <c r="T47" i="2"/>
  <c r="T38" i="2"/>
  <c r="T37" i="2"/>
  <c r="T36" i="2"/>
  <c r="T30" i="2"/>
  <c r="T29" i="2"/>
  <c r="T27" i="2"/>
  <c r="T26" i="2"/>
  <c r="T25" i="2"/>
  <c r="T24" i="2"/>
  <c r="T23" i="2"/>
  <c r="T22" i="2"/>
  <c r="T17" i="2"/>
  <c r="T16" i="2"/>
  <c r="T15" i="2"/>
  <c r="T14" i="2"/>
  <c r="T13" i="2"/>
  <c r="T12" i="2"/>
  <c r="T68" i="11"/>
  <c r="S100" i="34" s="1"/>
  <c r="T64" i="11"/>
  <c r="S106" i="34" s="1"/>
  <c r="T39" i="11"/>
  <c r="S121" i="34" s="1"/>
  <c r="T18" i="11"/>
  <c r="S90" i="34" s="1"/>
  <c r="T68" i="10"/>
  <c r="S155" i="34" s="1"/>
  <c r="T39" i="10"/>
  <c r="S166" i="34" s="1"/>
  <c r="T31" i="10"/>
  <c r="S134" i="34" s="1"/>
  <c r="T68" i="12"/>
  <c r="S52" i="34" s="1"/>
  <c r="T64" i="12"/>
  <c r="S58" i="34" s="1"/>
  <c r="T39" i="12"/>
  <c r="T31" i="12"/>
  <c r="S43" i="34" s="1"/>
  <c r="T18" i="12"/>
  <c r="S42" i="34" s="1"/>
  <c r="S114" i="34"/>
  <c r="S39" i="34"/>
  <c r="T18" i="10"/>
  <c r="T61" i="10" s="1"/>
  <c r="S152" i="34" s="1"/>
  <c r="S133" i="34"/>
  <c r="S150" i="34"/>
  <c r="S83" i="34"/>
  <c r="D145" i="40"/>
  <c r="D145" i="39" s="1"/>
  <c r="D256" i="40"/>
  <c r="M256" i="40" s="1"/>
  <c r="G107" i="40"/>
  <c r="G107" i="39" s="1"/>
  <c r="F107" i="40"/>
  <c r="F107" i="39" s="1"/>
  <c r="E107" i="40"/>
  <c r="C62" i="35"/>
  <c r="W723" i="34"/>
  <c r="V723" i="34"/>
  <c r="U723" i="34"/>
  <c r="T723" i="34"/>
  <c r="S723" i="34"/>
  <c r="W720" i="34"/>
  <c r="V720" i="34"/>
  <c r="U720" i="34"/>
  <c r="T720" i="34"/>
  <c r="S720" i="34"/>
  <c r="W717" i="34"/>
  <c r="V717" i="34"/>
  <c r="U717" i="34"/>
  <c r="T717" i="34"/>
  <c r="W714" i="34"/>
  <c r="V714" i="34"/>
  <c r="U714" i="34"/>
  <c r="T714" i="34"/>
  <c r="S714" i="34"/>
  <c r="W711" i="34"/>
  <c r="V711" i="34"/>
  <c r="U711" i="34"/>
  <c r="T711" i="34"/>
  <c r="S711" i="34"/>
  <c r="W708" i="34"/>
  <c r="V708" i="34"/>
  <c r="U708" i="34"/>
  <c r="W705" i="34"/>
  <c r="V705" i="34"/>
  <c r="U705" i="34"/>
  <c r="T705" i="34"/>
  <c r="W702" i="34"/>
  <c r="V702" i="34"/>
  <c r="U702" i="34"/>
  <c r="W699" i="34"/>
  <c r="V699" i="34"/>
  <c r="U699" i="34"/>
  <c r="T699" i="34"/>
  <c r="S699" i="34"/>
  <c r="W696" i="34"/>
  <c r="V696" i="34"/>
  <c r="U696" i="34"/>
  <c r="W687" i="34"/>
  <c r="V687" i="34"/>
  <c r="U687" i="34"/>
  <c r="T687" i="34"/>
  <c r="S687" i="34"/>
  <c r="W684" i="34"/>
  <c r="V684" i="34"/>
  <c r="U684" i="34"/>
  <c r="T684" i="34"/>
  <c r="S684" i="34"/>
  <c r="W681" i="34"/>
  <c r="V681" i="34"/>
  <c r="U681" i="34"/>
  <c r="T681" i="34"/>
  <c r="W678" i="34"/>
  <c r="V678" i="34"/>
  <c r="U678" i="34"/>
  <c r="T678" i="34"/>
  <c r="S678" i="34"/>
  <c r="W675" i="34"/>
  <c r="V675" i="34"/>
  <c r="U675" i="34"/>
  <c r="T675" i="34"/>
  <c r="S675" i="34"/>
  <c r="W672" i="34"/>
  <c r="V672" i="34"/>
  <c r="U672" i="34"/>
  <c r="W669" i="34"/>
  <c r="V669" i="34"/>
  <c r="U669" i="34"/>
  <c r="T669" i="34"/>
  <c r="W666" i="34"/>
  <c r="V666" i="34"/>
  <c r="U666" i="34"/>
  <c r="T666" i="34"/>
  <c r="W663" i="34"/>
  <c r="V663" i="34"/>
  <c r="U663" i="34"/>
  <c r="W660" i="34"/>
  <c r="V660" i="34"/>
  <c r="U660" i="34"/>
  <c r="S656" i="34"/>
  <c r="S655" i="34"/>
  <c r="W654" i="34"/>
  <c r="T654" i="34"/>
  <c r="S654" i="34"/>
  <c r="W653" i="34"/>
  <c r="T653" i="34"/>
  <c r="S653" i="34"/>
  <c r="W649" i="34"/>
  <c r="V649" i="34"/>
  <c r="U649" i="34"/>
  <c r="T649" i="34"/>
  <c r="S649" i="34"/>
  <c r="W648" i="34"/>
  <c r="V648" i="34"/>
  <c r="U648" i="34"/>
  <c r="T648" i="34"/>
  <c r="S648" i="34"/>
  <c r="W647" i="34"/>
  <c r="V647" i="34"/>
  <c r="U647" i="34"/>
  <c r="T647" i="34"/>
  <c r="S647" i="34"/>
  <c r="T645" i="34"/>
  <c r="W642" i="34"/>
  <c r="V642" i="34"/>
  <c r="U642" i="34"/>
  <c r="T642" i="34"/>
  <c r="S642" i="34"/>
  <c r="W639" i="34"/>
  <c r="V639" i="34"/>
  <c r="U639" i="34"/>
  <c r="T639" i="34"/>
  <c r="W636" i="34"/>
  <c r="V636" i="34"/>
  <c r="W630" i="34"/>
  <c r="V630" i="34"/>
  <c r="U630" i="34"/>
  <c r="T630" i="34"/>
  <c r="S630" i="34"/>
  <c r="W627" i="34"/>
  <c r="V627" i="34"/>
  <c r="W624" i="34"/>
  <c r="V624" i="34"/>
  <c r="U624" i="34"/>
  <c r="T624" i="34"/>
  <c r="W615" i="34"/>
  <c r="V615" i="34"/>
  <c r="U615" i="34"/>
  <c r="W612" i="34"/>
  <c r="V612" i="34"/>
  <c r="U612" i="34"/>
  <c r="T612" i="34"/>
  <c r="S612" i="34"/>
  <c r="W609" i="34"/>
  <c r="V609" i="34"/>
  <c r="U609" i="34"/>
  <c r="T609" i="34"/>
  <c r="W606" i="34"/>
  <c r="V606" i="34"/>
  <c r="U606" i="34"/>
  <c r="T606" i="34"/>
  <c r="W603" i="34"/>
  <c r="V603" i="34"/>
  <c r="U603" i="34"/>
  <c r="T603" i="34"/>
  <c r="W600" i="34"/>
  <c r="V600" i="34"/>
  <c r="U600" i="34"/>
  <c r="W597" i="34"/>
  <c r="V597" i="34"/>
  <c r="U597" i="34"/>
  <c r="W594" i="34"/>
  <c r="V594" i="34"/>
  <c r="U594" i="34"/>
  <c r="T594" i="34"/>
  <c r="W591" i="34"/>
  <c r="V591" i="34"/>
  <c r="U591" i="34"/>
  <c r="W588" i="34"/>
  <c r="V588" i="34"/>
  <c r="U588" i="34"/>
  <c r="W357" i="34"/>
  <c r="V357" i="34"/>
  <c r="U357" i="34"/>
  <c r="T357" i="34"/>
  <c r="S357" i="34"/>
  <c r="W201" i="34"/>
  <c r="V201" i="34"/>
  <c r="U201" i="34"/>
  <c r="T201" i="34"/>
  <c r="S201" i="34"/>
  <c r="Q171" i="34"/>
  <c r="P171" i="34"/>
  <c r="O171" i="34"/>
  <c r="N171" i="34"/>
  <c r="M171" i="34"/>
  <c r="L171" i="34"/>
  <c r="K171" i="34"/>
  <c r="J171" i="34"/>
  <c r="I171" i="34"/>
  <c r="H171" i="34"/>
  <c r="G171" i="34"/>
  <c r="F171" i="34"/>
  <c r="E171" i="34"/>
  <c r="Q167" i="34"/>
  <c r="P167" i="34"/>
  <c r="O167" i="34"/>
  <c r="N167" i="34"/>
  <c r="M167" i="34"/>
  <c r="L167" i="34"/>
  <c r="K167" i="34"/>
  <c r="J167" i="34"/>
  <c r="I167" i="34"/>
  <c r="H167" i="34"/>
  <c r="G167" i="34"/>
  <c r="F167" i="34"/>
  <c r="E167" i="34"/>
  <c r="Q165" i="34"/>
  <c r="P165" i="34"/>
  <c r="O165" i="34"/>
  <c r="N165" i="34"/>
  <c r="M165" i="34"/>
  <c r="L165" i="34"/>
  <c r="K165" i="34"/>
  <c r="J165" i="34"/>
  <c r="I165" i="34"/>
  <c r="H165" i="34"/>
  <c r="G165" i="34"/>
  <c r="F165" i="34"/>
  <c r="E165" i="34"/>
  <c r="Q156" i="34"/>
  <c r="P156" i="34"/>
  <c r="O156" i="34"/>
  <c r="N156" i="34"/>
  <c r="M156" i="34"/>
  <c r="L156" i="34"/>
  <c r="K156" i="34"/>
  <c r="J156" i="34"/>
  <c r="I156" i="34"/>
  <c r="H156" i="34"/>
  <c r="G156" i="34"/>
  <c r="F156" i="34"/>
  <c r="E156" i="34"/>
  <c r="K155" i="34"/>
  <c r="K154" i="34"/>
  <c r="L150" i="34"/>
  <c r="K150" i="34"/>
  <c r="J150" i="34"/>
  <c r="I150" i="34"/>
  <c r="H150" i="34"/>
  <c r="G150" i="34"/>
  <c r="F150" i="34"/>
  <c r="E150" i="34"/>
  <c r="Q147" i="34"/>
  <c r="P147" i="34"/>
  <c r="O147" i="34"/>
  <c r="N147" i="34"/>
  <c r="M147" i="34"/>
  <c r="L147" i="34"/>
  <c r="K147" i="34"/>
  <c r="J147" i="34"/>
  <c r="I147" i="34"/>
  <c r="H147" i="34"/>
  <c r="G147" i="34"/>
  <c r="F147" i="34"/>
  <c r="E147" i="34"/>
  <c r="Q144" i="34"/>
  <c r="P144" i="34"/>
  <c r="O144" i="34"/>
  <c r="N144" i="34"/>
  <c r="M144" i="34"/>
  <c r="L144" i="34"/>
  <c r="K144" i="34"/>
  <c r="J144" i="34"/>
  <c r="I144" i="34"/>
  <c r="H144" i="34"/>
  <c r="G144" i="34"/>
  <c r="F144" i="34"/>
  <c r="E144" i="34"/>
  <c r="Q141" i="34"/>
  <c r="P141" i="34"/>
  <c r="O141" i="34"/>
  <c r="N141" i="34"/>
  <c r="M141" i="34"/>
  <c r="L141" i="34"/>
  <c r="K141" i="34"/>
  <c r="J141" i="34"/>
  <c r="I141" i="34"/>
  <c r="H141" i="34"/>
  <c r="G141" i="34"/>
  <c r="F141" i="34"/>
  <c r="E141" i="34"/>
  <c r="Q140" i="34"/>
  <c r="P140" i="34"/>
  <c r="O140" i="34"/>
  <c r="N140" i="34"/>
  <c r="M140" i="34"/>
  <c r="L140" i="34"/>
  <c r="K140" i="34"/>
  <c r="J140" i="34"/>
  <c r="I140" i="34"/>
  <c r="H140" i="34"/>
  <c r="G140" i="34"/>
  <c r="F140" i="34"/>
  <c r="E140" i="34"/>
  <c r="Q136" i="34"/>
  <c r="P136" i="34"/>
  <c r="O136" i="34"/>
  <c r="N136" i="34"/>
  <c r="M136" i="34"/>
  <c r="L136" i="34"/>
  <c r="K136" i="34"/>
  <c r="J136" i="34"/>
  <c r="I136" i="34"/>
  <c r="H136" i="34"/>
  <c r="G136" i="34"/>
  <c r="F136" i="34"/>
  <c r="E136" i="34"/>
  <c r="L133" i="34"/>
  <c r="K133" i="34"/>
  <c r="J133" i="34"/>
  <c r="I133" i="34"/>
  <c r="H133" i="34"/>
  <c r="G133" i="34"/>
  <c r="F133" i="34"/>
  <c r="E133" i="34"/>
  <c r="Q128" i="34"/>
  <c r="P128" i="34"/>
  <c r="O128" i="34"/>
  <c r="N128" i="34"/>
  <c r="M128" i="34"/>
  <c r="Q126" i="34"/>
  <c r="P126" i="34"/>
  <c r="O126" i="34"/>
  <c r="N126" i="34"/>
  <c r="M126" i="34"/>
  <c r="Q125" i="34"/>
  <c r="P125" i="34"/>
  <c r="O125" i="34"/>
  <c r="N125" i="34"/>
  <c r="M125" i="34"/>
  <c r="Q124" i="34"/>
  <c r="P124" i="34"/>
  <c r="O124" i="34"/>
  <c r="N124" i="34"/>
  <c r="M124" i="34"/>
  <c r="Q123" i="34"/>
  <c r="P123" i="34"/>
  <c r="O123" i="34"/>
  <c r="N123" i="34"/>
  <c r="M123" i="34"/>
  <c r="L123" i="34"/>
  <c r="K123" i="34"/>
  <c r="J123" i="34"/>
  <c r="I123" i="34"/>
  <c r="H123" i="34"/>
  <c r="G123" i="34"/>
  <c r="F123" i="34"/>
  <c r="E123" i="34"/>
  <c r="Q119" i="34"/>
  <c r="P119" i="34"/>
  <c r="O119" i="34"/>
  <c r="N119" i="34"/>
  <c r="M119" i="34"/>
  <c r="L119" i="34"/>
  <c r="K119" i="34"/>
  <c r="J119" i="34"/>
  <c r="I119" i="34"/>
  <c r="H119" i="34"/>
  <c r="G119" i="34"/>
  <c r="F119" i="34"/>
  <c r="E119" i="34"/>
  <c r="Q117" i="34"/>
  <c r="P117" i="34"/>
  <c r="O117" i="34"/>
  <c r="N117" i="34"/>
  <c r="M117" i="34"/>
  <c r="L117" i="34"/>
  <c r="K117" i="34"/>
  <c r="J117" i="34"/>
  <c r="I117" i="34"/>
  <c r="H117" i="34"/>
  <c r="G117" i="34"/>
  <c r="F117" i="34"/>
  <c r="E117" i="34"/>
  <c r="G115" i="34"/>
  <c r="F115" i="34"/>
  <c r="E115" i="34"/>
  <c r="G114" i="34"/>
  <c r="F114" i="34"/>
  <c r="E114" i="34"/>
  <c r="G113" i="34"/>
  <c r="F113" i="34"/>
  <c r="E113" i="34"/>
  <c r="G112" i="34"/>
  <c r="F112" i="34"/>
  <c r="E112" i="34"/>
  <c r="J111" i="34"/>
  <c r="Q108" i="34"/>
  <c r="P108" i="34"/>
  <c r="O108" i="34"/>
  <c r="N108" i="34"/>
  <c r="M108" i="34"/>
  <c r="L108" i="34"/>
  <c r="K108" i="34"/>
  <c r="J108" i="34"/>
  <c r="I108" i="34"/>
  <c r="H108" i="34"/>
  <c r="G108" i="34"/>
  <c r="F108" i="34"/>
  <c r="E108" i="34"/>
  <c r="Q102" i="34"/>
  <c r="P102" i="34"/>
  <c r="O102" i="34"/>
  <c r="N102" i="34"/>
  <c r="M102" i="34"/>
  <c r="L102" i="34"/>
  <c r="K102" i="34"/>
  <c r="J102" i="34"/>
  <c r="I102" i="34"/>
  <c r="H102" i="34"/>
  <c r="G102" i="34"/>
  <c r="F102" i="34"/>
  <c r="E102" i="34"/>
  <c r="K101" i="34"/>
  <c r="K100" i="34"/>
  <c r="Q93" i="34"/>
  <c r="P93" i="34"/>
  <c r="O93" i="34"/>
  <c r="N93" i="34"/>
  <c r="M93" i="34"/>
  <c r="Q92" i="34"/>
  <c r="P92" i="34"/>
  <c r="O92" i="34"/>
  <c r="N92" i="34"/>
  <c r="M92" i="34"/>
  <c r="K88" i="34"/>
  <c r="J88" i="34"/>
  <c r="I88" i="34"/>
  <c r="H88" i="34"/>
  <c r="G88" i="34"/>
  <c r="F88" i="34"/>
  <c r="E88" i="34"/>
  <c r="Q85" i="34"/>
  <c r="P85" i="34"/>
  <c r="O85" i="34"/>
  <c r="N85" i="34"/>
  <c r="M85" i="34"/>
  <c r="L85" i="34"/>
  <c r="K85" i="34"/>
  <c r="J85" i="34"/>
  <c r="I85" i="34"/>
  <c r="H85" i="34"/>
  <c r="G85" i="34"/>
  <c r="F85" i="34"/>
  <c r="E85" i="34"/>
  <c r="O81" i="34"/>
  <c r="N81" i="34"/>
  <c r="M81" i="34"/>
  <c r="O80" i="34"/>
  <c r="N80" i="34"/>
  <c r="M80" i="34"/>
  <c r="O79" i="34"/>
  <c r="N79" i="34"/>
  <c r="M79" i="34"/>
  <c r="O78" i="34"/>
  <c r="N78" i="34"/>
  <c r="M78" i="34"/>
  <c r="O77" i="34"/>
  <c r="N77" i="34"/>
  <c r="M77" i="34"/>
  <c r="O76" i="34"/>
  <c r="N76" i="34"/>
  <c r="M76" i="34"/>
  <c r="O75" i="34"/>
  <c r="N75" i="34"/>
  <c r="M75" i="34"/>
  <c r="L75" i="34"/>
  <c r="K75" i="34"/>
  <c r="J75" i="34"/>
  <c r="I75" i="34"/>
  <c r="H75" i="34"/>
  <c r="G75" i="34"/>
  <c r="F75" i="34"/>
  <c r="E75" i="34"/>
  <c r="O71" i="34"/>
  <c r="N71" i="34"/>
  <c r="M71" i="34"/>
  <c r="L71" i="34"/>
  <c r="K71" i="34"/>
  <c r="J71" i="34"/>
  <c r="I71" i="34"/>
  <c r="H71" i="34"/>
  <c r="G71" i="34"/>
  <c r="F71" i="34"/>
  <c r="E71" i="34"/>
  <c r="Q69" i="34"/>
  <c r="P69" i="34"/>
  <c r="O69" i="34"/>
  <c r="N69" i="34"/>
  <c r="M69" i="34"/>
  <c r="L69" i="34"/>
  <c r="K69" i="34"/>
  <c r="J69" i="34"/>
  <c r="I69" i="34"/>
  <c r="H69" i="34"/>
  <c r="G69" i="34"/>
  <c r="F69" i="34"/>
  <c r="E69" i="34"/>
  <c r="J63" i="34"/>
  <c r="Q60" i="34"/>
  <c r="P60" i="34"/>
  <c r="O60" i="34"/>
  <c r="N60" i="34"/>
  <c r="M60" i="34"/>
  <c r="L60" i="34"/>
  <c r="K60" i="34"/>
  <c r="J60" i="34"/>
  <c r="I60" i="34"/>
  <c r="H60" i="34"/>
  <c r="G60" i="34"/>
  <c r="F60" i="34"/>
  <c r="E60" i="34"/>
  <c r="Q54" i="34"/>
  <c r="P54" i="34"/>
  <c r="O54" i="34"/>
  <c r="N54" i="34"/>
  <c r="M54" i="34"/>
  <c r="L54" i="34"/>
  <c r="K54" i="34"/>
  <c r="J54" i="34"/>
  <c r="I54" i="34"/>
  <c r="H54" i="34"/>
  <c r="G54" i="34"/>
  <c r="F54" i="34"/>
  <c r="E54" i="34"/>
  <c r="K53" i="34"/>
  <c r="K52" i="34"/>
  <c r="O45" i="34"/>
  <c r="N45" i="34"/>
  <c r="M45" i="34"/>
  <c r="O44" i="34"/>
  <c r="N44" i="34"/>
  <c r="M44" i="34"/>
  <c r="O40" i="34"/>
  <c r="N40" i="34"/>
  <c r="M40" i="34"/>
  <c r="K40" i="34"/>
  <c r="J40" i="34"/>
  <c r="I40" i="34"/>
  <c r="H40" i="34"/>
  <c r="G40" i="34"/>
  <c r="F40" i="34"/>
  <c r="E40" i="34"/>
  <c r="O37" i="34"/>
  <c r="N37" i="34"/>
  <c r="M37" i="34"/>
  <c r="L37" i="34"/>
  <c r="K37" i="34"/>
  <c r="J37" i="34"/>
  <c r="I37" i="34"/>
  <c r="H37" i="34"/>
  <c r="G37" i="34"/>
  <c r="F37" i="34"/>
  <c r="E37" i="34"/>
  <c r="J27" i="34"/>
  <c r="K26" i="34"/>
  <c r="Q24" i="34"/>
  <c r="P24" i="34"/>
  <c r="O24" i="34"/>
  <c r="N24" i="34"/>
  <c r="M24" i="34"/>
  <c r="L24" i="34"/>
  <c r="K24" i="34"/>
  <c r="Q23" i="34"/>
  <c r="P23" i="34"/>
  <c r="O23" i="34"/>
  <c r="N23" i="34"/>
  <c r="M23" i="34"/>
  <c r="L23" i="34"/>
  <c r="K23" i="34"/>
  <c r="S729" i="34"/>
  <c r="S693" i="34"/>
  <c r="S657" i="34"/>
  <c r="S621" i="34"/>
  <c r="K161" i="46"/>
  <c r="K160" i="46" s="1"/>
  <c r="J161" i="46"/>
  <c r="I161" i="46"/>
  <c r="H161" i="46"/>
  <c r="H160" i="46"/>
  <c r="G161" i="46"/>
  <c r="G160" i="46"/>
  <c r="J160" i="46"/>
  <c r="I160" i="46"/>
  <c r="N138" i="46"/>
  <c r="N134" i="46"/>
  <c r="E134" i="46" s="1"/>
  <c r="R130" i="46"/>
  <c r="Q130" i="46"/>
  <c r="N130" i="46"/>
  <c r="E130" i="46" s="1"/>
  <c r="R129" i="46"/>
  <c r="Q129" i="46"/>
  <c r="N129" i="46"/>
  <c r="E129" i="46" s="1"/>
  <c r="R128" i="46"/>
  <c r="Q128" i="46"/>
  <c r="N128" i="46"/>
  <c r="E128" i="46" s="1"/>
  <c r="R127" i="46"/>
  <c r="Q127" i="46"/>
  <c r="N127" i="46"/>
  <c r="E127" i="46" s="1"/>
  <c r="R123" i="46"/>
  <c r="Q123" i="46"/>
  <c r="N123" i="46"/>
  <c r="R122" i="46"/>
  <c r="Q122" i="46"/>
  <c r="N122" i="46"/>
  <c r="R121" i="46"/>
  <c r="Q121" i="46"/>
  <c r="N121" i="46"/>
  <c r="R120" i="46"/>
  <c r="Q120" i="46"/>
  <c r="N120" i="46"/>
  <c r="R119" i="46"/>
  <c r="Q119" i="46"/>
  <c r="N119" i="46"/>
  <c r="R118" i="46"/>
  <c r="Q118" i="46"/>
  <c r="N118" i="46"/>
  <c r="R117" i="46"/>
  <c r="Q117" i="46"/>
  <c r="N117" i="46"/>
  <c r="R116" i="46"/>
  <c r="Q116" i="46"/>
  <c r="N116" i="46"/>
  <c r="R115" i="46"/>
  <c r="Q115" i="46"/>
  <c r="N115" i="46"/>
  <c r="R114" i="46"/>
  <c r="Q114" i="46"/>
  <c r="N114" i="46"/>
  <c r="R110" i="46"/>
  <c r="Q110" i="46"/>
  <c r="O110" i="46"/>
  <c r="N110" i="46"/>
  <c r="R109" i="46"/>
  <c r="Q109" i="46"/>
  <c r="O109" i="46"/>
  <c r="N109" i="46"/>
  <c r="R108" i="46"/>
  <c r="Q108" i="46"/>
  <c r="O108" i="46"/>
  <c r="N108" i="46"/>
  <c r="R107" i="46"/>
  <c r="Q107" i="46"/>
  <c r="O107" i="46"/>
  <c r="N107" i="46"/>
  <c r="M90" i="46"/>
  <c r="G81" i="46"/>
  <c r="I80" i="46"/>
  <c r="I81" i="46" s="1"/>
  <c r="H80" i="46"/>
  <c r="H81" i="46"/>
  <c r="F80" i="46"/>
  <c r="F81" i="46"/>
  <c r="D80" i="46"/>
  <c r="D81" i="46" s="1"/>
  <c r="R12" i="46"/>
  <c r="R80" i="46" s="1"/>
  <c r="R81" i="46" s="1"/>
  <c r="Q12" i="46"/>
  <c r="Q80" i="46" s="1"/>
  <c r="Q81" i="46" s="1"/>
  <c r="P12" i="46"/>
  <c r="P80" i="46" s="1"/>
  <c r="P81" i="46" s="1"/>
  <c r="O12" i="46"/>
  <c r="N12" i="46"/>
  <c r="N80" i="46"/>
  <c r="N81" i="46" s="1"/>
  <c r="M12" i="46"/>
  <c r="M80" i="46"/>
  <c r="M81" i="46" s="1"/>
  <c r="L12" i="46"/>
  <c r="L80" i="46" s="1"/>
  <c r="L81" i="46" s="1"/>
  <c r="K12" i="46"/>
  <c r="K80" i="46" s="1"/>
  <c r="K81" i="46" s="1"/>
  <c r="J12" i="46"/>
  <c r="J80" i="46" s="1"/>
  <c r="J81" i="46" s="1"/>
  <c r="O80" i="46"/>
  <c r="O81" i="46"/>
  <c r="P103" i="46"/>
  <c r="Q103" i="46"/>
  <c r="Q161" i="46" s="1"/>
  <c r="R103" i="46"/>
  <c r="R161" i="46" s="1"/>
  <c r="C160" i="46"/>
  <c r="C161" i="46"/>
  <c r="O103" i="46"/>
  <c r="E80" i="46"/>
  <c r="E81" i="46"/>
  <c r="P161" i="46"/>
  <c r="P160" i="46"/>
  <c r="C80" i="46"/>
  <c r="C81" i="46"/>
  <c r="F73" i="42"/>
  <c r="F72" i="42"/>
  <c r="U645" i="34"/>
  <c r="W645" i="34"/>
  <c r="V645" i="34"/>
  <c r="C73" i="36"/>
  <c r="C73" i="35" s="1"/>
  <c r="S615" i="34" s="1"/>
  <c r="S651" i="34"/>
  <c r="S22" i="12"/>
  <c r="D202" i="40"/>
  <c r="D202" i="39" s="1"/>
  <c r="M14" i="10"/>
  <c r="O150" i="34" s="1"/>
  <c r="L14" i="10"/>
  <c r="L18" i="10" s="1"/>
  <c r="N131" i="34" s="1"/>
  <c r="K14" i="10"/>
  <c r="O18" i="10"/>
  <c r="E100" i="42"/>
  <c r="E102" i="42" s="1"/>
  <c r="E114" i="42" s="1"/>
  <c r="E144" i="40"/>
  <c r="E144" i="39" s="1"/>
  <c r="I12" i="2"/>
  <c r="I13" i="2"/>
  <c r="I14" i="2"/>
  <c r="I15" i="2"/>
  <c r="I16" i="2"/>
  <c r="I17" i="2"/>
  <c r="A5" i="38"/>
  <c r="U509" i="34" s="1"/>
  <c r="A4" i="38"/>
  <c r="C4" i="42" s="1"/>
  <c r="A3" i="38"/>
  <c r="C3" i="42" s="1"/>
  <c r="W566" i="34"/>
  <c r="E89" i="36"/>
  <c r="U355" i="34" s="1"/>
  <c r="D89" i="36"/>
  <c r="D89" i="35" s="1"/>
  <c r="C89" i="36"/>
  <c r="C89" i="35" s="1"/>
  <c r="C94" i="35"/>
  <c r="W252" i="34"/>
  <c r="V252" i="34"/>
  <c r="U252" i="34"/>
  <c r="T252" i="34"/>
  <c r="S613" i="34"/>
  <c r="C15" i="45"/>
  <c r="A5" i="37"/>
  <c r="C5" i="41" s="1"/>
  <c r="A4" i="37"/>
  <c r="C4" i="41" s="1"/>
  <c r="A3" i="37"/>
  <c r="C3" i="41" s="1"/>
  <c r="A5" i="36"/>
  <c r="C5" i="40" s="1"/>
  <c r="A4" i="36"/>
  <c r="A3" i="36"/>
  <c r="C3" i="40" s="1"/>
  <c r="A5" i="35"/>
  <c r="C5" i="39" s="1"/>
  <c r="A4" i="35"/>
  <c r="C4" i="39" s="1"/>
  <c r="A3" i="35"/>
  <c r="C3" i="39" s="1"/>
  <c r="D164" i="42"/>
  <c r="J164" i="42" s="1"/>
  <c r="D163" i="42"/>
  <c r="D162" i="42"/>
  <c r="D161" i="42"/>
  <c r="D146" i="42"/>
  <c r="J146" i="42" s="1"/>
  <c r="D145" i="42"/>
  <c r="J145" i="42" s="1"/>
  <c r="D144" i="42"/>
  <c r="I144" i="42" s="1"/>
  <c r="I147" i="42" s="1"/>
  <c r="D143" i="42"/>
  <c r="H143" i="42" s="1"/>
  <c r="D142" i="42"/>
  <c r="D135" i="42"/>
  <c r="J135" i="42" s="1"/>
  <c r="D134" i="42"/>
  <c r="J134" i="42" s="1"/>
  <c r="D133" i="42"/>
  <c r="J133" i="42" s="1"/>
  <c r="D132" i="42"/>
  <c r="D131" i="42"/>
  <c r="J131" i="42" s="1"/>
  <c r="D124" i="42"/>
  <c r="D123" i="42"/>
  <c r="D122" i="42"/>
  <c r="I122" i="42" s="1"/>
  <c r="D121" i="42"/>
  <c r="D120" i="42"/>
  <c r="D113" i="42"/>
  <c r="J113" i="42" s="1"/>
  <c r="D112" i="42"/>
  <c r="J112" i="42"/>
  <c r="D111" i="42"/>
  <c r="I111" i="42" s="1"/>
  <c r="D96" i="42"/>
  <c r="J96" i="42" s="1"/>
  <c r="D95" i="42"/>
  <c r="D94" i="42"/>
  <c r="D93" i="42"/>
  <c r="D92" i="42"/>
  <c r="D48" i="42"/>
  <c r="D47" i="42"/>
  <c r="D46" i="42"/>
  <c r="I46" i="42" s="1"/>
  <c r="D41" i="42"/>
  <c r="D40" i="42"/>
  <c r="D39" i="42"/>
  <c r="D164" i="41"/>
  <c r="J164" i="41" s="1"/>
  <c r="D163" i="41"/>
  <c r="J163" i="41" s="1"/>
  <c r="D162" i="41"/>
  <c r="J162" i="41" s="1"/>
  <c r="D161" i="41"/>
  <c r="D146" i="41"/>
  <c r="J146" i="41" s="1"/>
  <c r="D145" i="41"/>
  <c r="J145" i="41" s="1"/>
  <c r="D144" i="41"/>
  <c r="I144" i="41" s="1"/>
  <c r="I147" i="41" s="1"/>
  <c r="D143" i="41"/>
  <c r="H143" i="41" s="1"/>
  <c r="D142" i="41"/>
  <c r="E142" i="41" s="1"/>
  <c r="E147" i="41" s="1"/>
  <c r="D135" i="41"/>
  <c r="D134" i="41"/>
  <c r="J134" i="41" s="1"/>
  <c r="D133" i="41"/>
  <c r="J133" i="41" s="1"/>
  <c r="D132" i="41"/>
  <c r="J132" i="41" s="1"/>
  <c r="D131" i="41"/>
  <c r="J131" i="41" s="1"/>
  <c r="D124" i="41"/>
  <c r="D123" i="41"/>
  <c r="D122" i="41"/>
  <c r="D121" i="41"/>
  <c r="H121" i="41" s="1"/>
  <c r="H125" i="41" s="1"/>
  <c r="D120" i="41"/>
  <c r="E120" i="41" s="1"/>
  <c r="D113" i="41"/>
  <c r="D112" i="41"/>
  <c r="J112" i="41" s="1"/>
  <c r="D111" i="41"/>
  <c r="I111" i="41" s="1"/>
  <c r="D96" i="41"/>
  <c r="D95" i="41"/>
  <c r="J95" i="41" s="1"/>
  <c r="D94" i="41"/>
  <c r="I94" i="41" s="1"/>
  <c r="I97" i="41" s="1"/>
  <c r="D93" i="41"/>
  <c r="H93" i="41" s="1"/>
  <c r="H97" i="41" s="1"/>
  <c r="D92" i="41"/>
  <c r="D69" i="41"/>
  <c r="J69" i="41" s="1"/>
  <c r="D68" i="41"/>
  <c r="J68" i="41" s="1"/>
  <c r="D67" i="41"/>
  <c r="I67" i="41" s="1"/>
  <c r="D66" i="41"/>
  <c r="D65" i="41"/>
  <c r="D62" i="41"/>
  <c r="J62" i="41" s="1"/>
  <c r="D61" i="41"/>
  <c r="J61" i="41" s="1"/>
  <c r="D60" i="41"/>
  <c r="D59" i="41"/>
  <c r="H59" i="41" s="1"/>
  <c r="D58" i="41"/>
  <c r="G58" i="41" s="1"/>
  <c r="G63" i="41" s="1"/>
  <c r="D55" i="41"/>
  <c r="D54" i="41"/>
  <c r="J54" i="41" s="1"/>
  <c r="D53" i="41"/>
  <c r="D52" i="41"/>
  <c r="H52" i="41" s="1"/>
  <c r="D51" i="41"/>
  <c r="G51" i="41" s="1"/>
  <c r="G56" i="41" s="1"/>
  <c r="D34" i="41"/>
  <c r="D33" i="41"/>
  <c r="D32" i="41"/>
  <c r="I32" i="41" s="1"/>
  <c r="D31" i="41"/>
  <c r="H31" i="41" s="1"/>
  <c r="D30" i="41"/>
  <c r="D16" i="41"/>
  <c r="D15" i="41"/>
  <c r="J15" i="41" s="1"/>
  <c r="D14" i="41"/>
  <c r="I14" i="41" s="1"/>
  <c r="D232" i="40"/>
  <c r="V646" i="34" s="1"/>
  <c r="D230" i="40"/>
  <c r="U646" i="34" s="1"/>
  <c r="D229" i="40"/>
  <c r="D229" i="39" s="1"/>
  <c r="D203" i="40"/>
  <c r="D203" i="39" s="1"/>
  <c r="D189" i="40"/>
  <c r="D188" i="40"/>
  <c r="D187" i="40"/>
  <c r="D187" i="39" s="1"/>
  <c r="D172" i="40"/>
  <c r="D172" i="39" s="1"/>
  <c r="D161" i="40"/>
  <c r="D161" i="39" s="1"/>
  <c r="T610" i="34" s="1"/>
  <c r="D136" i="40"/>
  <c r="V643" i="34" s="1"/>
  <c r="D134" i="40"/>
  <c r="D134" i="39" s="1"/>
  <c r="D133" i="40"/>
  <c r="T643" i="34" s="1"/>
  <c r="D132" i="40"/>
  <c r="D132" i="39" s="1"/>
  <c r="D121" i="40"/>
  <c r="D121" i="39" s="1"/>
  <c r="D119" i="40"/>
  <c r="D119" i="39" s="1"/>
  <c r="D118" i="40"/>
  <c r="D118" i="39" s="1"/>
  <c r="D117" i="40"/>
  <c r="D117" i="39" s="1"/>
  <c r="D95" i="40"/>
  <c r="D95" i="39" s="1"/>
  <c r="D94" i="40"/>
  <c r="D94" i="39" s="1"/>
  <c r="U607" i="34" s="1"/>
  <c r="D93" i="40"/>
  <c r="D93" i="39" s="1"/>
  <c r="T607" i="34" s="1"/>
  <c r="D84" i="40"/>
  <c r="D84" i="39" s="1"/>
  <c r="V602" i="34" s="1"/>
  <c r="D83" i="40"/>
  <c r="D83" i="39" s="1"/>
  <c r="U604" i="34" s="1"/>
  <c r="D82" i="40"/>
  <c r="D82" i="39" s="1"/>
  <c r="D75" i="40"/>
  <c r="D75" i="39" s="1"/>
  <c r="D73" i="40"/>
  <c r="D73" i="39" s="1"/>
  <c r="D72" i="40"/>
  <c r="D72" i="39" s="1"/>
  <c r="D71" i="40"/>
  <c r="D42" i="40"/>
  <c r="D40" i="40"/>
  <c r="D40" i="39" s="1"/>
  <c r="D39" i="40"/>
  <c r="D39" i="39" s="1"/>
  <c r="D38" i="40"/>
  <c r="D38" i="39" s="1"/>
  <c r="M20" i="40"/>
  <c r="M20" i="39" s="1"/>
  <c r="D16" i="40"/>
  <c r="D16" i="39" s="1"/>
  <c r="W590" i="34" s="1"/>
  <c r="I165" i="42"/>
  <c r="H165" i="42"/>
  <c r="G165" i="42"/>
  <c r="F165" i="42"/>
  <c r="E165" i="42"/>
  <c r="I141" i="42"/>
  <c r="H141" i="42"/>
  <c r="G141" i="42"/>
  <c r="G147" i="42" s="1"/>
  <c r="F141" i="42"/>
  <c r="F147" i="42" s="1"/>
  <c r="E141" i="42"/>
  <c r="D141" i="42"/>
  <c r="J140" i="42"/>
  <c r="J139" i="42"/>
  <c r="J141" i="42" s="1"/>
  <c r="J138" i="42"/>
  <c r="I130" i="42"/>
  <c r="I136" i="42" s="1"/>
  <c r="H130" i="42"/>
  <c r="H136" i="42"/>
  <c r="G130" i="42"/>
  <c r="G136" i="42"/>
  <c r="F130" i="42"/>
  <c r="F136" i="42" s="1"/>
  <c r="E130" i="42"/>
  <c r="D130" i="42"/>
  <c r="J129" i="42"/>
  <c r="J128" i="42"/>
  <c r="J127" i="42"/>
  <c r="I119" i="42"/>
  <c r="H119" i="42"/>
  <c r="G119" i="42"/>
  <c r="D119" i="42"/>
  <c r="F118" i="42"/>
  <c r="F119" i="42"/>
  <c r="F125" i="42"/>
  <c r="E117" i="42"/>
  <c r="E119" i="42"/>
  <c r="J116" i="42"/>
  <c r="F108" i="42"/>
  <c r="E108" i="42"/>
  <c r="I102" i="42"/>
  <c r="H102" i="42"/>
  <c r="G102" i="42"/>
  <c r="D102" i="42"/>
  <c r="F101" i="42"/>
  <c r="J101" i="42"/>
  <c r="J99" i="42"/>
  <c r="I91" i="42"/>
  <c r="H91" i="42"/>
  <c r="G91" i="42"/>
  <c r="F91" i="42"/>
  <c r="E91" i="42"/>
  <c r="E97" i="42" s="1"/>
  <c r="D91" i="42"/>
  <c r="I75" i="42"/>
  <c r="H75" i="42"/>
  <c r="D75" i="42"/>
  <c r="F74" i="42"/>
  <c r="J73" i="42"/>
  <c r="G75" i="42"/>
  <c r="J17" i="42"/>
  <c r="I17" i="42"/>
  <c r="H17" i="42"/>
  <c r="G17" i="42"/>
  <c r="D11" i="42"/>
  <c r="D17" i="42" s="1"/>
  <c r="F10" i="42"/>
  <c r="F11" i="42"/>
  <c r="F17" i="42" s="1"/>
  <c r="E11" i="42"/>
  <c r="I165" i="41"/>
  <c r="H165" i="41"/>
  <c r="G165" i="41"/>
  <c r="F165" i="41"/>
  <c r="E165" i="41"/>
  <c r="I141" i="41"/>
  <c r="H141" i="41"/>
  <c r="G141" i="41"/>
  <c r="G147" i="41"/>
  <c r="F141" i="41"/>
  <c r="F147" i="41"/>
  <c r="E141" i="41"/>
  <c r="D141" i="41"/>
  <c r="J140" i="41"/>
  <c r="J139" i="41"/>
  <c r="J138" i="41"/>
  <c r="I130" i="41"/>
  <c r="I136" i="41"/>
  <c r="H130" i="41"/>
  <c r="H136" i="41" s="1"/>
  <c r="G130" i="41"/>
  <c r="G136" i="41" s="1"/>
  <c r="F130" i="41"/>
  <c r="F136" i="41"/>
  <c r="E130" i="41"/>
  <c r="E136" i="41"/>
  <c r="D130" i="41"/>
  <c r="J129" i="41"/>
  <c r="J128" i="41"/>
  <c r="J130" i="41" s="1"/>
  <c r="J127" i="41"/>
  <c r="I119" i="41"/>
  <c r="H119" i="41"/>
  <c r="G119" i="41"/>
  <c r="G125" i="41"/>
  <c r="F119" i="41"/>
  <c r="F125" i="41"/>
  <c r="D119" i="41"/>
  <c r="J118" i="41"/>
  <c r="E117" i="41"/>
  <c r="J116" i="41"/>
  <c r="F108" i="41"/>
  <c r="E108" i="41"/>
  <c r="I102" i="41"/>
  <c r="H102" i="41"/>
  <c r="G102" i="41"/>
  <c r="F102" i="41"/>
  <c r="D102" i="41"/>
  <c r="J101" i="41"/>
  <c r="J102" i="41"/>
  <c r="E102" i="41"/>
  <c r="E114" i="41" s="1"/>
  <c r="J99" i="41"/>
  <c r="I91" i="41"/>
  <c r="H91" i="41"/>
  <c r="G91" i="41"/>
  <c r="F91" i="41"/>
  <c r="F97" i="41" s="1"/>
  <c r="E91" i="41"/>
  <c r="E97" i="41" s="1"/>
  <c r="D91" i="41"/>
  <c r="I75" i="41"/>
  <c r="H75" i="41"/>
  <c r="F75" i="41"/>
  <c r="D75" i="41"/>
  <c r="J74" i="41"/>
  <c r="E73" i="41"/>
  <c r="G72" i="41"/>
  <c r="G75" i="41"/>
  <c r="D11" i="41"/>
  <c r="F10" i="41"/>
  <c r="F11" i="41"/>
  <c r="F17" i="41" s="1"/>
  <c r="E11" i="41"/>
  <c r="H201" i="40"/>
  <c r="H201" i="39" s="1"/>
  <c r="G201" i="40"/>
  <c r="G201" i="39" s="1"/>
  <c r="F201" i="40"/>
  <c r="F201" i="39" s="1"/>
  <c r="E201" i="40"/>
  <c r="E201" i="39" s="1"/>
  <c r="D201" i="40"/>
  <c r="D201" i="39" s="1"/>
  <c r="H186" i="40"/>
  <c r="H186" i="39" s="1"/>
  <c r="G186" i="40"/>
  <c r="G186" i="39" s="1"/>
  <c r="F186" i="40"/>
  <c r="E186" i="40"/>
  <c r="D186" i="40"/>
  <c r="D186" i="39" s="1"/>
  <c r="H171" i="40"/>
  <c r="H171" i="39" s="1"/>
  <c r="G171" i="40"/>
  <c r="G171" i="39" s="1"/>
  <c r="F171" i="40"/>
  <c r="F171" i="39" s="1"/>
  <c r="D171" i="40"/>
  <c r="D171" i="39" s="1"/>
  <c r="W613" i="34" s="1"/>
  <c r="E169" i="40"/>
  <c r="E169" i="39" s="1"/>
  <c r="M168" i="40"/>
  <c r="M168" i="39" s="1"/>
  <c r="I146" i="40"/>
  <c r="I146" i="39" s="1"/>
  <c r="H146" i="40"/>
  <c r="H146" i="39" s="1"/>
  <c r="G146" i="40"/>
  <c r="G146" i="39" s="1"/>
  <c r="M143" i="40"/>
  <c r="M143" i="39" s="1"/>
  <c r="I116" i="40"/>
  <c r="I116" i="39" s="1"/>
  <c r="H116" i="40"/>
  <c r="H116" i="39" s="1"/>
  <c r="G116" i="40"/>
  <c r="G116" i="39" s="1"/>
  <c r="D116" i="40"/>
  <c r="D116" i="39" s="1"/>
  <c r="F115" i="40"/>
  <c r="E114" i="40"/>
  <c r="E114" i="39" s="1"/>
  <c r="S246" i="34" s="1"/>
  <c r="M113" i="40"/>
  <c r="E11" i="40"/>
  <c r="E11" i="39" s="1"/>
  <c r="S569" i="34"/>
  <c r="G92" i="42"/>
  <c r="J163" i="42"/>
  <c r="J124" i="41"/>
  <c r="H93" i="42"/>
  <c r="J16" i="41"/>
  <c r="J41" i="42"/>
  <c r="J124" i="42"/>
  <c r="J96" i="41"/>
  <c r="J47" i="42"/>
  <c r="E75" i="42"/>
  <c r="S551" i="34" s="1"/>
  <c r="J100" i="41"/>
  <c r="T255" i="34"/>
  <c r="J40" i="42"/>
  <c r="H66" i="41"/>
  <c r="J66" i="41" s="1"/>
  <c r="F102" i="42"/>
  <c r="F114" i="42"/>
  <c r="J122" i="42"/>
  <c r="J72" i="42"/>
  <c r="G30" i="41"/>
  <c r="G35" i="41" s="1"/>
  <c r="J72" i="41"/>
  <c r="E75" i="41"/>
  <c r="I60" i="41"/>
  <c r="I63" i="41" s="1"/>
  <c r="O39" i="11"/>
  <c r="Q114" i="34" s="1"/>
  <c r="N39" i="11"/>
  <c r="N41" i="11" s="1"/>
  <c r="P129" i="34" s="1"/>
  <c r="M39" i="11"/>
  <c r="O114" i="34" s="1"/>
  <c r="L39" i="11"/>
  <c r="L41" i="11" s="1"/>
  <c r="K39" i="11"/>
  <c r="M122" i="34" s="1"/>
  <c r="J39" i="11"/>
  <c r="L116" i="34" s="1"/>
  <c r="I39" i="11"/>
  <c r="K122" i="34" s="1"/>
  <c r="H39" i="11"/>
  <c r="J120" i="34" s="1"/>
  <c r="G39" i="11"/>
  <c r="E39" i="11"/>
  <c r="G121" i="34" s="1"/>
  <c r="D39" i="11"/>
  <c r="F120" i="34" s="1"/>
  <c r="C39" i="11"/>
  <c r="E118" i="34" s="1"/>
  <c r="F39" i="11"/>
  <c r="F41" i="11" s="1"/>
  <c r="H112" i="34" s="1"/>
  <c r="H65" i="12"/>
  <c r="K47" i="34" s="1"/>
  <c r="O60" i="2"/>
  <c r="N60" i="2"/>
  <c r="M60" i="2"/>
  <c r="L60" i="2"/>
  <c r="K60" i="2"/>
  <c r="J60" i="2"/>
  <c r="I60" i="2"/>
  <c r="H60" i="2"/>
  <c r="G60" i="2"/>
  <c r="F60" i="2"/>
  <c r="E60" i="2"/>
  <c r="D60" i="2"/>
  <c r="C60" i="2"/>
  <c r="J52" i="2"/>
  <c r="I52" i="2"/>
  <c r="H52" i="2"/>
  <c r="G52" i="2"/>
  <c r="F52" i="2"/>
  <c r="E52" i="2"/>
  <c r="D52" i="2"/>
  <c r="C52" i="2"/>
  <c r="J51" i="2"/>
  <c r="I51" i="2"/>
  <c r="H51" i="2"/>
  <c r="G51" i="2"/>
  <c r="F51" i="2"/>
  <c r="E51" i="2"/>
  <c r="D51" i="2"/>
  <c r="C51" i="2"/>
  <c r="J50" i="2"/>
  <c r="I50" i="2"/>
  <c r="H50" i="2"/>
  <c r="G50" i="2"/>
  <c r="F50" i="2"/>
  <c r="E50" i="2"/>
  <c r="D50" i="2"/>
  <c r="C50" i="2"/>
  <c r="O47" i="2"/>
  <c r="N47" i="2"/>
  <c r="M47" i="2"/>
  <c r="L47" i="2"/>
  <c r="K47" i="2"/>
  <c r="J47" i="2"/>
  <c r="I47" i="2"/>
  <c r="H47" i="2"/>
  <c r="G47" i="2"/>
  <c r="F47" i="2"/>
  <c r="E47" i="2"/>
  <c r="D47" i="2"/>
  <c r="C47" i="2"/>
  <c r="I38" i="2"/>
  <c r="H38" i="2"/>
  <c r="G38" i="2"/>
  <c r="F38" i="2"/>
  <c r="E38" i="2"/>
  <c r="D38" i="2"/>
  <c r="C38" i="2"/>
  <c r="I37" i="2"/>
  <c r="H37" i="2"/>
  <c r="G37" i="2"/>
  <c r="F37" i="2"/>
  <c r="E37" i="2"/>
  <c r="D37" i="2"/>
  <c r="C37" i="2"/>
  <c r="I36" i="2"/>
  <c r="H36" i="2"/>
  <c r="G36" i="2"/>
  <c r="F36" i="2"/>
  <c r="E36" i="2"/>
  <c r="D36" i="2"/>
  <c r="C36" i="2"/>
  <c r="H30" i="2"/>
  <c r="G30" i="2"/>
  <c r="F30" i="2"/>
  <c r="E30" i="2"/>
  <c r="D30" i="2"/>
  <c r="C30" i="2"/>
  <c r="I29" i="2"/>
  <c r="H29" i="2"/>
  <c r="G29" i="2"/>
  <c r="F29" i="2"/>
  <c r="E29" i="2"/>
  <c r="D29" i="2"/>
  <c r="C29" i="2"/>
  <c r="I28" i="2"/>
  <c r="H28" i="2"/>
  <c r="G28" i="2"/>
  <c r="F28" i="2"/>
  <c r="E28" i="2"/>
  <c r="D28" i="2"/>
  <c r="C28" i="2"/>
  <c r="I27" i="2"/>
  <c r="H27" i="2"/>
  <c r="G27" i="2"/>
  <c r="F27" i="2"/>
  <c r="E27" i="2"/>
  <c r="D27" i="2"/>
  <c r="C27" i="2"/>
  <c r="I26" i="2"/>
  <c r="H26" i="2"/>
  <c r="G26" i="2"/>
  <c r="F26" i="2"/>
  <c r="E26" i="2"/>
  <c r="D26" i="2"/>
  <c r="C26" i="2"/>
  <c r="I25" i="2"/>
  <c r="H25" i="2"/>
  <c r="G25" i="2"/>
  <c r="F25" i="2"/>
  <c r="E25" i="2"/>
  <c r="D25" i="2"/>
  <c r="C25" i="2"/>
  <c r="I24" i="2"/>
  <c r="H24" i="2"/>
  <c r="G24" i="2"/>
  <c r="F24" i="2"/>
  <c r="E24" i="2"/>
  <c r="D24" i="2"/>
  <c r="C24" i="2"/>
  <c r="I23" i="2"/>
  <c r="H23" i="2"/>
  <c r="G23" i="2"/>
  <c r="F23" i="2"/>
  <c r="E23" i="2"/>
  <c r="D23" i="2"/>
  <c r="C23" i="2"/>
  <c r="H22" i="2"/>
  <c r="G22" i="2"/>
  <c r="F22" i="2"/>
  <c r="E22" i="2"/>
  <c r="D22" i="2"/>
  <c r="C22" i="2"/>
  <c r="H17" i="2"/>
  <c r="G17" i="2"/>
  <c r="F17" i="2"/>
  <c r="E17" i="2"/>
  <c r="D17" i="2"/>
  <c r="C17" i="2"/>
  <c r="H16" i="2"/>
  <c r="G16" i="2"/>
  <c r="F16" i="2"/>
  <c r="E16" i="2"/>
  <c r="D16" i="2"/>
  <c r="C16" i="2"/>
  <c r="H15" i="2"/>
  <c r="G15" i="2"/>
  <c r="F15" i="2"/>
  <c r="E15" i="2"/>
  <c r="D15" i="2"/>
  <c r="C15" i="2"/>
  <c r="H14" i="2"/>
  <c r="G14" i="2"/>
  <c r="F14" i="2"/>
  <c r="E14" i="2"/>
  <c r="D14" i="2"/>
  <c r="C14" i="2"/>
  <c r="H13" i="2"/>
  <c r="G13" i="2"/>
  <c r="F13" i="2"/>
  <c r="E13" i="2"/>
  <c r="D13" i="2"/>
  <c r="C13" i="2"/>
  <c r="H12" i="2"/>
  <c r="G12" i="2"/>
  <c r="F12" i="2"/>
  <c r="E12" i="2"/>
  <c r="D12" i="2"/>
  <c r="C12" i="2"/>
  <c r="K18" i="10"/>
  <c r="K61" i="10" s="1"/>
  <c r="J18" i="10"/>
  <c r="I18" i="10"/>
  <c r="I61" i="10" s="1"/>
  <c r="K152" i="34" s="1"/>
  <c r="O18" i="11"/>
  <c r="Q83" i="34" s="1"/>
  <c r="N18" i="11"/>
  <c r="P84" i="34" s="1"/>
  <c r="M18" i="11"/>
  <c r="O90" i="34" s="1"/>
  <c r="L18" i="11"/>
  <c r="N83" i="34" s="1"/>
  <c r="K18" i="11"/>
  <c r="K28" i="11" s="1"/>
  <c r="J18" i="11"/>
  <c r="J28" i="11" s="1"/>
  <c r="I18" i="11"/>
  <c r="K83" i="34" s="1"/>
  <c r="I30" i="2"/>
  <c r="O57" i="10"/>
  <c r="O57" i="2" s="1"/>
  <c r="N57" i="10"/>
  <c r="P149" i="34" s="1"/>
  <c r="M57" i="10"/>
  <c r="O146" i="34" s="1"/>
  <c r="L57" i="10"/>
  <c r="K57" i="10"/>
  <c r="J57" i="10"/>
  <c r="I57" i="10"/>
  <c r="I57" i="2" s="1"/>
  <c r="H57" i="10"/>
  <c r="J142" i="34" s="1"/>
  <c r="G57" i="10"/>
  <c r="I148" i="34" s="1"/>
  <c r="F57" i="10"/>
  <c r="H142" i="34" s="1"/>
  <c r="E57" i="10"/>
  <c r="D57" i="10"/>
  <c r="D57" i="2" s="1"/>
  <c r="C57" i="10"/>
  <c r="C57" i="2" s="1"/>
  <c r="H31" i="12"/>
  <c r="J38" i="34" s="1"/>
  <c r="G31" i="12"/>
  <c r="I43" i="34" s="1"/>
  <c r="F31" i="12"/>
  <c r="H39" i="34" s="1"/>
  <c r="E31" i="12"/>
  <c r="G39" i="34" s="1"/>
  <c r="D31" i="12"/>
  <c r="C31" i="12"/>
  <c r="E38" i="34" s="1"/>
  <c r="H31" i="10"/>
  <c r="G31" i="10"/>
  <c r="I135" i="34" s="1"/>
  <c r="F31" i="10"/>
  <c r="H135" i="34" s="1"/>
  <c r="E31" i="10"/>
  <c r="D31" i="10"/>
  <c r="F134" i="34" s="1"/>
  <c r="C31" i="10"/>
  <c r="E134" i="34" s="1"/>
  <c r="H64" i="12"/>
  <c r="J59" i="34" s="1"/>
  <c r="G64" i="12"/>
  <c r="I58" i="34" s="1"/>
  <c r="F64" i="12"/>
  <c r="E64" i="12"/>
  <c r="D64" i="12"/>
  <c r="F59" i="34" s="1"/>
  <c r="C64" i="12"/>
  <c r="E58" i="34" s="1"/>
  <c r="I39" i="12"/>
  <c r="H39" i="12"/>
  <c r="H41" i="12" s="1"/>
  <c r="J65" i="34" s="1"/>
  <c r="G39" i="12"/>
  <c r="G41" i="12"/>
  <c r="F39" i="12"/>
  <c r="E39" i="12"/>
  <c r="G68" i="34" s="1"/>
  <c r="E41" i="12"/>
  <c r="G64" i="34" s="1"/>
  <c r="D39" i="12"/>
  <c r="F72" i="34" s="1"/>
  <c r="C39" i="12"/>
  <c r="E73" i="34" s="1"/>
  <c r="I18" i="12"/>
  <c r="K42" i="34" s="1"/>
  <c r="H18" i="12"/>
  <c r="J36" i="34" s="1"/>
  <c r="G18" i="12"/>
  <c r="G19" i="12" s="1"/>
  <c r="F18" i="12"/>
  <c r="F61" i="12" s="1"/>
  <c r="E18" i="12"/>
  <c r="G41" i="34" s="1"/>
  <c r="E61" i="12"/>
  <c r="D18" i="12"/>
  <c r="F36" i="34" s="1"/>
  <c r="C18" i="12"/>
  <c r="I22" i="2"/>
  <c r="I31" i="12"/>
  <c r="K43" i="34" s="1"/>
  <c r="J39" i="10"/>
  <c r="L162" i="34" s="1"/>
  <c r="I39" i="10"/>
  <c r="I41" i="10" s="1"/>
  <c r="H39" i="10"/>
  <c r="H41" i="10" s="1"/>
  <c r="G39" i="10"/>
  <c r="I168" i="34" s="1"/>
  <c r="F39" i="10"/>
  <c r="E39" i="10"/>
  <c r="E41" i="10" s="1"/>
  <c r="D39" i="10"/>
  <c r="F163" i="34" s="1"/>
  <c r="C39" i="10"/>
  <c r="E170" i="34" s="1"/>
  <c r="I31" i="10"/>
  <c r="H68" i="10"/>
  <c r="I69" i="10" s="1"/>
  <c r="G68" i="10"/>
  <c r="I155" i="34" s="1"/>
  <c r="F68" i="10"/>
  <c r="H154" i="34" s="1"/>
  <c r="E68" i="10"/>
  <c r="G154" i="34" s="1"/>
  <c r="D68" i="10"/>
  <c r="F154" i="34" s="1"/>
  <c r="C68" i="10"/>
  <c r="H68" i="11"/>
  <c r="G68" i="11"/>
  <c r="I101" i="34" s="1"/>
  <c r="F68" i="11"/>
  <c r="H101" i="34" s="1"/>
  <c r="E68" i="11"/>
  <c r="G101" i="34" s="1"/>
  <c r="D68" i="11"/>
  <c r="F101" i="34" s="1"/>
  <c r="C68" i="11"/>
  <c r="E101" i="34" s="1"/>
  <c r="H65" i="11"/>
  <c r="H65" i="10" s="1"/>
  <c r="H64" i="11"/>
  <c r="J106" i="34" s="1"/>
  <c r="G64" i="11"/>
  <c r="G64" i="10" s="1"/>
  <c r="F64" i="11"/>
  <c r="H107" i="34" s="1"/>
  <c r="E64" i="11"/>
  <c r="G107" i="34" s="1"/>
  <c r="D64" i="11"/>
  <c r="D64" i="10" s="1"/>
  <c r="C64" i="11"/>
  <c r="C64" i="10" s="1"/>
  <c r="I31" i="11"/>
  <c r="K86" i="34" s="1"/>
  <c r="H31" i="11"/>
  <c r="J86" i="34" s="1"/>
  <c r="G31" i="11"/>
  <c r="F31" i="11"/>
  <c r="E31" i="11"/>
  <c r="G91" i="34" s="1"/>
  <c r="D31" i="11"/>
  <c r="F91" i="34" s="1"/>
  <c r="C31" i="11"/>
  <c r="H18" i="11"/>
  <c r="H61" i="11" s="1"/>
  <c r="G18" i="11"/>
  <c r="F18" i="11"/>
  <c r="H84" i="34" s="1"/>
  <c r="E18" i="11"/>
  <c r="E61" i="11" s="1"/>
  <c r="D18" i="11"/>
  <c r="C18" i="11"/>
  <c r="G65" i="2"/>
  <c r="G65" i="11"/>
  <c r="I109" i="34" s="1"/>
  <c r="I69" i="2"/>
  <c r="H69" i="2"/>
  <c r="G69" i="2"/>
  <c r="F69" i="2"/>
  <c r="E69" i="2"/>
  <c r="D69" i="2"/>
  <c r="H68" i="12"/>
  <c r="J53" i="34" s="1"/>
  <c r="G68" i="12"/>
  <c r="F68" i="12"/>
  <c r="E68" i="12"/>
  <c r="E69" i="12" s="1"/>
  <c r="D68" i="12"/>
  <c r="C68" i="12"/>
  <c r="H61" i="12"/>
  <c r="J50" i="34" s="1"/>
  <c r="F18" i="10"/>
  <c r="D18" i="10"/>
  <c r="D61" i="10" s="1"/>
  <c r="F152" i="34" s="1"/>
  <c r="H18" i="10"/>
  <c r="J132" i="34" s="1"/>
  <c r="E18" i="10"/>
  <c r="G132" i="34" s="1"/>
  <c r="G65" i="12"/>
  <c r="I62" i="34" s="1"/>
  <c r="G18" i="10"/>
  <c r="G61" i="10" s="1"/>
  <c r="I152" i="34" s="1"/>
  <c r="C18" i="10"/>
  <c r="E132" i="34" s="1"/>
  <c r="O39" i="10"/>
  <c r="Q164" i="34" s="1"/>
  <c r="N39" i="10"/>
  <c r="N41" i="10" s="1"/>
  <c r="P161" i="34" s="1"/>
  <c r="M39" i="10"/>
  <c r="M41" i="10" s="1"/>
  <c r="O160" i="34" s="1"/>
  <c r="L39" i="10"/>
  <c r="L41" i="10" s="1"/>
  <c r="N161" i="34" s="1"/>
  <c r="K39" i="10"/>
  <c r="K41" i="10" s="1"/>
  <c r="M160" i="34" s="1"/>
  <c r="O31" i="10"/>
  <c r="N31" i="10"/>
  <c r="M31" i="10"/>
  <c r="O134" i="34" s="1"/>
  <c r="L31" i="10"/>
  <c r="N134" i="34" s="1"/>
  <c r="K31" i="10"/>
  <c r="J31" i="10"/>
  <c r="L139" i="34" s="1"/>
  <c r="F19" i="45"/>
  <c r="C38" i="35"/>
  <c r="K68" i="10"/>
  <c r="K68" i="11"/>
  <c r="S411" i="34" s="1"/>
  <c r="K69" i="2"/>
  <c r="K68" i="12"/>
  <c r="U69" i="12" s="1"/>
  <c r="N68" i="10"/>
  <c r="P155" i="34" s="1"/>
  <c r="N68" i="12"/>
  <c r="P52" i="34" s="1"/>
  <c r="N69" i="2"/>
  <c r="I19" i="45"/>
  <c r="N68" i="11"/>
  <c r="F38" i="37" s="1"/>
  <c r="F38" i="35"/>
  <c r="V264" i="34" s="1"/>
  <c r="G19" i="45"/>
  <c r="D38" i="35"/>
  <c r="D40" i="35" s="1"/>
  <c r="L68" i="10"/>
  <c r="D92" i="38" s="1"/>
  <c r="T578" i="34" s="1"/>
  <c r="D38" i="38"/>
  <c r="L69" i="2"/>
  <c r="L68" i="11"/>
  <c r="T411" i="34" s="1"/>
  <c r="L68" i="12"/>
  <c r="D92" i="36" s="1"/>
  <c r="T368" i="34" s="1"/>
  <c r="O68" i="11"/>
  <c r="O69" i="2"/>
  <c r="G38" i="35"/>
  <c r="W200" i="34" s="1"/>
  <c r="J19" i="45"/>
  <c r="O68" i="10"/>
  <c r="W516" i="34" s="1"/>
  <c r="J68" i="11"/>
  <c r="L100" i="34" s="1"/>
  <c r="J68" i="12"/>
  <c r="J69" i="12"/>
  <c r="J68" i="10"/>
  <c r="T69" i="10" s="1"/>
  <c r="J69" i="2"/>
  <c r="E38" i="35"/>
  <c r="H19" i="45"/>
  <c r="H20" i="45" s="1"/>
  <c r="M69" i="2"/>
  <c r="M68" i="11"/>
  <c r="E38" i="37" s="1"/>
  <c r="M68" i="10"/>
  <c r="U516" i="34" s="1"/>
  <c r="M68" i="12"/>
  <c r="E92" i="37" s="1"/>
  <c r="U473" i="34" s="1"/>
  <c r="C92" i="35"/>
  <c r="N64" i="12"/>
  <c r="P58" i="34" s="1"/>
  <c r="N64" i="11"/>
  <c r="N64" i="10" s="1"/>
  <c r="L64" i="11"/>
  <c r="L64" i="10" s="1"/>
  <c r="L64" i="12"/>
  <c r="K64" i="12"/>
  <c r="M59" i="34" s="1"/>
  <c r="K64" i="11"/>
  <c r="K64" i="10" s="1"/>
  <c r="J64" i="11"/>
  <c r="J64" i="10" s="1"/>
  <c r="J64" i="12"/>
  <c r="L59" i="34" s="1"/>
  <c r="I64" i="12"/>
  <c r="K59" i="34" s="1"/>
  <c r="I64" i="11"/>
  <c r="I64" i="10" s="1"/>
  <c r="I65" i="11"/>
  <c r="K96" i="34" s="1"/>
  <c r="O64" i="11"/>
  <c r="O64" i="10" s="1"/>
  <c r="M64" i="12"/>
  <c r="O59" i="34" s="1"/>
  <c r="M64" i="11"/>
  <c r="M64" i="10" s="1"/>
  <c r="F145" i="40"/>
  <c r="D146" i="40"/>
  <c r="D146" i="39" s="1"/>
  <c r="J17" i="2"/>
  <c r="F10" i="40"/>
  <c r="D11" i="40"/>
  <c r="D11" i="39" s="1"/>
  <c r="D26" i="40"/>
  <c r="D26" i="39" s="1"/>
  <c r="J38" i="2"/>
  <c r="J36" i="2"/>
  <c r="J13" i="2"/>
  <c r="J16" i="2"/>
  <c r="J15" i="2"/>
  <c r="J14" i="2"/>
  <c r="J12" i="2"/>
  <c r="J18" i="12"/>
  <c r="J61" i="12" s="1"/>
  <c r="T19" i="12"/>
  <c r="J37" i="2"/>
  <c r="J39" i="12"/>
  <c r="M144" i="40"/>
  <c r="M144" i="39" s="1"/>
  <c r="U596" i="34"/>
  <c r="I84" i="39"/>
  <c r="E171" i="40"/>
  <c r="E171" i="39" s="1"/>
  <c r="E32" i="12"/>
  <c r="I125" i="42"/>
  <c r="T458" i="34"/>
  <c r="L8" i="45"/>
  <c r="D19" i="45" s="1"/>
  <c r="J117" i="42"/>
  <c r="G20" i="45"/>
  <c r="J141" i="41"/>
  <c r="J120" i="41"/>
  <c r="I65" i="12"/>
  <c r="K61" i="34" s="1"/>
  <c r="L169" i="34"/>
  <c r="L166" i="34"/>
  <c r="L170" i="34"/>
  <c r="O142" i="34"/>
  <c r="O143" i="34"/>
  <c r="O145" i="34"/>
  <c r="K132" i="34"/>
  <c r="K39" i="34"/>
  <c r="K38" i="34"/>
  <c r="J123" i="41"/>
  <c r="E120" i="42"/>
  <c r="J120" i="42" s="1"/>
  <c r="S566" i="34"/>
  <c r="V461" i="34"/>
  <c r="F89" i="35"/>
  <c r="V251" i="34" s="1"/>
  <c r="J65" i="12"/>
  <c r="M164" i="34"/>
  <c r="M170" i="34"/>
  <c r="M162" i="34"/>
  <c r="M166" i="34"/>
  <c r="M168" i="34"/>
  <c r="M163" i="34"/>
  <c r="M169" i="34"/>
  <c r="E131" i="34"/>
  <c r="F169" i="34"/>
  <c r="G139" i="34"/>
  <c r="J132" i="42"/>
  <c r="E17" i="41"/>
  <c r="V443" i="34"/>
  <c r="T554" i="34"/>
  <c r="J33" i="41"/>
  <c r="G92" i="41"/>
  <c r="G97" i="41" s="1"/>
  <c r="S607" i="34"/>
  <c r="S200" i="34"/>
  <c r="S264" i="34"/>
  <c r="S446" i="34"/>
  <c r="U461" i="34"/>
  <c r="Q134" i="34"/>
  <c r="G138" i="34"/>
  <c r="F19" i="10"/>
  <c r="K41" i="34"/>
  <c r="K35" i="34"/>
  <c r="K36" i="34"/>
  <c r="I61" i="12"/>
  <c r="I66" i="12" s="1"/>
  <c r="H148" i="34"/>
  <c r="H94" i="39"/>
  <c r="L70" i="34"/>
  <c r="O58" i="34"/>
  <c r="E38" i="38"/>
  <c r="U515" i="34" s="1"/>
  <c r="T516" i="34"/>
  <c r="N154" i="34"/>
  <c r="N155" i="34"/>
  <c r="N170" i="34"/>
  <c r="E61" i="10"/>
  <c r="G152" i="34" s="1"/>
  <c r="E53" i="34"/>
  <c r="E52" i="34"/>
  <c r="J155" i="34"/>
  <c r="J154" i="34"/>
  <c r="G164" i="34"/>
  <c r="E42" i="34"/>
  <c r="E74" i="34"/>
  <c r="E70" i="34"/>
  <c r="F58" i="34"/>
  <c r="H139" i="34"/>
  <c r="J43" i="34"/>
  <c r="J39" i="34"/>
  <c r="J148" i="34"/>
  <c r="M84" i="34"/>
  <c r="G120" i="34"/>
  <c r="G116" i="34"/>
  <c r="G122" i="34"/>
  <c r="P118" i="34"/>
  <c r="P121" i="34"/>
  <c r="P122" i="34"/>
  <c r="H70" i="41"/>
  <c r="F97" i="42"/>
  <c r="J130" i="42"/>
  <c r="D70" i="41"/>
  <c r="V566" i="34"/>
  <c r="G146" i="34"/>
  <c r="G149" i="34"/>
  <c r="G142" i="34"/>
  <c r="G145" i="34"/>
  <c r="G143" i="34"/>
  <c r="G148" i="34"/>
  <c r="E57" i="2"/>
  <c r="N150" i="34"/>
  <c r="N133" i="34"/>
  <c r="T264" i="34"/>
  <c r="T200" i="34"/>
  <c r="T199" i="34"/>
  <c r="H168" i="34"/>
  <c r="G59" i="34"/>
  <c r="G58" i="34"/>
  <c r="V545" i="34"/>
  <c r="J117" i="41"/>
  <c r="J119" i="41"/>
  <c r="E119" i="41"/>
  <c r="E125" i="41" s="1"/>
  <c r="J123" i="42"/>
  <c r="L35" i="34"/>
  <c r="L36" i="34"/>
  <c r="L42" i="34"/>
  <c r="U264" i="34"/>
  <c r="U200" i="34"/>
  <c r="U199" i="34"/>
  <c r="I164" i="34"/>
  <c r="T243" i="34"/>
  <c r="J118" i="42"/>
  <c r="K58" i="34"/>
  <c r="S306" i="34"/>
  <c r="M53" i="34"/>
  <c r="F42" i="34"/>
  <c r="I134" i="34"/>
  <c r="M57" i="2"/>
  <c r="L63" i="34"/>
  <c r="M26" i="34"/>
  <c r="K111" i="34"/>
  <c r="K63" i="34"/>
  <c r="L26" i="34"/>
  <c r="K27" i="34"/>
  <c r="K25" i="34"/>
  <c r="N107" i="34"/>
  <c r="C92" i="37"/>
  <c r="S473" i="34" s="1"/>
  <c r="Q168" i="34"/>
  <c r="Q169" i="34"/>
  <c r="H53" i="34"/>
  <c r="E91" i="34"/>
  <c r="H36" i="34"/>
  <c r="E43" i="34"/>
  <c r="E148" i="34"/>
  <c r="E146" i="34"/>
  <c r="E142" i="34"/>
  <c r="E145" i="34"/>
  <c r="E143" i="34"/>
  <c r="E149" i="34"/>
  <c r="P83" i="34"/>
  <c r="T452" i="34"/>
  <c r="V449" i="34"/>
  <c r="E136" i="42"/>
  <c r="U548" i="34"/>
  <c r="N52" i="34"/>
  <c r="N53" i="34"/>
  <c r="M58" i="34"/>
  <c r="M69" i="10"/>
  <c r="O170" i="34"/>
  <c r="O162" i="34"/>
  <c r="O168" i="34"/>
  <c r="O169" i="34"/>
  <c r="O163" i="34"/>
  <c r="O166" i="34"/>
  <c r="O164" i="34"/>
  <c r="F68" i="34"/>
  <c r="K48" i="34"/>
  <c r="L47" i="34"/>
  <c r="K62" i="34"/>
  <c r="L154" i="34"/>
  <c r="J46" i="34"/>
  <c r="I53" i="34"/>
  <c r="I52" i="34"/>
  <c r="G69" i="12"/>
  <c r="I111" i="34"/>
  <c r="I27" i="34"/>
  <c r="J26" i="34"/>
  <c r="J25" i="34"/>
  <c r="I63" i="34"/>
  <c r="F65" i="2"/>
  <c r="I26" i="34" s="1"/>
  <c r="H32" i="10"/>
  <c r="K166" i="34"/>
  <c r="K169" i="34"/>
  <c r="K168" i="34"/>
  <c r="I41" i="34"/>
  <c r="I73" i="34"/>
  <c r="I68" i="34"/>
  <c r="I74" i="34"/>
  <c r="I67" i="34"/>
  <c r="I72" i="34"/>
  <c r="J58" i="34"/>
  <c r="F43" i="34"/>
  <c r="F39" i="34"/>
  <c r="J61" i="34"/>
  <c r="J62" i="34"/>
  <c r="J48" i="34"/>
  <c r="K46" i="34"/>
  <c r="W452" i="34"/>
  <c r="G125" i="42"/>
  <c r="S443" i="34"/>
  <c r="V548" i="34"/>
  <c r="J30" i="41"/>
  <c r="I84" i="34"/>
  <c r="J42" i="34"/>
  <c r="J35" i="34"/>
  <c r="J73" i="34"/>
  <c r="J68" i="34"/>
  <c r="J66" i="34"/>
  <c r="J74" i="34"/>
  <c r="J70" i="34"/>
  <c r="E139" i="34"/>
  <c r="G43" i="34"/>
  <c r="G38" i="34"/>
  <c r="L145" i="34"/>
  <c r="L148" i="34"/>
  <c r="L149" i="34"/>
  <c r="L142" i="34"/>
  <c r="L146" i="34"/>
  <c r="L143" i="34"/>
  <c r="J116" i="34"/>
  <c r="T443" i="34"/>
  <c r="W548" i="34"/>
  <c r="T566" i="34"/>
  <c r="W461" i="34"/>
  <c r="U449" i="34"/>
  <c r="W449" i="34"/>
  <c r="U443" i="34"/>
  <c r="S554" i="34"/>
  <c r="U566" i="34"/>
  <c r="T464" i="34"/>
  <c r="S449" i="34"/>
  <c r="W443" i="34"/>
  <c r="U554" i="34"/>
  <c r="V487" i="34"/>
  <c r="V503" i="34"/>
  <c r="V490" i="34"/>
  <c r="U513" i="34"/>
  <c r="E120" i="34"/>
  <c r="E121" i="34"/>
  <c r="N114" i="34"/>
  <c r="N115" i="34"/>
  <c r="N121" i="34"/>
  <c r="T449" i="34"/>
  <c r="S548" i="34"/>
  <c r="V554" i="34"/>
  <c r="S461" i="34"/>
  <c r="Q150" i="34"/>
  <c r="Q133" i="34"/>
  <c r="J166" i="34"/>
  <c r="J164" i="34"/>
  <c r="J162" i="34"/>
  <c r="G42" i="34"/>
  <c r="G35" i="34"/>
  <c r="G36" i="34"/>
  <c r="G72" i="34"/>
  <c r="G67" i="34"/>
  <c r="G70" i="34"/>
  <c r="G73" i="34"/>
  <c r="G66" i="34"/>
  <c r="G74" i="34"/>
  <c r="J135" i="34"/>
  <c r="J134" i="34"/>
  <c r="J139" i="34"/>
  <c r="J57" i="2"/>
  <c r="I146" i="34"/>
  <c r="Q143" i="34"/>
  <c r="Q145" i="34"/>
  <c r="Q146" i="34"/>
  <c r="Q149" i="34"/>
  <c r="Q142" i="34"/>
  <c r="Q148" i="34"/>
  <c r="F116" i="34"/>
  <c r="J73" i="41"/>
  <c r="T548" i="34"/>
  <c r="W554" i="34"/>
  <c r="U302" i="34"/>
  <c r="V303" i="34"/>
  <c r="V296" i="34"/>
  <c r="T461" i="34"/>
  <c r="M150" i="34"/>
  <c r="M133" i="34"/>
  <c r="S234" i="34"/>
  <c r="W611" i="34"/>
  <c r="T355" i="34"/>
  <c r="I95" i="39"/>
  <c r="W643" i="34"/>
  <c r="S620" i="34"/>
  <c r="S619" i="34"/>
  <c r="T640" i="34"/>
  <c r="U613" i="34"/>
  <c r="U611" i="34"/>
  <c r="V356" i="34"/>
  <c r="V355" i="34"/>
  <c r="W626" i="34"/>
  <c r="S640" i="34"/>
  <c r="V613" i="34"/>
  <c r="V611" i="34"/>
  <c r="S604" i="34"/>
  <c r="U638" i="34"/>
  <c r="S643" i="34"/>
  <c r="T611" i="34"/>
  <c r="T613" i="34"/>
  <c r="S355" i="34"/>
  <c r="S356" i="34"/>
  <c r="W355" i="34"/>
  <c r="W356" i="34"/>
  <c r="V644" i="34"/>
  <c r="W646" i="34"/>
  <c r="W644" i="34"/>
  <c r="J41" i="10"/>
  <c r="L161" i="34" s="1"/>
  <c r="F114" i="41"/>
  <c r="J30" i="2"/>
  <c r="J29" i="2"/>
  <c r="J25" i="2"/>
  <c r="J24" i="2"/>
  <c r="J27" i="2"/>
  <c r="J23" i="2"/>
  <c r="J28" i="12"/>
  <c r="H66" i="12"/>
  <c r="J49" i="34" s="1"/>
  <c r="E19" i="45"/>
  <c r="F20" i="45" s="1"/>
  <c r="L27" i="34"/>
  <c r="T65" i="11"/>
  <c r="S94" i="34" s="1"/>
  <c r="L111" i="34"/>
  <c r="L25" i="34"/>
  <c r="J66" i="12"/>
  <c r="U598" i="34"/>
  <c r="S605" i="34"/>
  <c r="J119" i="42"/>
  <c r="C17" i="35"/>
  <c r="S63" i="34"/>
  <c r="S26" i="34"/>
  <c r="S111" i="34"/>
  <c r="T65" i="12"/>
  <c r="C17" i="36" s="1"/>
  <c r="S25" i="34"/>
  <c r="S27" i="34"/>
  <c r="J75" i="41"/>
  <c r="J65" i="11"/>
  <c r="W234" i="34"/>
  <c r="U569" i="34"/>
  <c r="V464" i="34"/>
  <c r="I25" i="34"/>
  <c r="S243" i="34"/>
  <c r="U514" i="34"/>
  <c r="V569" i="34"/>
  <c r="K49" i="34"/>
  <c r="L48" i="34"/>
  <c r="W545" i="34"/>
  <c r="T563" i="34"/>
  <c r="T446" i="34"/>
  <c r="T560" i="34"/>
  <c r="U458" i="34"/>
  <c r="S464" i="34"/>
  <c r="T440" i="34"/>
  <c r="V604" i="34"/>
  <c r="T467" i="34"/>
  <c r="F175" i="41"/>
  <c r="J22" i="2"/>
  <c r="T240" i="34"/>
  <c r="I70" i="12"/>
  <c r="K57" i="34" s="1"/>
  <c r="S61" i="34"/>
  <c r="S62" i="34"/>
  <c r="M27" i="34"/>
  <c r="M63" i="34"/>
  <c r="C16" i="35"/>
  <c r="S182" i="34" s="1"/>
  <c r="M111" i="34"/>
  <c r="N26" i="34"/>
  <c r="K65" i="11"/>
  <c r="S385" i="34" s="1"/>
  <c r="S183" i="34"/>
  <c r="K65" i="12"/>
  <c r="M48" i="34" s="1"/>
  <c r="M25" i="34"/>
  <c r="T455" i="34"/>
  <c r="T557" i="34"/>
  <c r="U563" i="34"/>
  <c r="S440" i="34"/>
  <c r="S240" i="34"/>
  <c r="T234" i="34"/>
  <c r="S255" i="34"/>
  <c r="N63" i="34"/>
  <c r="L65" i="11"/>
  <c r="T183" i="34"/>
  <c r="N27" i="34"/>
  <c r="D16" i="35"/>
  <c r="D18" i="35" s="1"/>
  <c r="N111" i="34"/>
  <c r="O26" i="34"/>
  <c r="L65" i="12"/>
  <c r="N25" i="34"/>
  <c r="M61" i="34"/>
  <c r="N47" i="34"/>
  <c r="U183" i="34"/>
  <c r="P26" i="34"/>
  <c r="O65" i="2"/>
  <c r="P65" i="2" s="1"/>
  <c r="O111" i="34"/>
  <c r="O63" i="34"/>
  <c r="M65" i="11"/>
  <c r="U385" i="34" s="1"/>
  <c r="O27" i="34"/>
  <c r="E16" i="35"/>
  <c r="M65" i="12"/>
  <c r="E16" i="36" s="1"/>
  <c r="O25" i="34"/>
  <c r="T182" i="34"/>
  <c r="T181" i="34"/>
  <c r="V183" i="34"/>
  <c r="Q26" i="34"/>
  <c r="F16" i="35"/>
  <c r="V181" i="34" s="1"/>
  <c r="P111" i="34"/>
  <c r="P27" i="34"/>
  <c r="N65" i="12"/>
  <c r="P61" i="34" s="1"/>
  <c r="N65" i="11"/>
  <c r="N65" i="10" s="1"/>
  <c r="P63" i="34"/>
  <c r="U182" i="34"/>
  <c r="U181" i="34"/>
  <c r="P25" i="34"/>
  <c r="K17" i="2"/>
  <c r="K52" i="2"/>
  <c r="K38" i="2"/>
  <c r="K36" i="2"/>
  <c r="L17" i="2"/>
  <c r="L52" i="2"/>
  <c r="L38" i="2"/>
  <c r="K39" i="12"/>
  <c r="M68" i="34" s="1"/>
  <c r="K16" i="2"/>
  <c r="K14" i="2"/>
  <c r="M74" i="34"/>
  <c r="M66" i="34"/>
  <c r="M72" i="34"/>
  <c r="M70" i="34"/>
  <c r="M73" i="34"/>
  <c r="M67" i="34"/>
  <c r="M65" i="34"/>
  <c r="K18" i="12"/>
  <c r="M42" i="34" s="1"/>
  <c r="K12" i="2"/>
  <c r="K51" i="2"/>
  <c r="K15" i="2"/>
  <c r="K13" i="2"/>
  <c r="L36" i="2"/>
  <c r="M17" i="2"/>
  <c r="M52" i="2"/>
  <c r="M38" i="2"/>
  <c r="K37" i="2"/>
  <c r="K50" i="2"/>
  <c r="K23" i="2"/>
  <c r="K30" i="2"/>
  <c r="K26" i="2"/>
  <c r="K27" i="2"/>
  <c r="K25" i="2"/>
  <c r="K29" i="2"/>
  <c r="K24" i="2"/>
  <c r="K22" i="2"/>
  <c r="K31" i="12"/>
  <c r="M43" i="34" s="1"/>
  <c r="M36" i="2"/>
  <c r="L39" i="12"/>
  <c r="N72" i="34" s="1"/>
  <c r="L16" i="2"/>
  <c r="L14" i="2"/>
  <c r="L13" i="2"/>
  <c r="L15" i="2"/>
  <c r="L12" i="2"/>
  <c r="L18" i="12"/>
  <c r="M19" i="12" s="1"/>
  <c r="L51" i="2"/>
  <c r="L22" i="2"/>
  <c r="M39" i="12"/>
  <c r="O67" i="34" s="1"/>
  <c r="M16" i="2"/>
  <c r="L24" i="2"/>
  <c r="L29" i="2"/>
  <c r="L27" i="2"/>
  <c r="L23" i="2"/>
  <c r="L30" i="2"/>
  <c r="L26" i="2"/>
  <c r="L25" i="2"/>
  <c r="L37" i="2"/>
  <c r="L50" i="2"/>
  <c r="O74" i="34"/>
  <c r="M15" i="2"/>
  <c r="M13" i="2"/>
  <c r="M18" i="12"/>
  <c r="O36" i="34" s="1"/>
  <c r="M12" i="2"/>
  <c r="M51" i="2"/>
  <c r="L31" i="12"/>
  <c r="N43" i="34" s="1"/>
  <c r="N39" i="34"/>
  <c r="O35" i="34"/>
  <c r="M61" i="12"/>
  <c r="M24" i="2"/>
  <c r="M30" i="2"/>
  <c r="M29" i="2"/>
  <c r="M26" i="2"/>
  <c r="M25" i="2"/>
  <c r="M27" i="2"/>
  <c r="M23" i="2"/>
  <c r="M50" i="2"/>
  <c r="M37" i="2"/>
  <c r="M31" i="12"/>
  <c r="O38" i="34" s="1"/>
  <c r="M22" i="2"/>
  <c r="S342" i="34"/>
  <c r="S237" i="34"/>
  <c r="W255" i="34"/>
  <c r="V255" i="34"/>
  <c r="T342" i="34"/>
  <c r="D84" i="36"/>
  <c r="T340" i="34" s="1"/>
  <c r="F90" i="35"/>
  <c r="W359" i="34"/>
  <c r="L196" i="40" l="1"/>
  <c r="L196" i="39" s="1"/>
  <c r="E84" i="36"/>
  <c r="U341" i="34" s="1"/>
  <c r="V628" i="34"/>
  <c r="M72" i="40"/>
  <c r="M72" i="39" s="1"/>
  <c r="W641" i="34"/>
  <c r="W592" i="34"/>
  <c r="M207" i="40"/>
  <c r="M207" i="39" s="1"/>
  <c r="W652" i="34"/>
  <c r="H35" i="41"/>
  <c r="J31" i="41"/>
  <c r="G65" i="41"/>
  <c r="G70" i="41" s="1"/>
  <c r="J60" i="41"/>
  <c r="S603" i="34"/>
  <c r="S602" i="34"/>
  <c r="T301" i="34"/>
  <c r="S641" i="34"/>
  <c r="S638" i="34"/>
  <c r="W303" i="34"/>
  <c r="S301" i="34"/>
  <c r="V250" i="34"/>
  <c r="U629" i="34"/>
  <c r="H133" i="40"/>
  <c r="H133" i="39" s="1"/>
  <c r="W302" i="34"/>
  <c r="S298" i="34"/>
  <c r="G117" i="40"/>
  <c r="S639" i="34"/>
  <c r="I40" i="40"/>
  <c r="W638" i="34"/>
  <c r="W628" i="34"/>
  <c r="T641" i="34"/>
  <c r="E172" i="40"/>
  <c r="T303" i="34"/>
  <c r="S296" i="34"/>
  <c r="J73" i="36"/>
  <c r="U579" i="34"/>
  <c r="F122" i="34"/>
  <c r="P90" i="34"/>
  <c r="F100" i="34"/>
  <c r="N61" i="11"/>
  <c r="F12" i="37" s="1"/>
  <c r="V377" i="34" s="1"/>
  <c r="O116" i="34"/>
  <c r="P115" i="34"/>
  <c r="O118" i="34"/>
  <c r="L28" i="11"/>
  <c r="L28" i="2" s="1"/>
  <c r="P116" i="34"/>
  <c r="P120" i="34"/>
  <c r="G118" i="34"/>
  <c r="T64" i="10"/>
  <c r="J84" i="34"/>
  <c r="P114" i="34"/>
  <c r="J96" i="34"/>
  <c r="N118" i="34"/>
  <c r="E116" i="34"/>
  <c r="E122" i="34"/>
  <c r="H118" i="34"/>
  <c r="H90" i="34"/>
  <c r="T41" i="11"/>
  <c r="S127" i="34" s="1"/>
  <c r="H114" i="34"/>
  <c r="S120" i="34"/>
  <c r="N116" i="34"/>
  <c r="S122" i="34"/>
  <c r="N73" i="34"/>
  <c r="U300" i="34"/>
  <c r="T298" i="34"/>
  <c r="V298" i="34"/>
  <c r="S297" i="34"/>
  <c r="T297" i="34"/>
  <c r="U297" i="34"/>
  <c r="S300" i="34"/>
  <c r="V297" i="34"/>
  <c r="T296" i="34"/>
  <c r="V302" i="34"/>
  <c r="I42" i="34"/>
  <c r="J47" i="34"/>
  <c r="F74" i="34"/>
  <c r="I59" i="34"/>
  <c r="G53" i="34"/>
  <c r="F69" i="12"/>
  <c r="I65" i="34"/>
  <c r="D32" i="12"/>
  <c r="E39" i="2"/>
  <c r="E41" i="2" s="1"/>
  <c r="N68" i="34"/>
  <c r="N41" i="34"/>
  <c r="O72" i="34"/>
  <c r="U296" i="34"/>
  <c r="V300" i="34"/>
  <c r="T302" i="34"/>
  <c r="S303" i="34"/>
  <c r="S299" i="34"/>
  <c r="V299" i="34"/>
  <c r="W299" i="34"/>
  <c r="S302" i="34"/>
  <c r="T299" i="34"/>
  <c r="W297" i="34"/>
  <c r="F73" i="34"/>
  <c r="G52" i="34"/>
  <c r="G61" i="12"/>
  <c r="G66" i="12" s="1"/>
  <c r="O42" i="34"/>
  <c r="C16" i="36"/>
  <c r="S279" i="34" s="1"/>
  <c r="J51" i="34"/>
  <c r="J26" i="12"/>
  <c r="J26" i="2" s="1"/>
  <c r="T300" i="34"/>
  <c r="W296" i="34"/>
  <c r="U298" i="34"/>
  <c r="W298" i="34"/>
  <c r="U301" i="34"/>
  <c r="V301" i="34"/>
  <c r="W301" i="34"/>
  <c r="U303" i="34"/>
  <c r="W300" i="34"/>
  <c r="U299" i="34"/>
  <c r="J67" i="34"/>
  <c r="J72" i="34"/>
  <c r="J41" i="34"/>
  <c r="F38" i="34"/>
  <c r="I66" i="34"/>
  <c r="I70" i="34"/>
  <c r="I61" i="34"/>
  <c r="D41" i="12"/>
  <c r="F64" i="34" s="1"/>
  <c r="I19" i="12"/>
  <c r="F35" i="34"/>
  <c r="E92" i="35"/>
  <c r="U263" i="34" s="1"/>
  <c r="U306" i="34"/>
  <c r="I39" i="34"/>
  <c r="J19" i="12"/>
  <c r="T69" i="12"/>
  <c r="D69" i="12"/>
  <c r="S38" i="34"/>
  <c r="J17" i="41"/>
  <c r="V629" i="34"/>
  <c r="P162" i="34"/>
  <c r="T250" i="34"/>
  <c r="T251" i="34"/>
  <c r="T605" i="34"/>
  <c r="U644" i="34"/>
  <c r="T638" i="34"/>
  <c r="V640" i="34"/>
  <c r="T356" i="34"/>
  <c r="F203" i="40"/>
  <c r="E26" i="40"/>
  <c r="E36" i="40" s="1"/>
  <c r="I96" i="40"/>
  <c r="I96" i="39" s="1"/>
  <c r="T631" i="34"/>
  <c r="M79" i="40"/>
  <c r="M79" i="39" s="1"/>
  <c r="V638" i="34"/>
  <c r="J16" i="40"/>
  <c r="J16" i="39" s="1"/>
  <c r="W608" i="34"/>
  <c r="M95" i="40"/>
  <c r="M95" i="39" s="1"/>
  <c r="U631" i="34"/>
  <c r="V641" i="34"/>
  <c r="V626" i="34"/>
  <c r="M46" i="40"/>
  <c r="M46" i="39" s="1"/>
  <c r="H211" i="40"/>
  <c r="H211" i="39" s="1"/>
  <c r="K196" i="40"/>
  <c r="K196" i="39" s="1"/>
  <c r="G96" i="40"/>
  <c r="G96" i="39" s="1"/>
  <c r="M186" i="40"/>
  <c r="M186" i="39" s="1"/>
  <c r="D190" i="40"/>
  <c r="D190" i="39" s="1"/>
  <c r="M169" i="40"/>
  <c r="M169" i="39" s="1"/>
  <c r="D107" i="40"/>
  <c r="D108" i="40" s="1"/>
  <c r="J211" i="40"/>
  <c r="J211" i="39" s="1"/>
  <c r="U641" i="34"/>
  <c r="T629" i="34"/>
  <c r="T646" i="34"/>
  <c r="E89" i="35"/>
  <c r="U251" i="34" s="1"/>
  <c r="U356" i="34"/>
  <c r="U643" i="34"/>
  <c r="G82" i="39"/>
  <c r="I119" i="40"/>
  <c r="D85" i="40"/>
  <c r="D85" i="39" s="1"/>
  <c r="W604" i="34" s="1"/>
  <c r="M187" i="40"/>
  <c r="M187" i="39" s="1"/>
  <c r="M94" i="40"/>
  <c r="M94" i="39" s="1"/>
  <c r="U640" i="34"/>
  <c r="T644" i="34"/>
  <c r="W640" i="34"/>
  <c r="H39" i="40"/>
  <c r="D96" i="40"/>
  <c r="D96" i="39" s="1"/>
  <c r="G211" i="40"/>
  <c r="G211" i="39" s="1"/>
  <c r="M206" i="40"/>
  <c r="M206" i="39" s="1"/>
  <c r="D125" i="42"/>
  <c r="E125" i="42"/>
  <c r="T505" i="34"/>
  <c r="W487" i="34"/>
  <c r="U503" i="34"/>
  <c r="U605" i="34"/>
  <c r="J58" i="41"/>
  <c r="S666" i="34"/>
  <c r="D63" i="41"/>
  <c r="D147" i="41"/>
  <c r="J51" i="41"/>
  <c r="H96" i="40"/>
  <c r="H96" i="39" s="1"/>
  <c r="I134" i="40"/>
  <c r="I135" i="40" s="1"/>
  <c r="I135" i="39" s="1"/>
  <c r="S251" i="34"/>
  <c r="M145" i="40"/>
  <c r="F145" i="39"/>
  <c r="F196" i="40"/>
  <c r="F196" i="39" s="1"/>
  <c r="F186" i="39"/>
  <c r="D71" i="39"/>
  <c r="M188" i="40"/>
  <c r="M188" i="39" s="1"/>
  <c r="D188" i="39"/>
  <c r="H131" i="39"/>
  <c r="H118" i="40"/>
  <c r="F146" i="40"/>
  <c r="J136" i="40"/>
  <c r="J141" i="40" s="1"/>
  <c r="D74" i="40"/>
  <c r="D205" i="40"/>
  <c r="F11" i="40"/>
  <c r="F10" i="39"/>
  <c r="F116" i="40"/>
  <c r="F115" i="39"/>
  <c r="G196" i="40"/>
  <c r="G196" i="39" s="1"/>
  <c r="D135" i="40"/>
  <c r="D135" i="39" s="1"/>
  <c r="D133" i="39"/>
  <c r="M189" i="40"/>
  <c r="M189" i="39" s="1"/>
  <c r="D189" i="39"/>
  <c r="M230" i="40"/>
  <c r="M230" i="39" s="1"/>
  <c r="D230" i="39"/>
  <c r="E146" i="40"/>
  <c r="M193" i="40"/>
  <c r="M193" i="39" s="1"/>
  <c r="I211" i="40"/>
  <c r="I211" i="39" s="1"/>
  <c r="I201" i="39"/>
  <c r="G131" i="39"/>
  <c r="M125" i="39"/>
  <c r="M191" i="40"/>
  <c r="M191" i="39" s="1"/>
  <c r="M204" i="40"/>
  <c r="M204" i="39" s="1"/>
  <c r="D204" i="39"/>
  <c r="M233" i="40"/>
  <c r="M233" i="39" s="1"/>
  <c r="F237" i="40"/>
  <c r="F237" i="39" s="1"/>
  <c r="I90" i="35"/>
  <c r="K237" i="39"/>
  <c r="T341" i="34"/>
  <c r="I41" i="40"/>
  <c r="I40" i="39"/>
  <c r="E175" i="40"/>
  <c r="E175" i="39" s="1"/>
  <c r="E172" i="39"/>
  <c r="S252" i="34" s="1"/>
  <c r="E116" i="40"/>
  <c r="E202" i="40"/>
  <c r="C84" i="36"/>
  <c r="E107" i="39"/>
  <c r="I196" i="40"/>
  <c r="I196" i="39" s="1"/>
  <c r="I237" i="40"/>
  <c r="I231" i="39"/>
  <c r="F141" i="40"/>
  <c r="F131" i="39"/>
  <c r="L18" i="40"/>
  <c r="L18" i="39" s="1"/>
  <c r="K211" i="40"/>
  <c r="K211" i="39" s="1"/>
  <c r="K205" i="39"/>
  <c r="J90" i="35"/>
  <c r="L237" i="39"/>
  <c r="L180" i="40"/>
  <c r="D180" i="39"/>
  <c r="H74" i="40"/>
  <c r="H72" i="39"/>
  <c r="M84" i="40"/>
  <c r="M84" i="39" s="1"/>
  <c r="I102" i="40"/>
  <c r="I102" i="39" s="1"/>
  <c r="M203" i="40"/>
  <c r="M203" i="39" s="1"/>
  <c r="M171" i="40"/>
  <c r="M171" i="39" s="1"/>
  <c r="I85" i="40"/>
  <c r="E21" i="40"/>
  <c r="G132" i="40"/>
  <c r="F26" i="40"/>
  <c r="F25" i="39"/>
  <c r="M116" i="40"/>
  <c r="M116" i="39" s="1"/>
  <c r="M113" i="39"/>
  <c r="E196" i="40"/>
  <c r="E196" i="39" s="1"/>
  <c r="E186" i="39"/>
  <c r="H196" i="40"/>
  <c r="H196" i="39" s="1"/>
  <c r="M229" i="40"/>
  <c r="M229" i="39" s="1"/>
  <c r="J196" i="40"/>
  <c r="J196" i="39" s="1"/>
  <c r="I131" i="39"/>
  <c r="E141" i="40"/>
  <c r="E131" i="39"/>
  <c r="L211" i="40"/>
  <c r="L211" i="39" s="1"/>
  <c r="L205" i="39"/>
  <c r="M201" i="40"/>
  <c r="M201" i="39" s="1"/>
  <c r="M199" i="39"/>
  <c r="M234" i="40"/>
  <c r="M234" i="39" s="1"/>
  <c r="E237" i="40"/>
  <c r="H237" i="40"/>
  <c r="H231" i="39"/>
  <c r="K179" i="40"/>
  <c r="D179" i="39"/>
  <c r="M194" i="40"/>
  <c r="M194" i="39" s="1"/>
  <c r="D194" i="39"/>
  <c r="M195" i="40"/>
  <c r="M195" i="39" s="1"/>
  <c r="D195" i="39"/>
  <c r="M192" i="40"/>
  <c r="M192" i="39" s="1"/>
  <c r="D192" i="39"/>
  <c r="M235" i="40"/>
  <c r="M235" i="39" s="1"/>
  <c r="D235" i="39"/>
  <c r="M236" i="40"/>
  <c r="M236" i="39" s="1"/>
  <c r="M232" i="40"/>
  <c r="D232" i="39"/>
  <c r="M139" i="40"/>
  <c r="D136" i="39"/>
  <c r="K137" i="40"/>
  <c r="D137" i="39"/>
  <c r="M140" i="40"/>
  <c r="M140" i="39" s="1"/>
  <c r="M165" i="40"/>
  <c r="M165" i="39" s="1"/>
  <c r="L163" i="40"/>
  <c r="L163" i="39" s="1"/>
  <c r="D163" i="39"/>
  <c r="M164" i="40"/>
  <c r="M164" i="39" s="1"/>
  <c r="K162" i="40"/>
  <c r="K162" i="39" s="1"/>
  <c r="D162" i="39"/>
  <c r="U610" i="34" s="1"/>
  <c r="K126" i="40"/>
  <c r="K122" i="39"/>
  <c r="M124" i="39"/>
  <c r="Q170" i="34"/>
  <c r="Q163" i="34"/>
  <c r="O41" i="10"/>
  <c r="Q160" i="34" s="1"/>
  <c r="J109" i="34"/>
  <c r="H116" i="34"/>
  <c r="H115" i="34"/>
  <c r="S405" i="34"/>
  <c r="H83" i="34"/>
  <c r="S84" i="34"/>
  <c r="S118" i="34"/>
  <c r="T61" i="11"/>
  <c r="T66" i="11" s="1"/>
  <c r="S99" i="34" s="1"/>
  <c r="K95" i="34"/>
  <c r="H122" i="34"/>
  <c r="H120" i="34"/>
  <c r="U406" i="34"/>
  <c r="J110" i="34"/>
  <c r="H121" i="34"/>
  <c r="L31" i="11"/>
  <c r="N86" i="34" s="1"/>
  <c r="S115" i="34"/>
  <c r="N88" i="34"/>
  <c r="E100" i="34"/>
  <c r="D69" i="11"/>
  <c r="M120" i="34"/>
  <c r="O84" i="34"/>
  <c r="F64" i="10"/>
  <c r="L21" i="40"/>
  <c r="M19" i="40"/>
  <c r="K17" i="40"/>
  <c r="D17" i="39"/>
  <c r="W631" i="34"/>
  <c r="V631" i="34"/>
  <c r="L77" i="40"/>
  <c r="K76" i="40"/>
  <c r="K80" i="40" s="1"/>
  <c r="K80" i="39" s="1"/>
  <c r="D98" i="39"/>
  <c r="M101" i="39"/>
  <c r="D99" i="39"/>
  <c r="J86" i="40"/>
  <c r="D86" i="39"/>
  <c r="M90" i="40"/>
  <c r="M90" i="39" s="1"/>
  <c r="K87" i="40"/>
  <c r="D87" i="39"/>
  <c r="M89" i="40"/>
  <c r="D89" i="39"/>
  <c r="L88" i="40"/>
  <c r="D88" i="39"/>
  <c r="J75" i="40"/>
  <c r="M78" i="40"/>
  <c r="W629" i="34"/>
  <c r="L44" i="40"/>
  <c r="J42" i="40"/>
  <c r="D42" i="39"/>
  <c r="K43" i="40"/>
  <c r="D43" i="39"/>
  <c r="M45" i="40"/>
  <c r="D45" i="39"/>
  <c r="L66" i="34"/>
  <c r="L68" i="34"/>
  <c r="L73" i="34"/>
  <c r="J41" i="12"/>
  <c r="L64" i="34" s="1"/>
  <c r="L67" i="34"/>
  <c r="L72" i="34"/>
  <c r="N59" i="34"/>
  <c r="N58" i="34"/>
  <c r="S263" i="34"/>
  <c r="S262" i="34"/>
  <c r="S74" i="34"/>
  <c r="S65" i="34"/>
  <c r="S67" i="34"/>
  <c r="S73" i="34"/>
  <c r="S64" i="34"/>
  <c r="S66" i="34"/>
  <c r="S68" i="34"/>
  <c r="U198" i="34"/>
  <c r="U274" i="34"/>
  <c r="E33" i="36"/>
  <c r="K61" i="12"/>
  <c r="S295" i="34" s="1"/>
  <c r="H69" i="12"/>
  <c r="L74" i="34"/>
  <c r="H38" i="34"/>
  <c r="I50" i="34"/>
  <c r="L58" i="34"/>
  <c r="O41" i="34"/>
  <c r="O43" i="34"/>
  <c r="O70" i="34"/>
  <c r="O68" i="34"/>
  <c r="O65" i="34"/>
  <c r="K51" i="34"/>
  <c r="I67" i="12"/>
  <c r="K56" i="34"/>
  <c r="C4" i="48"/>
  <c r="C4" i="49"/>
  <c r="C4" i="40"/>
  <c r="S72" i="34"/>
  <c r="O39" i="34"/>
  <c r="F52" i="34"/>
  <c r="F53" i="34"/>
  <c r="J52" i="34"/>
  <c r="I69" i="12"/>
  <c r="E35" i="34"/>
  <c r="C61" i="12"/>
  <c r="E36" i="34"/>
  <c r="E41" i="34"/>
  <c r="D19" i="12"/>
  <c r="H41" i="34"/>
  <c r="H35" i="34"/>
  <c r="H42" i="34"/>
  <c r="C41" i="12"/>
  <c r="E66" i="34"/>
  <c r="E68" i="34"/>
  <c r="E67" i="34"/>
  <c r="E72" i="34"/>
  <c r="E65" i="34"/>
  <c r="E64" i="34"/>
  <c r="H67" i="34"/>
  <c r="H72" i="34"/>
  <c r="H74" i="34"/>
  <c r="F39" i="2"/>
  <c r="H68" i="34"/>
  <c r="H70" i="34"/>
  <c r="H66" i="34"/>
  <c r="F41" i="12"/>
  <c r="H73" i="34"/>
  <c r="K70" i="34"/>
  <c r="K73" i="34"/>
  <c r="H59" i="34"/>
  <c r="H58" i="34"/>
  <c r="S70" i="34"/>
  <c r="I36" i="34"/>
  <c r="I48" i="34"/>
  <c r="E92" i="36"/>
  <c r="F70" i="34"/>
  <c r="F67" i="34"/>
  <c r="T306" i="34"/>
  <c r="E39" i="34"/>
  <c r="D61" i="12"/>
  <c r="F41" i="34"/>
  <c r="E38" i="36"/>
  <c r="E40" i="36" s="1"/>
  <c r="D38" i="36"/>
  <c r="E59" i="34"/>
  <c r="H19" i="12"/>
  <c r="D92" i="35"/>
  <c r="E19" i="12"/>
  <c r="C3" i="48"/>
  <c r="C3" i="49"/>
  <c r="C5" i="49"/>
  <c r="C5" i="48"/>
  <c r="S48" i="34"/>
  <c r="K50" i="34"/>
  <c r="U262" i="34"/>
  <c r="N64" i="34"/>
  <c r="H70" i="12"/>
  <c r="J57" i="34" s="1"/>
  <c r="J56" i="34"/>
  <c r="G65" i="34"/>
  <c r="I64" i="34"/>
  <c r="I35" i="34"/>
  <c r="C38" i="36"/>
  <c r="F66" i="34"/>
  <c r="H52" i="34"/>
  <c r="M52" i="34"/>
  <c r="L53" i="34"/>
  <c r="I32" i="12"/>
  <c r="I38" i="34"/>
  <c r="F19" i="12"/>
  <c r="P59" i="34"/>
  <c r="S59" i="34"/>
  <c r="U280" i="34"/>
  <c r="U278" i="34"/>
  <c r="E18" i="36"/>
  <c r="L69" i="12"/>
  <c r="V69" i="12"/>
  <c r="S53" i="34"/>
  <c r="L69" i="11"/>
  <c r="S181" i="34"/>
  <c r="C39" i="36"/>
  <c r="V199" i="34"/>
  <c r="V200" i="34"/>
  <c r="G38" i="38"/>
  <c r="W579" i="34" s="1"/>
  <c r="Q59" i="34"/>
  <c r="F38" i="36"/>
  <c r="V304" i="34" s="1"/>
  <c r="P53" i="34"/>
  <c r="G92" i="37"/>
  <c r="W473" i="34" s="1"/>
  <c r="P154" i="34"/>
  <c r="Q154" i="34"/>
  <c r="Q155" i="34"/>
  <c r="W264" i="34"/>
  <c r="W199" i="34"/>
  <c r="J20" i="45"/>
  <c r="F16" i="36"/>
  <c r="V279" i="34" s="1"/>
  <c r="Q47" i="34"/>
  <c r="P62" i="34"/>
  <c r="V280" i="34"/>
  <c r="F16" i="37"/>
  <c r="V384" i="34" s="1"/>
  <c r="P48" i="34"/>
  <c r="G38" i="36"/>
  <c r="G92" i="35"/>
  <c r="Q52" i="34"/>
  <c r="Q53" i="34"/>
  <c r="G92" i="36"/>
  <c r="W368" i="34" s="1"/>
  <c r="V182" i="34"/>
  <c r="Q25" i="34"/>
  <c r="G16" i="35"/>
  <c r="Q27" i="34"/>
  <c r="S41" i="34"/>
  <c r="S36" i="34"/>
  <c r="N103" i="46"/>
  <c r="N161" i="46" s="1"/>
  <c r="N160" i="46" s="1"/>
  <c r="M210" i="39"/>
  <c r="D210" i="39"/>
  <c r="M209" i="40"/>
  <c r="D209" i="39"/>
  <c r="M208" i="39"/>
  <c r="D208" i="39"/>
  <c r="S611" i="34"/>
  <c r="V253" i="34"/>
  <c r="U602" i="34"/>
  <c r="T608" i="34"/>
  <c r="S458" i="34"/>
  <c r="H135" i="40"/>
  <c r="H135" i="39" s="1"/>
  <c r="U294" i="34"/>
  <c r="N38" i="34"/>
  <c r="O64" i="34"/>
  <c r="N74" i="34"/>
  <c r="M64" i="34"/>
  <c r="Q63" i="34"/>
  <c r="E16" i="37"/>
  <c r="U384" i="34" s="1"/>
  <c r="P46" i="34"/>
  <c r="S278" i="34"/>
  <c r="S280" i="34"/>
  <c r="E65" i="2"/>
  <c r="J92" i="36"/>
  <c r="J92" i="37"/>
  <c r="J92" i="35"/>
  <c r="J38" i="36"/>
  <c r="D16" i="37"/>
  <c r="T383" i="34" s="1"/>
  <c r="N48" i="34"/>
  <c r="L56" i="34"/>
  <c r="J70" i="12"/>
  <c r="L55" i="34" s="1"/>
  <c r="L50" i="34"/>
  <c r="L61" i="34"/>
  <c r="M47" i="34"/>
  <c r="V254" i="34"/>
  <c r="L32" i="12"/>
  <c r="N70" i="34"/>
  <c r="O48" i="34"/>
  <c r="O47" i="34"/>
  <c r="M46" i="34"/>
  <c r="F65" i="12"/>
  <c r="G38" i="40"/>
  <c r="G38" i="39" s="1"/>
  <c r="D41" i="40"/>
  <c r="S631" i="34"/>
  <c r="S629" i="34"/>
  <c r="L138" i="40"/>
  <c r="U295" i="34"/>
  <c r="O73" i="34"/>
  <c r="N65" i="34"/>
  <c r="U279" i="34"/>
  <c r="P47" i="34"/>
  <c r="O65" i="12"/>
  <c r="N61" i="34"/>
  <c r="I71" i="12"/>
  <c r="K55" i="34"/>
  <c r="L40" i="34"/>
  <c r="C18" i="35"/>
  <c r="T231" i="34"/>
  <c r="N35" i="34"/>
  <c r="M39" i="34"/>
  <c r="W183" i="34"/>
  <c r="O46" i="34"/>
  <c r="D16" i="36"/>
  <c r="H27" i="34"/>
  <c r="H63" i="34"/>
  <c r="F65" i="11"/>
  <c r="H96" i="34" s="1"/>
  <c r="F75" i="42"/>
  <c r="J74" i="42"/>
  <c r="H97" i="42"/>
  <c r="V359" i="34"/>
  <c r="L61" i="12"/>
  <c r="T274" i="34" s="1"/>
  <c r="O50" i="34"/>
  <c r="M66" i="12"/>
  <c r="O49" i="34" s="1"/>
  <c r="U277" i="34"/>
  <c r="O66" i="34"/>
  <c r="N42" i="34"/>
  <c r="M38" i="34"/>
  <c r="N67" i="34"/>
  <c r="Q111" i="34"/>
  <c r="N62" i="34"/>
  <c r="N46" i="34"/>
  <c r="M62" i="34"/>
  <c r="C18" i="36"/>
  <c r="H111" i="34"/>
  <c r="W569" i="34"/>
  <c r="M126" i="40"/>
  <c r="M126" i="39" s="1"/>
  <c r="E175" i="41"/>
  <c r="C5" i="42"/>
  <c r="U512" i="34"/>
  <c r="S485" i="34"/>
  <c r="W513" i="34"/>
  <c r="W490" i="34"/>
  <c r="V511" i="34"/>
  <c r="V509" i="34"/>
  <c r="T507" i="34"/>
  <c r="U511" i="34"/>
  <c r="U506" i="34"/>
  <c r="S504" i="34"/>
  <c r="V486" i="34"/>
  <c r="V512" i="34"/>
  <c r="S510" i="34"/>
  <c r="U485" i="34"/>
  <c r="O62" i="34"/>
  <c r="P65" i="11"/>
  <c r="H16" i="35"/>
  <c r="Q65" i="2"/>
  <c r="P65" i="12"/>
  <c r="J135" i="41"/>
  <c r="J161" i="41"/>
  <c r="T280" i="34"/>
  <c r="L49" i="34"/>
  <c r="L51" i="34"/>
  <c r="M32" i="12"/>
  <c r="N66" i="34"/>
  <c r="O65" i="11"/>
  <c r="O65" i="10" s="1"/>
  <c r="O61" i="34"/>
  <c r="L62" i="34"/>
  <c r="L46" i="34"/>
  <c r="T47" i="34"/>
  <c r="T46" i="34"/>
  <c r="S46" i="34"/>
  <c r="J67" i="12"/>
  <c r="J64" i="34"/>
  <c r="T514" i="34"/>
  <c r="D40" i="38"/>
  <c r="D104" i="42" s="1"/>
  <c r="H104" i="42" s="1"/>
  <c r="K72" i="34"/>
  <c r="K67" i="34"/>
  <c r="T95" i="34"/>
  <c r="T94" i="34"/>
  <c r="F32" i="12"/>
  <c r="F65" i="34"/>
  <c r="N69" i="12"/>
  <c r="M101" i="34"/>
  <c r="N106" i="34"/>
  <c r="O155" i="34"/>
  <c r="V306" i="34"/>
  <c r="K66" i="34"/>
  <c r="G32" i="12"/>
  <c r="H164" i="34"/>
  <c r="F41" i="10"/>
  <c r="H161" i="34" s="1"/>
  <c r="H32" i="12"/>
  <c r="J161" i="40"/>
  <c r="J161" i="39" s="1"/>
  <c r="O161" i="46"/>
  <c r="H43" i="34"/>
  <c r="K74" i="34"/>
  <c r="K69" i="12"/>
  <c r="M172" i="40"/>
  <c r="M172" i="39" s="1"/>
  <c r="G89" i="35"/>
  <c r="F73" i="36"/>
  <c r="D176" i="40"/>
  <c r="D176" i="39" s="1"/>
  <c r="F92" i="35"/>
  <c r="I41" i="12"/>
  <c r="K65" i="34" s="1"/>
  <c r="K68" i="34"/>
  <c r="F92" i="36"/>
  <c r="O69" i="12"/>
  <c r="E17" i="42"/>
  <c r="D120" i="40"/>
  <c r="D120" i="39" s="1"/>
  <c r="F92" i="37"/>
  <c r="V473" i="34" s="1"/>
  <c r="J34" i="41"/>
  <c r="H121" i="42"/>
  <c r="H125" i="42" s="1"/>
  <c r="O53" i="34"/>
  <c r="H132" i="34"/>
  <c r="F61" i="10"/>
  <c r="H152" i="34" s="1"/>
  <c r="H69" i="36"/>
  <c r="R160" i="46"/>
  <c r="F132" i="34"/>
  <c r="M69" i="12"/>
  <c r="L52" i="34"/>
  <c r="G131" i="34"/>
  <c r="O52" i="34"/>
  <c r="D92" i="37"/>
  <c r="T473" i="34" s="1"/>
  <c r="S231" i="34"/>
  <c r="I20" i="45"/>
  <c r="C40" i="35"/>
  <c r="S199" i="34"/>
  <c r="Q160" i="46"/>
  <c r="G69" i="36"/>
  <c r="E160" i="46"/>
  <c r="E161" i="46" s="1"/>
  <c r="D56" i="41"/>
  <c r="D147" i="42"/>
  <c r="C39" i="37"/>
  <c r="T61" i="12"/>
  <c r="I73" i="36"/>
  <c r="J42" i="42"/>
  <c r="H147" i="42"/>
  <c r="M103" i="46"/>
  <c r="M161" i="46" s="1"/>
  <c r="M160" i="46" s="1"/>
  <c r="N143" i="34"/>
  <c r="D24" i="38"/>
  <c r="L61" i="11"/>
  <c r="D12" i="37" s="1"/>
  <c r="T438" i="34" s="1"/>
  <c r="U19" i="11"/>
  <c r="J100" i="42"/>
  <c r="J102" i="42" s="1"/>
  <c r="J136" i="42"/>
  <c r="C92" i="36"/>
  <c r="T28" i="11"/>
  <c r="S146" i="34"/>
  <c r="E181" i="40"/>
  <c r="E181" i="39" s="1"/>
  <c r="G97" i="42"/>
  <c r="S35" i="34"/>
  <c r="P69" i="12"/>
  <c r="H92" i="35"/>
  <c r="H92" i="37"/>
  <c r="J147" i="42"/>
  <c r="I38" i="36"/>
  <c r="I92" i="35"/>
  <c r="I92" i="37"/>
  <c r="J113" i="41"/>
  <c r="W563" i="34"/>
  <c r="H147" i="41"/>
  <c r="U608" i="34"/>
  <c r="I35" i="41"/>
  <c r="J67" i="41"/>
  <c r="I70" i="41"/>
  <c r="J147" i="41"/>
  <c r="J97" i="41"/>
  <c r="H63" i="41"/>
  <c r="U243" i="34"/>
  <c r="I17" i="41"/>
  <c r="V605" i="34"/>
  <c r="V607" i="34"/>
  <c r="H56" i="41"/>
  <c r="J52" i="41"/>
  <c r="I49" i="42"/>
  <c r="J136" i="41"/>
  <c r="J121" i="41"/>
  <c r="J95" i="42"/>
  <c r="J97" i="42" s="1"/>
  <c r="J55" i="41"/>
  <c r="E142" i="42"/>
  <c r="I122" i="41"/>
  <c r="D97" i="41"/>
  <c r="D125" i="41"/>
  <c r="D97" i="42"/>
  <c r="D136" i="42"/>
  <c r="J32" i="41"/>
  <c r="D35" i="41"/>
  <c r="J59" i="41"/>
  <c r="I94" i="42"/>
  <c r="D136" i="41"/>
  <c r="J162" i="42"/>
  <c r="I53" i="41"/>
  <c r="J53" i="41" s="1"/>
  <c r="J48" i="42"/>
  <c r="J161" i="42"/>
  <c r="I39" i="42"/>
  <c r="L103" i="46"/>
  <c r="L161" i="46" s="1"/>
  <c r="L160" i="46" s="1"/>
  <c r="G30" i="40"/>
  <c r="M19" i="45"/>
  <c r="L19" i="45"/>
  <c r="D40" i="36"/>
  <c r="C38" i="37"/>
  <c r="S472" i="34" s="1"/>
  <c r="U69" i="11"/>
  <c r="P19" i="10"/>
  <c r="Q132" i="34"/>
  <c r="Q138" i="34"/>
  <c r="Q131" i="34"/>
  <c r="P133" i="34"/>
  <c r="G69" i="10"/>
  <c r="G162" i="34"/>
  <c r="H143" i="34"/>
  <c r="J169" i="34"/>
  <c r="P150" i="34"/>
  <c r="Q166" i="34"/>
  <c r="I139" i="34"/>
  <c r="G170" i="34"/>
  <c r="N163" i="34"/>
  <c r="H146" i="34"/>
  <c r="G137" i="34"/>
  <c r="S138" i="34"/>
  <c r="H145" i="34"/>
  <c r="C38" i="38"/>
  <c r="U69" i="10"/>
  <c r="T19" i="10"/>
  <c r="S131" i="34"/>
  <c r="J163" i="34"/>
  <c r="F131" i="34"/>
  <c r="H134" i="34"/>
  <c r="N169" i="34"/>
  <c r="H149" i="34"/>
  <c r="S132" i="34"/>
  <c r="F155" i="34"/>
  <c r="F57" i="2"/>
  <c r="N168" i="34"/>
  <c r="N18" i="10"/>
  <c r="P137" i="34" s="1"/>
  <c r="J170" i="34"/>
  <c r="E135" i="34"/>
  <c r="I154" i="34"/>
  <c r="Q162" i="34"/>
  <c r="K142" i="34"/>
  <c r="H69" i="10"/>
  <c r="G166" i="34"/>
  <c r="N166" i="34"/>
  <c r="P148" i="34"/>
  <c r="F31" i="2"/>
  <c r="H18" i="34" s="1"/>
  <c r="N164" i="34"/>
  <c r="J168" i="34"/>
  <c r="K145" i="34"/>
  <c r="L69" i="10"/>
  <c r="G169" i="34"/>
  <c r="N162" i="34"/>
  <c r="Q161" i="34"/>
  <c r="G31" i="2"/>
  <c r="I22" i="34" s="1"/>
  <c r="D69" i="10"/>
  <c r="T18" i="2"/>
  <c r="S21" i="34" s="1"/>
  <c r="M139" i="34"/>
  <c r="U32" i="10"/>
  <c r="L19" i="12"/>
  <c r="N36" i="34"/>
  <c r="K66" i="12"/>
  <c r="M49" i="34" s="1"/>
  <c r="S274" i="34"/>
  <c r="M36" i="34"/>
  <c r="S198" i="34"/>
  <c r="M50" i="34"/>
  <c r="S277" i="34"/>
  <c r="M35" i="34"/>
  <c r="N90" i="34"/>
  <c r="O61" i="10"/>
  <c r="E12" i="36"/>
  <c r="C33" i="36"/>
  <c r="M41" i="34"/>
  <c r="C12" i="36"/>
  <c r="K19" i="12"/>
  <c r="R69" i="12"/>
  <c r="Q69" i="12"/>
  <c r="H92" i="36"/>
  <c r="I92" i="36"/>
  <c r="C24" i="38"/>
  <c r="S143" i="34"/>
  <c r="S142" i="34"/>
  <c r="T41" i="10"/>
  <c r="S149" i="34"/>
  <c r="S145" i="34"/>
  <c r="T57" i="2"/>
  <c r="P164" i="34"/>
  <c r="J143" i="34"/>
  <c r="G135" i="34"/>
  <c r="K131" i="34"/>
  <c r="S137" i="34"/>
  <c r="P166" i="34"/>
  <c r="J145" i="34"/>
  <c r="G134" i="34"/>
  <c r="K138" i="34"/>
  <c r="P170" i="34"/>
  <c r="O148" i="34"/>
  <c r="M18" i="10"/>
  <c r="O131" i="34" s="1"/>
  <c r="S139" i="34"/>
  <c r="M14" i="2"/>
  <c r="O16" i="34" s="1"/>
  <c r="N139" i="34"/>
  <c r="P169" i="34"/>
  <c r="J137" i="34"/>
  <c r="S135" i="34"/>
  <c r="P163" i="34"/>
  <c r="T515" i="34"/>
  <c r="O133" i="34"/>
  <c r="H155" i="34"/>
  <c r="P168" i="34"/>
  <c r="J146" i="34"/>
  <c r="J149" i="34"/>
  <c r="W489" i="34"/>
  <c r="T512" i="34"/>
  <c r="T487" i="34"/>
  <c r="V507" i="34"/>
  <c r="U507" i="34"/>
  <c r="V510" i="34"/>
  <c r="S490" i="34"/>
  <c r="W511" i="34"/>
  <c r="U488" i="34"/>
  <c r="U490" i="34"/>
  <c r="S486" i="34"/>
  <c r="W510" i="34"/>
  <c r="W507" i="34"/>
  <c r="W504" i="34"/>
  <c r="T508" i="34"/>
  <c r="S509" i="34"/>
  <c r="S505" i="34"/>
  <c r="U508" i="34"/>
  <c r="T488" i="34"/>
  <c r="W506" i="34"/>
  <c r="V505" i="34"/>
  <c r="T489" i="34"/>
  <c r="T486" i="34"/>
  <c r="S511" i="34"/>
  <c r="S508" i="34"/>
  <c r="V488" i="34"/>
  <c r="W503" i="34"/>
  <c r="U487" i="34"/>
  <c r="S487" i="34"/>
  <c r="V506" i="34"/>
  <c r="T513" i="34"/>
  <c r="W508" i="34"/>
  <c r="U504" i="34"/>
  <c r="U489" i="34"/>
  <c r="U486" i="34"/>
  <c r="T511" i="34"/>
  <c r="S489" i="34"/>
  <c r="T510" i="34"/>
  <c r="W505" i="34"/>
  <c r="T490" i="34"/>
  <c r="W509" i="34"/>
  <c r="V485" i="34"/>
  <c r="U510" i="34"/>
  <c r="S506" i="34"/>
  <c r="S503" i="34"/>
  <c r="S488" i="34"/>
  <c r="W512" i="34"/>
  <c r="V489" i="34"/>
  <c r="W485" i="34"/>
  <c r="U505" i="34"/>
  <c r="S513" i="34"/>
  <c r="S512" i="34"/>
  <c r="V504" i="34"/>
  <c r="S507" i="34"/>
  <c r="T504" i="34"/>
  <c r="W486" i="34"/>
  <c r="V508" i="34"/>
  <c r="T485" i="34"/>
  <c r="W488" i="34"/>
  <c r="V513" i="34"/>
  <c r="T509" i="34"/>
  <c r="T506" i="34"/>
  <c r="T503" i="34"/>
  <c r="Q135" i="34"/>
  <c r="P32" i="10"/>
  <c r="S162" i="34"/>
  <c r="G92" i="38"/>
  <c r="W578" i="34" s="1"/>
  <c r="P69" i="10"/>
  <c r="S163" i="34"/>
  <c r="S169" i="34"/>
  <c r="S168" i="34"/>
  <c r="T39" i="2"/>
  <c r="T41" i="2" s="1"/>
  <c r="S164" i="34"/>
  <c r="S170" i="34"/>
  <c r="E164" i="34"/>
  <c r="E154" i="34"/>
  <c r="N69" i="10"/>
  <c r="C41" i="10"/>
  <c r="E163" i="34"/>
  <c r="L155" i="34"/>
  <c r="V516" i="34"/>
  <c r="T579" i="34"/>
  <c r="J61" i="10"/>
  <c r="L152" i="34" s="1"/>
  <c r="H131" i="34"/>
  <c r="J69" i="10"/>
  <c r="E166" i="34"/>
  <c r="K170" i="34"/>
  <c r="M155" i="34"/>
  <c r="K143" i="34"/>
  <c r="L138" i="34"/>
  <c r="C39" i="2"/>
  <c r="C41" i="2" s="1"/>
  <c r="E169" i="34"/>
  <c r="K163" i="34"/>
  <c r="M154" i="34"/>
  <c r="K146" i="34"/>
  <c r="F18" i="2"/>
  <c r="H21" i="34" s="1"/>
  <c r="L131" i="34"/>
  <c r="O161" i="34"/>
  <c r="E168" i="34"/>
  <c r="N148" i="34"/>
  <c r="K162" i="34"/>
  <c r="S516" i="34"/>
  <c r="N160" i="34"/>
  <c r="K149" i="34"/>
  <c r="C61" i="10"/>
  <c r="E152" i="34" s="1"/>
  <c r="M135" i="34"/>
  <c r="E92" i="38"/>
  <c r="E138" i="34"/>
  <c r="E162" i="34"/>
  <c r="F146" i="34"/>
  <c r="K164" i="34"/>
  <c r="K148" i="34"/>
  <c r="M134" i="34"/>
  <c r="F92" i="38"/>
  <c r="V578" i="34" s="1"/>
  <c r="C92" i="38"/>
  <c r="S578" i="34" s="1"/>
  <c r="F32" i="10"/>
  <c r="E155" i="34"/>
  <c r="O139" i="34"/>
  <c r="I19" i="10"/>
  <c r="J131" i="34"/>
  <c r="F162" i="34"/>
  <c r="F69" i="10"/>
  <c r="N32" i="10"/>
  <c r="D41" i="10"/>
  <c r="E137" i="34"/>
  <c r="O135" i="34"/>
  <c r="J138" i="34"/>
  <c r="F170" i="34"/>
  <c r="E69" i="10"/>
  <c r="E32" i="10"/>
  <c r="D39" i="2"/>
  <c r="D41" i="2" s="1"/>
  <c r="H61" i="10"/>
  <c r="J152" i="34" s="1"/>
  <c r="F166" i="34"/>
  <c r="F168" i="34"/>
  <c r="G155" i="34"/>
  <c r="F164" i="34"/>
  <c r="G32" i="10"/>
  <c r="K69" i="10"/>
  <c r="S514" i="34"/>
  <c r="S515" i="34"/>
  <c r="S579" i="34"/>
  <c r="M143" i="34"/>
  <c r="I137" i="34"/>
  <c r="H57" i="2"/>
  <c r="G163" i="34"/>
  <c r="L135" i="34"/>
  <c r="L132" i="34"/>
  <c r="O154" i="34"/>
  <c r="L163" i="34"/>
  <c r="C18" i="2"/>
  <c r="E33" i="34" s="1"/>
  <c r="O137" i="34"/>
  <c r="K32" i="10"/>
  <c r="F138" i="34"/>
  <c r="Q137" i="34"/>
  <c r="M145" i="34"/>
  <c r="I131" i="34"/>
  <c r="H19" i="10"/>
  <c r="G168" i="34"/>
  <c r="L134" i="34"/>
  <c r="L137" i="34"/>
  <c r="L164" i="34"/>
  <c r="F38" i="38"/>
  <c r="O69" i="10"/>
  <c r="D18" i="2"/>
  <c r="F33" i="34" s="1"/>
  <c r="J32" i="10"/>
  <c r="F143" i="34"/>
  <c r="M149" i="34"/>
  <c r="I138" i="34"/>
  <c r="E19" i="10"/>
  <c r="L160" i="34"/>
  <c r="F148" i="34"/>
  <c r="M142" i="34"/>
  <c r="I132" i="34"/>
  <c r="J19" i="10"/>
  <c r="D19" i="10"/>
  <c r="K57" i="2"/>
  <c r="F145" i="34"/>
  <c r="G19" i="10"/>
  <c r="M146" i="34"/>
  <c r="P142" i="34"/>
  <c r="L168" i="34"/>
  <c r="M32" i="10"/>
  <c r="F142" i="34"/>
  <c r="M148" i="34"/>
  <c r="N135" i="34"/>
  <c r="F149" i="34"/>
  <c r="I170" i="34"/>
  <c r="Q152" i="34"/>
  <c r="L32" i="10"/>
  <c r="C24" i="35"/>
  <c r="M152" i="34"/>
  <c r="S484" i="34"/>
  <c r="C12" i="38"/>
  <c r="C23" i="38"/>
  <c r="D49" i="49" s="1"/>
  <c r="G49" i="49" s="1"/>
  <c r="J161" i="34"/>
  <c r="J160" i="34"/>
  <c r="K160" i="34"/>
  <c r="K161" i="34"/>
  <c r="G160" i="34"/>
  <c r="G161" i="34"/>
  <c r="M132" i="34"/>
  <c r="I143" i="34"/>
  <c r="N142" i="34"/>
  <c r="I169" i="34"/>
  <c r="H163" i="34"/>
  <c r="M161" i="34"/>
  <c r="F135" i="34"/>
  <c r="H137" i="34"/>
  <c r="T32" i="10"/>
  <c r="C31" i="2"/>
  <c r="E18" i="34" s="1"/>
  <c r="L57" i="2"/>
  <c r="G57" i="2"/>
  <c r="M138" i="34"/>
  <c r="N149" i="34"/>
  <c r="T577" i="34"/>
  <c r="I162" i="34"/>
  <c r="D31" i="2"/>
  <c r="F22" i="34" s="1"/>
  <c r="P139" i="34"/>
  <c r="P146" i="34"/>
  <c r="F139" i="34"/>
  <c r="L61" i="10"/>
  <c r="M61" i="10"/>
  <c r="G41" i="10"/>
  <c r="L18" i="2"/>
  <c r="N15" i="34" s="1"/>
  <c r="N146" i="34"/>
  <c r="H170" i="34"/>
  <c r="P134" i="34"/>
  <c r="L19" i="10"/>
  <c r="M137" i="34"/>
  <c r="I142" i="34"/>
  <c r="P160" i="34"/>
  <c r="I166" i="34"/>
  <c r="O138" i="34"/>
  <c r="H169" i="34"/>
  <c r="P135" i="34"/>
  <c r="P145" i="34"/>
  <c r="N138" i="34"/>
  <c r="M131" i="34"/>
  <c r="I145" i="34"/>
  <c r="I163" i="34"/>
  <c r="K19" i="10"/>
  <c r="O132" i="34"/>
  <c r="H162" i="34"/>
  <c r="N57" i="2"/>
  <c r="P143" i="34"/>
  <c r="O149" i="34"/>
  <c r="N132" i="34"/>
  <c r="G39" i="2"/>
  <c r="G41" i="2" s="1"/>
  <c r="C39" i="38"/>
  <c r="C40" i="38" s="1"/>
  <c r="I149" i="34"/>
  <c r="N145" i="34"/>
  <c r="O32" i="10"/>
  <c r="H166" i="34"/>
  <c r="H138" i="34"/>
  <c r="Q139" i="34"/>
  <c r="N137" i="34"/>
  <c r="G18" i="2"/>
  <c r="S154" i="34"/>
  <c r="F137" i="34"/>
  <c r="D32" i="10"/>
  <c r="I32" i="10"/>
  <c r="K135" i="34"/>
  <c r="K137" i="34"/>
  <c r="K134" i="34"/>
  <c r="K139" i="34"/>
  <c r="O115" i="34"/>
  <c r="S408" i="34"/>
  <c r="E69" i="11"/>
  <c r="M41" i="11"/>
  <c r="O112" i="34" s="1"/>
  <c r="E64" i="10"/>
  <c r="O120" i="34"/>
  <c r="G100" i="34"/>
  <c r="F86" i="34"/>
  <c r="U398" i="34"/>
  <c r="M61" i="11"/>
  <c r="U379" i="34" s="1"/>
  <c r="V382" i="34"/>
  <c r="M39" i="2"/>
  <c r="M41" i="2" s="1"/>
  <c r="O122" i="34"/>
  <c r="F118" i="34"/>
  <c r="F107" i="34"/>
  <c r="L121" i="34"/>
  <c r="T404" i="34"/>
  <c r="L106" i="34"/>
  <c r="S113" i="34"/>
  <c r="S116" i="34"/>
  <c r="L107" i="34"/>
  <c r="M18" i="2"/>
  <c r="O15" i="34" s="1"/>
  <c r="O121" i="34"/>
  <c r="F121" i="34"/>
  <c r="O83" i="34"/>
  <c r="F106" i="34"/>
  <c r="V408" i="34"/>
  <c r="G106" i="34"/>
  <c r="O106" i="34"/>
  <c r="Q100" i="34"/>
  <c r="P69" i="11"/>
  <c r="O19" i="11"/>
  <c r="P19" i="11"/>
  <c r="J61" i="11"/>
  <c r="T398" i="34"/>
  <c r="E86" i="34"/>
  <c r="O107" i="34"/>
  <c r="T69" i="11"/>
  <c r="P88" i="34"/>
  <c r="N31" i="11"/>
  <c r="P91" i="34" s="1"/>
  <c r="F89" i="34"/>
  <c r="S402" i="34"/>
  <c r="T408" i="34"/>
  <c r="V403" i="34"/>
  <c r="W401" i="34"/>
  <c r="S407" i="34"/>
  <c r="V407" i="34"/>
  <c r="M90" i="34"/>
  <c r="P98" i="34"/>
  <c r="N94" i="34"/>
  <c r="H86" i="34"/>
  <c r="T405" i="34"/>
  <c r="U402" i="34"/>
  <c r="W400" i="34"/>
  <c r="W408" i="34"/>
  <c r="W406" i="34"/>
  <c r="S398" i="34"/>
  <c r="W399" i="34"/>
  <c r="M83" i="34"/>
  <c r="M114" i="34"/>
  <c r="K18" i="2"/>
  <c r="P96" i="34"/>
  <c r="H91" i="34"/>
  <c r="S400" i="34"/>
  <c r="V402" i="34"/>
  <c r="U403" i="34"/>
  <c r="W398" i="34"/>
  <c r="S399" i="34"/>
  <c r="V399" i="34"/>
  <c r="U401" i="34"/>
  <c r="S383" i="34"/>
  <c r="H87" i="34"/>
  <c r="T407" i="34"/>
  <c r="W404" i="34"/>
  <c r="W405" i="34"/>
  <c r="V401" i="34"/>
  <c r="V400" i="34"/>
  <c r="T401" i="34"/>
  <c r="S403" i="34"/>
  <c r="L19" i="11"/>
  <c r="F83" i="34"/>
  <c r="U399" i="34"/>
  <c r="U400" i="34"/>
  <c r="U408" i="34"/>
  <c r="S404" i="34"/>
  <c r="T402" i="34"/>
  <c r="W402" i="34"/>
  <c r="V404" i="34"/>
  <c r="K61" i="11"/>
  <c r="C12" i="37" s="1"/>
  <c r="C15" i="37" s="1"/>
  <c r="M96" i="34"/>
  <c r="F84" i="34"/>
  <c r="T400" i="34"/>
  <c r="T403" i="34"/>
  <c r="V398" i="34"/>
  <c r="V406" i="34"/>
  <c r="W403" i="34"/>
  <c r="U404" i="34"/>
  <c r="T406" i="34"/>
  <c r="K16" i="34"/>
  <c r="K39" i="2"/>
  <c r="K41" i="2" s="1"/>
  <c r="M110" i="34"/>
  <c r="F90" i="34"/>
  <c r="U407" i="34"/>
  <c r="V405" i="34"/>
  <c r="S401" i="34"/>
  <c r="T399" i="34"/>
  <c r="U405" i="34"/>
  <c r="S406" i="34"/>
  <c r="W407" i="34"/>
  <c r="Q88" i="34"/>
  <c r="Q90" i="34"/>
  <c r="H106" i="34"/>
  <c r="G41" i="11"/>
  <c r="I113" i="34" s="1"/>
  <c r="O41" i="11"/>
  <c r="Q112" i="34" s="1"/>
  <c r="S101" i="34"/>
  <c r="I116" i="34"/>
  <c r="E31" i="2"/>
  <c r="H64" i="10"/>
  <c r="T19" i="11"/>
  <c r="E16" i="34"/>
  <c r="I121" i="34"/>
  <c r="Q122" i="34"/>
  <c r="O95" i="34"/>
  <c r="I118" i="34"/>
  <c r="Q120" i="34"/>
  <c r="I115" i="34"/>
  <c r="Q116" i="34"/>
  <c r="P109" i="34"/>
  <c r="Q121" i="34"/>
  <c r="P110" i="34"/>
  <c r="N109" i="34"/>
  <c r="J122" i="34"/>
  <c r="K106" i="34"/>
  <c r="W411" i="34"/>
  <c r="G83" i="34"/>
  <c r="U411" i="34"/>
  <c r="S16" i="34"/>
  <c r="J121" i="34"/>
  <c r="F19" i="11"/>
  <c r="H69" i="11"/>
  <c r="I19" i="34"/>
  <c r="P95" i="34"/>
  <c r="I106" i="34"/>
  <c r="O96" i="34"/>
  <c r="I107" i="34"/>
  <c r="K90" i="34"/>
  <c r="G32" i="11"/>
  <c r="H41" i="11"/>
  <c r="J113" i="34" s="1"/>
  <c r="P106" i="34"/>
  <c r="P107" i="34"/>
  <c r="Q101" i="34"/>
  <c r="O100" i="34"/>
  <c r="G38" i="37"/>
  <c r="W474" i="34" s="1"/>
  <c r="J114" i="34"/>
  <c r="K107" i="34"/>
  <c r="I87" i="34"/>
  <c r="O101" i="34"/>
  <c r="E18" i="2"/>
  <c r="G33" i="34" s="1"/>
  <c r="G13" i="34"/>
  <c r="E61" i="2"/>
  <c r="I83" i="34"/>
  <c r="G84" i="34"/>
  <c r="K109" i="34"/>
  <c r="G61" i="11"/>
  <c r="L39" i="2"/>
  <c r="L41" i="2" s="1"/>
  <c r="N66" i="11"/>
  <c r="P104" i="34" s="1"/>
  <c r="K65" i="10"/>
  <c r="K66" i="10" s="1"/>
  <c r="N120" i="34"/>
  <c r="K116" i="34"/>
  <c r="J118" i="34"/>
  <c r="I89" i="34"/>
  <c r="Q84" i="34"/>
  <c r="F87" i="34"/>
  <c r="Q118" i="34"/>
  <c r="N84" i="34"/>
  <c r="H89" i="34"/>
  <c r="G90" i="34"/>
  <c r="O127" i="34"/>
  <c r="L95" i="34"/>
  <c r="C61" i="11"/>
  <c r="E13" i="34" s="1"/>
  <c r="J41" i="11"/>
  <c r="V385" i="34"/>
  <c r="Q95" i="34"/>
  <c r="I90" i="34"/>
  <c r="I120" i="34"/>
  <c r="Q115" i="34"/>
  <c r="P94" i="34"/>
  <c r="N95" i="34"/>
  <c r="L90" i="34"/>
  <c r="N122" i="34"/>
  <c r="J115" i="34"/>
  <c r="S379" i="34"/>
  <c r="I114" i="34"/>
  <c r="I100" i="34"/>
  <c r="I32" i="11"/>
  <c r="Q106" i="34"/>
  <c r="E84" i="34"/>
  <c r="J91" i="34"/>
  <c r="P127" i="34"/>
  <c r="M69" i="11"/>
  <c r="I91" i="34"/>
  <c r="K69" i="11"/>
  <c r="N19" i="11"/>
  <c r="S107" i="34"/>
  <c r="M109" i="34"/>
  <c r="H39" i="2"/>
  <c r="H41" i="2" s="1"/>
  <c r="M100" i="34"/>
  <c r="I122" i="34"/>
  <c r="F61" i="11"/>
  <c r="F61" i="2" s="1"/>
  <c r="H12" i="34" s="1"/>
  <c r="K91" i="34"/>
  <c r="I86" i="34"/>
  <c r="I31" i="2"/>
  <c r="K87" i="34"/>
  <c r="G19" i="11"/>
  <c r="V379" i="34"/>
  <c r="G65" i="10"/>
  <c r="G66" i="10" s="1"/>
  <c r="I153" i="34" s="1"/>
  <c r="L16" i="34"/>
  <c r="H32" i="11"/>
  <c r="D81" i="37"/>
  <c r="L88" i="34"/>
  <c r="J28" i="2"/>
  <c r="L19" i="34" s="1"/>
  <c r="J31" i="11"/>
  <c r="L87" i="34" s="1"/>
  <c r="I41" i="11"/>
  <c r="K121" i="34"/>
  <c r="O110" i="34"/>
  <c r="C17" i="37"/>
  <c r="C18" i="37" s="1"/>
  <c r="L84" i="34"/>
  <c r="G19" i="34"/>
  <c r="L118" i="34"/>
  <c r="I39" i="2"/>
  <c r="I41" i="2" s="1"/>
  <c r="I69" i="11"/>
  <c r="J83" i="34"/>
  <c r="F69" i="11"/>
  <c r="E90" i="34"/>
  <c r="J87" i="34"/>
  <c r="M106" i="34"/>
  <c r="I96" i="34"/>
  <c r="V409" i="34"/>
  <c r="D19" i="11"/>
  <c r="D32" i="11"/>
  <c r="G16" i="34"/>
  <c r="I16" i="34"/>
  <c r="E19" i="34"/>
  <c r="V410" i="34"/>
  <c r="O109" i="34"/>
  <c r="L83" i="34"/>
  <c r="K120" i="34"/>
  <c r="L120" i="34"/>
  <c r="I19" i="11"/>
  <c r="D38" i="37"/>
  <c r="D40" i="37" s="1"/>
  <c r="J101" i="34"/>
  <c r="J90" i="34"/>
  <c r="E89" i="34"/>
  <c r="H113" i="34"/>
  <c r="J95" i="34"/>
  <c r="O69" i="11"/>
  <c r="F16" i="34"/>
  <c r="J16" i="34"/>
  <c r="F19" i="34"/>
  <c r="H19" i="34"/>
  <c r="J19" i="34"/>
  <c r="K19" i="34"/>
  <c r="L96" i="34"/>
  <c r="J19" i="11"/>
  <c r="H16" i="34"/>
  <c r="K115" i="34"/>
  <c r="L115" i="34"/>
  <c r="P101" i="34"/>
  <c r="J107" i="34"/>
  <c r="J100" i="34"/>
  <c r="E83" i="34"/>
  <c r="H31" i="2"/>
  <c r="H100" i="34"/>
  <c r="N100" i="34"/>
  <c r="I110" i="34"/>
  <c r="G69" i="11"/>
  <c r="O61" i="11"/>
  <c r="S98" i="34"/>
  <c r="J89" i="34"/>
  <c r="Q107" i="34"/>
  <c r="K19" i="11"/>
  <c r="K94" i="34"/>
  <c r="K118" i="34"/>
  <c r="L114" i="34"/>
  <c r="P100" i="34"/>
  <c r="N101" i="34"/>
  <c r="I65" i="10"/>
  <c r="I66" i="10" s="1"/>
  <c r="N69" i="11"/>
  <c r="H18" i="2"/>
  <c r="J15" i="34" s="1"/>
  <c r="N16" i="34"/>
  <c r="K110" i="34"/>
  <c r="J18" i="2"/>
  <c r="H19" i="11"/>
  <c r="L31" i="2"/>
  <c r="N17" i="34" s="1"/>
  <c r="N89" i="34"/>
  <c r="K114" i="34"/>
  <c r="L122" i="34"/>
  <c r="V411" i="34"/>
  <c r="T65" i="10"/>
  <c r="T66" i="10" s="1"/>
  <c r="S151" i="34" s="1"/>
  <c r="J39" i="2"/>
  <c r="J41" i="2" s="1"/>
  <c r="E87" i="34"/>
  <c r="N19" i="34"/>
  <c r="L109" i="34"/>
  <c r="M94" i="34"/>
  <c r="J65" i="10"/>
  <c r="M95" i="34"/>
  <c r="L94" i="34"/>
  <c r="H66" i="11"/>
  <c r="J97" i="34" s="1"/>
  <c r="J98" i="34"/>
  <c r="M16" i="34"/>
  <c r="N110" i="34"/>
  <c r="N96" i="34"/>
  <c r="L65" i="10"/>
  <c r="O94" i="34"/>
  <c r="N98" i="34"/>
  <c r="T385" i="34"/>
  <c r="L110" i="34"/>
  <c r="K31" i="11"/>
  <c r="M88" i="34"/>
  <c r="F15" i="37"/>
  <c r="F41" i="2"/>
  <c r="N112" i="34"/>
  <c r="N127" i="34"/>
  <c r="N113" i="34"/>
  <c r="N129" i="34"/>
  <c r="K28" i="2"/>
  <c r="M19" i="34" s="1"/>
  <c r="S96" i="34"/>
  <c r="U409" i="34"/>
  <c r="U474" i="34"/>
  <c r="U410" i="34"/>
  <c r="U472" i="34"/>
  <c r="S110" i="34"/>
  <c r="M65" i="10"/>
  <c r="S109" i="34"/>
  <c r="P112" i="34"/>
  <c r="I61" i="11"/>
  <c r="M121" i="34"/>
  <c r="L101" i="34"/>
  <c r="G86" i="34"/>
  <c r="J69" i="11"/>
  <c r="M28" i="11"/>
  <c r="D61" i="11"/>
  <c r="K84" i="34"/>
  <c r="I18" i="2"/>
  <c r="M118" i="34"/>
  <c r="G89" i="34"/>
  <c r="K41" i="11"/>
  <c r="K89" i="34"/>
  <c r="M116" i="34"/>
  <c r="E107" i="34"/>
  <c r="J94" i="34"/>
  <c r="E19" i="11"/>
  <c r="M107" i="34"/>
  <c r="M115" i="34"/>
  <c r="E106" i="34"/>
  <c r="M19" i="11"/>
  <c r="F32" i="11"/>
  <c r="P113" i="34"/>
  <c r="G87" i="34"/>
  <c r="V474" i="34"/>
  <c r="E32" i="11"/>
  <c r="D69" i="36"/>
  <c r="D69" i="35" s="1"/>
  <c r="D90" i="36" l="1"/>
  <c r="T360" i="34"/>
  <c r="D102" i="40"/>
  <c r="D102" i="39" s="1"/>
  <c r="D107" i="39"/>
  <c r="C40" i="36"/>
  <c r="J65" i="41"/>
  <c r="V378" i="34"/>
  <c r="T377" i="34"/>
  <c r="F81" i="37"/>
  <c r="V437" i="34" s="1"/>
  <c r="V438" i="34"/>
  <c r="S474" i="34"/>
  <c r="D15" i="37"/>
  <c r="U250" i="34"/>
  <c r="J21" i="40"/>
  <c r="J21" i="39" s="1"/>
  <c r="D91" i="40"/>
  <c r="D91" i="39" s="1"/>
  <c r="D196" i="40"/>
  <c r="D196" i="39" s="1"/>
  <c r="I134" i="39"/>
  <c r="G117" i="39"/>
  <c r="G120" i="40"/>
  <c r="M19" i="10"/>
  <c r="H160" i="34"/>
  <c r="O113" i="34"/>
  <c r="O129" i="34"/>
  <c r="T382" i="34"/>
  <c r="T378" i="34"/>
  <c r="L66" i="11"/>
  <c r="U32" i="11"/>
  <c r="N91" i="34"/>
  <c r="T379" i="34"/>
  <c r="I94" i="34"/>
  <c r="I17" i="34"/>
  <c r="H110" i="34"/>
  <c r="S410" i="34"/>
  <c r="P87" i="34"/>
  <c r="H22" i="34"/>
  <c r="I20" i="34"/>
  <c r="C40" i="37"/>
  <c r="D103" i="41" s="1"/>
  <c r="I18" i="34"/>
  <c r="G32" i="2"/>
  <c r="S409" i="34"/>
  <c r="S129" i="34"/>
  <c r="S112" i="34"/>
  <c r="H17" i="34"/>
  <c r="U383" i="34"/>
  <c r="T295" i="34"/>
  <c r="L65" i="34"/>
  <c r="J31" i="12"/>
  <c r="J136" i="39"/>
  <c r="H102" i="40"/>
  <c r="H102" i="39" s="1"/>
  <c r="G102" i="40"/>
  <c r="G102" i="39" s="1"/>
  <c r="E26" i="39"/>
  <c r="I73" i="39"/>
  <c r="I74" i="40"/>
  <c r="H83" i="39"/>
  <c r="H85" i="40"/>
  <c r="M83" i="40"/>
  <c r="M83" i="39" s="1"/>
  <c r="G93" i="39"/>
  <c r="M93" i="40"/>
  <c r="M93" i="39" s="1"/>
  <c r="M73" i="40"/>
  <c r="M73" i="39" s="1"/>
  <c r="F203" i="39"/>
  <c r="F205" i="40"/>
  <c r="W602" i="34"/>
  <c r="D108" i="39"/>
  <c r="D111" i="40"/>
  <c r="D111" i="39" s="1"/>
  <c r="M82" i="40"/>
  <c r="M82" i="39" s="1"/>
  <c r="H39" i="39"/>
  <c r="H41" i="40"/>
  <c r="D141" i="40"/>
  <c r="D141" i="39" s="1"/>
  <c r="G85" i="40"/>
  <c r="G85" i="39" s="1"/>
  <c r="W605" i="34"/>
  <c r="W607" i="34"/>
  <c r="I119" i="39"/>
  <c r="I120" i="40"/>
  <c r="G52" i="49"/>
  <c r="C44" i="38"/>
  <c r="D44" i="42"/>
  <c r="D60" i="49"/>
  <c r="J121" i="42"/>
  <c r="J125" i="42" s="1"/>
  <c r="S377" i="34"/>
  <c r="I141" i="40"/>
  <c r="W348" i="34" s="1"/>
  <c r="E237" i="39"/>
  <c r="S360" i="34"/>
  <c r="C90" i="36"/>
  <c r="G135" i="40"/>
  <c r="G132" i="39"/>
  <c r="I237" i="39"/>
  <c r="W360" i="34"/>
  <c r="W358" i="34"/>
  <c r="E205" i="40"/>
  <c r="E202" i="39"/>
  <c r="F11" i="39"/>
  <c r="F21" i="40"/>
  <c r="D80" i="40"/>
  <c r="D80" i="39" s="1"/>
  <c r="D74" i="39"/>
  <c r="D47" i="40"/>
  <c r="D47" i="39" s="1"/>
  <c r="D41" i="39"/>
  <c r="K181" i="40"/>
  <c r="K181" i="39" s="1"/>
  <c r="K179" i="39"/>
  <c r="M179" i="40"/>
  <c r="M179" i="39" s="1"/>
  <c r="I141" i="39"/>
  <c r="H74" i="39"/>
  <c r="H80" i="40"/>
  <c r="E146" i="39"/>
  <c r="E156" i="40"/>
  <c r="H141" i="40"/>
  <c r="H141" i="39" s="1"/>
  <c r="G71" i="39"/>
  <c r="M71" i="40"/>
  <c r="M71" i="39" s="1"/>
  <c r="G74" i="40"/>
  <c r="M145" i="39"/>
  <c r="M146" i="40"/>
  <c r="M146" i="39" s="1"/>
  <c r="F36" i="40"/>
  <c r="F26" i="39"/>
  <c r="T618" i="34" s="1"/>
  <c r="E21" i="39"/>
  <c r="S336" i="34"/>
  <c r="C82" i="36"/>
  <c r="F141" i="39"/>
  <c r="T348" i="34"/>
  <c r="D86" i="36"/>
  <c r="F126" i="40"/>
  <c r="F116" i="39"/>
  <c r="M190" i="40"/>
  <c r="F146" i="39"/>
  <c r="F156" i="40"/>
  <c r="D126" i="40"/>
  <c r="D126" i="39" s="1"/>
  <c r="H237" i="39"/>
  <c r="V360" i="34"/>
  <c r="V358" i="34"/>
  <c r="E141" i="39"/>
  <c r="C86" i="36"/>
  <c r="S348" i="34"/>
  <c r="I85" i="39"/>
  <c r="I91" i="40"/>
  <c r="I91" i="39" s="1"/>
  <c r="M202" i="40"/>
  <c r="L181" i="40"/>
  <c r="L181" i="39" s="1"/>
  <c r="L180" i="39"/>
  <c r="M180" i="40"/>
  <c r="M180" i="39" s="1"/>
  <c r="S341" i="34"/>
  <c r="C84" i="35"/>
  <c r="S340" i="34"/>
  <c r="E36" i="39"/>
  <c r="C83" i="36"/>
  <c r="S339" i="34"/>
  <c r="E126" i="40"/>
  <c r="E116" i="39"/>
  <c r="I47" i="40"/>
  <c r="I41" i="39"/>
  <c r="D205" i="39"/>
  <c r="D211" i="40"/>
  <c r="D211" i="39" s="1"/>
  <c r="H118" i="39"/>
  <c r="H120" i="40"/>
  <c r="S250" i="34"/>
  <c r="M237" i="40"/>
  <c r="M237" i="39" s="1"/>
  <c r="M232" i="39"/>
  <c r="L141" i="40"/>
  <c r="L138" i="39"/>
  <c r="M141" i="40"/>
  <c r="M141" i="39" s="1"/>
  <c r="M139" i="39"/>
  <c r="K141" i="40"/>
  <c r="K137" i="39"/>
  <c r="J141" i="39"/>
  <c r="V610" i="34"/>
  <c r="V608" i="34"/>
  <c r="K126" i="39"/>
  <c r="J126" i="40"/>
  <c r="J121" i="39"/>
  <c r="L126" i="40"/>
  <c r="L123" i="39"/>
  <c r="H15" i="34"/>
  <c r="S33" i="34"/>
  <c r="N87" i="34"/>
  <c r="H33" i="34"/>
  <c r="T61" i="2"/>
  <c r="S11" i="34" s="1"/>
  <c r="S13" i="34"/>
  <c r="M21" i="40"/>
  <c r="M21" i="39" s="1"/>
  <c r="M19" i="39"/>
  <c r="K21" i="40"/>
  <c r="K17" i="39"/>
  <c r="L21" i="39"/>
  <c r="K76" i="39"/>
  <c r="L77" i="39"/>
  <c r="L80" i="40"/>
  <c r="L80" i="39" s="1"/>
  <c r="K102" i="40"/>
  <c r="K102" i="39" s="1"/>
  <c r="K98" i="39"/>
  <c r="L102" i="40"/>
  <c r="L102" i="39" s="1"/>
  <c r="L99" i="39"/>
  <c r="M100" i="39"/>
  <c r="M102" i="40"/>
  <c r="M102" i="39" s="1"/>
  <c r="J97" i="39"/>
  <c r="J102" i="40"/>
  <c r="J102" i="39" s="1"/>
  <c r="K91" i="40"/>
  <c r="K91" i="39" s="1"/>
  <c r="K87" i="39"/>
  <c r="M91" i="40"/>
  <c r="M91" i="39" s="1"/>
  <c r="M89" i="39"/>
  <c r="L91" i="40"/>
  <c r="L91" i="39" s="1"/>
  <c r="L88" i="39"/>
  <c r="J91" i="40"/>
  <c r="J91" i="39" s="1"/>
  <c r="J86" i="39"/>
  <c r="M78" i="39"/>
  <c r="M80" i="40"/>
  <c r="M80" i="39" s="1"/>
  <c r="J75" i="39"/>
  <c r="J80" i="40"/>
  <c r="J80" i="39" s="1"/>
  <c r="M45" i="39"/>
  <c r="M47" i="40"/>
  <c r="M47" i="39" s="1"/>
  <c r="J47" i="40"/>
  <c r="J47" i="39" s="1"/>
  <c r="J42" i="39"/>
  <c r="L47" i="40"/>
  <c r="L47" i="39" s="1"/>
  <c r="L44" i="39"/>
  <c r="K47" i="40"/>
  <c r="K47" i="39" s="1"/>
  <c r="K43" i="39"/>
  <c r="J55" i="34"/>
  <c r="U293" i="34"/>
  <c r="E33" i="35"/>
  <c r="T305" i="34"/>
  <c r="T304" i="34"/>
  <c r="T369" i="34"/>
  <c r="U367" i="34"/>
  <c r="U368" i="34"/>
  <c r="H67" i="12"/>
  <c r="I51" i="34"/>
  <c r="I56" i="34"/>
  <c r="G70" i="12"/>
  <c r="I49" i="34"/>
  <c r="E22" i="34"/>
  <c r="S369" i="34"/>
  <c r="S304" i="34"/>
  <c r="S305" i="34"/>
  <c r="T262" i="34"/>
  <c r="T263" i="34"/>
  <c r="U369" i="34"/>
  <c r="U304" i="34"/>
  <c r="U305" i="34"/>
  <c r="H64" i="34"/>
  <c r="H65" i="34"/>
  <c r="K64" i="34"/>
  <c r="T367" i="34"/>
  <c r="D45" i="42"/>
  <c r="D61" i="49"/>
  <c r="G36" i="40"/>
  <c r="E83" i="36" s="1"/>
  <c r="G30" i="39"/>
  <c r="W515" i="34"/>
  <c r="W514" i="34"/>
  <c r="D103" i="42"/>
  <c r="C45" i="38"/>
  <c r="D147" i="49"/>
  <c r="O51" i="34"/>
  <c r="D45" i="38"/>
  <c r="D148" i="49"/>
  <c r="D45" i="37"/>
  <c r="D148" i="48"/>
  <c r="V305" i="34"/>
  <c r="D29" i="40"/>
  <c r="U632" i="34" s="1"/>
  <c r="U633" i="34"/>
  <c r="V369" i="34"/>
  <c r="V383" i="34"/>
  <c r="V278" i="34"/>
  <c r="W262" i="34"/>
  <c r="W263" i="34"/>
  <c r="Q94" i="34"/>
  <c r="W367" i="34"/>
  <c r="W304" i="34"/>
  <c r="W369" i="34"/>
  <c r="W305" i="34"/>
  <c r="Q110" i="34"/>
  <c r="W181" i="34"/>
  <c r="W182" i="34"/>
  <c r="V472" i="34"/>
  <c r="M209" i="39"/>
  <c r="H16" i="37"/>
  <c r="H16" i="36"/>
  <c r="V651" i="34"/>
  <c r="V650" i="34"/>
  <c r="R65" i="2"/>
  <c r="I16" i="35"/>
  <c r="Q65" i="11"/>
  <c r="Q65" i="12"/>
  <c r="F66" i="12"/>
  <c r="H49" i="34" s="1"/>
  <c r="H50" i="34"/>
  <c r="I46" i="34"/>
  <c r="I47" i="34"/>
  <c r="H62" i="34"/>
  <c r="H61" i="34"/>
  <c r="H48" i="34"/>
  <c r="D18" i="37"/>
  <c r="D19" i="37" s="1"/>
  <c r="T384" i="34"/>
  <c r="J66" i="10"/>
  <c r="S97" i="34"/>
  <c r="J61" i="2"/>
  <c r="L12" i="34" s="1"/>
  <c r="T198" i="34"/>
  <c r="S15" i="34"/>
  <c r="T14" i="34"/>
  <c r="C41" i="36"/>
  <c r="S50" i="34"/>
  <c r="T66" i="12"/>
  <c r="S557" i="34"/>
  <c r="O160" i="46"/>
  <c r="E69" i="36"/>
  <c r="O56" i="34"/>
  <c r="M70" i="12"/>
  <c r="H45" i="42"/>
  <c r="D90" i="35"/>
  <c r="T359" i="34"/>
  <c r="T358" i="34"/>
  <c r="S104" i="34"/>
  <c r="W385" i="34"/>
  <c r="I95" i="34"/>
  <c r="D177" i="40"/>
  <c r="D177" i="39" s="1"/>
  <c r="G73" i="36"/>
  <c r="T604" i="34"/>
  <c r="T602" i="34"/>
  <c r="V262" i="34"/>
  <c r="V263" i="34"/>
  <c r="P65" i="10"/>
  <c r="P66" i="10" s="1"/>
  <c r="P70" i="10" s="1"/>
  <c r="P66" i="11"/>
  <c r="P70" i="11" s="1"/>
  <c r="V368" i="34"/>
  <c r="V367" i="34"/>
  <c r="N50" i="34"/>
  <c r="L66" i="12"/>
  <c r="V67" i="12" s="1"/>
  <c r="Q109" i="34"/>
  <c r="M14" i="34"/>
  <c r="L61" i="2"/>
  <c r="D23" i="38"/>
  <c r="D50" i="49" s="1"/>
  <c r="D33" i="36"/>
  <c r="V243" i="34"/>
  <c r="D104" i="41"/>
  <c r="T31" i="11"/>
  <c r="S88" i="34"/>
  <c r="T28" i="2"/>
  <c r="W250" i="34"/>
  <c r="W251" i="34"/>
  <c r="J75" i="42"/>
  <c r="D18" i="36"/>
  <c r="T278" i="34"/>
  <c r="T279" i="34"/>
  <c r="O66" i="10"/>
  <c r="O70" i="10" s="1"/>
  <c r="T277" i="34"/>
  <c r="V240" i="34"/>
  <c r="D178" i="40"/>
  <c r="D178" i="39" s="1"/>
  <c r="H73" i="36"/>
  <c r="S452" i="34"/>
  <c r="S560" i="34"/>
  <c r="T246" i="34"/>
  <c r="F175" i="42"/>
  <c r="T237" i="34"/>
  <c r="Q48" i="34"/>
  <c r="G16" i="37"/>
  <c r="Q46" i="34"/>
  <c r="W280" i="34"/>
  <c r="Q61" i="34"/>
  <c r="G16" i="36"/>
  <c r="Q62" i="34"/>
  <c r="S467" i="34"/>
  <c r="D12" i="36"/>
  <c r="D15" i="36" s="1"/>
  <c r="U240" i="34"/>
  <c r="W614" i="34"/>
  <c r="W616" i="34"/>
  <c r="L57" i="34"/>
  <c r="J71" i="12"/>
  <c r="H176" i="40"/>
  <c r="H176" i="39" s="1"/>
  <c r="V652" i="34"/>
  <c r="F65" i="10"/>
  <c r="F66" i="10" s="1"/>
  <c r="H109" i="34"/>
  <c r="T70" i="11"/>
  <c r="S103" i="34" s="1"/>
  <c r="Q96" i="34"/>
  <c r="S368" i="34"/>
  <c r="S367" i="34"/>
  <c r="D44" i="37"/>
  <c r="T569" i="34"/>
  <c r="W240" i="34"/>
  <c r="T545" i="34"/>
  <c r="T572" i="34"/>
  <c r="W464" i="34"/>
  <c r="G90" i="35"/>
  <c r="S455" i="34"/>
  <c r="U545" i="34"/>
  <c r="G41" i="40"/>
  <c r="E65" i="11"/>
  <c r="G27" i="34"/>
  <c r="G111" i="34"/>
  <c r="H26" i="34"/>
  <c r="G63" i="34"/>
  <c r="H25" i="34"/>
  <c r="E65" i="12"/>
  <c r="D65" i="2"/>
  <c r="I56" i="41"/>
  <c r="J35" i="41"/>
  <c r="I125" i="41"/>
  <c r="J122" i="41"/>
  <c r="U557" i="34"/>
  <c r="V452" i="34"/>
  <c r="I42" i="42"/>
  <c r="E147" i="42"/>
  <c r="W231" i="34"/>
  <c r="J70" i="41"/>
  <c r="I97" i="42"/>
  <c r="U446" i="34"/>
  <c r="J49" i="42"/>
  <c r="V563" i="34"/>
  <c r="J63" i="41"/>
  <c r="U452" i="34"/>
  <c r="J56" i="41"/>
  <c r="J104" i="42"/>
  <c r="H108" i="42"/>
  <c r="U234" i="34"/>
  <c r="N61" i="10"/>
  <c r="N66" i="10" s="1"/>
  <c r="N70" i="10" s="1"/>
  <c r="N19" i="10"/>
  <c r="O19" i="10"/>
  <c r="P131" i="34"/>
  <c r="W577" i="34"/>
  <c r="P138" i="34"/>
  <c r="P132" i="34"/>
  <c r="O13" i="34"/>
  <c r="E12" i="37"/>
  <c r="E15" i="37" s="1"/>
  <c r="L32" i="11"/>
  <c r="O98" i="34"/>
  <c r="K67" i="12"/>
  <c r="M51" i="34"/>
  <c r="M56" i="34"/>
  <c r="K70" i="12"/>
  <c r="M55" i="34" s="1"/>
  <c r="U382" i="34"/>
  <c r="M66" i="11"/>
  <c r="N67" i="11" s="1"/>
  <c r="M153" i="34"/>
  <c r="U67" i="10"/>
  <c r="S293" i="34"/>
  <c r="S294" i="34"/>
  <c r="C33" i="35"/>
  <c r="G12" i="38"/>
  <c r="W484" i="34"/>
  <c r="C44" i="36"/>
  <c r="S333" i="34"/>
  <c r="S273" i="34"/>
  <c r="C81" i="36"/>
  <c r="S272" i="34"/>
  <c r="C15" i="36"/>
  <c r="C19" i="36" s="1"/>
  <c r="E81" i="36"/>
  <c r="U333" i="34"/>
  <c r="U272" i="34"/>
  <c r="E15" i="36"/>
  <c r="E19" i="36" s="1"/>
  <c r="U273" i="34"/>
  <c r="S161" i="34"/>
  <c r="S160" i="34"/>
  <c r="E17" i="34"/>
  <c r="D32" i="2"/>
  <c r="F17" i="34"/>
  <c r="E15" i="34"/>
  <c r="F18" i="34"/>
  <c r="N33" i="34"/>
  <c r="O14" i="34"/>
  <c r="M19" i="2"/>
  <c r="N13" i="34"/>
  <c r="S577" i="34"/>
  <c r="H66" i="10"/>
  <c r="J153" i="34" s="1"/>
  <c r="H14" i="34"/>
  <c r="G31" i="34"/>
  <c r="V484" i="34"/>
  <c r="J13" i="34"/>
  <c r="E160" i="34"/>
  <c r="E161" i="34"/>
  <c r="H61" i="2"/>
  <c r="J32" i="34" s="1"/>
  <c r="L66" i="10"/>
  <c r="L67" i="10" s="1"/>
  <c r="E14" i="34"/>
  <c r="U577" i="34"/>
  <c r="U578" i="34"/>
  <c r="F19" i="2"/>
  <c r="E21" i="34"/>
  <c r="H20" i="34"/>
  <c r="G14" i="34"/>
  <c r="E20" i="34"/>
  <c r="I158" i="34"/>
  <c r="F20" i="34"/>
  <c r="M15" i="34"/>
  <c r="F161" i="34"/>
  <c r="F160" i="34"/>
  <c r="F14" i="34"/>
  <c r="F21" i="34"/>
  <c r="D19" i="2"/>
  <c r="F15" i="34"/>
  <c r="C12" i="35"/>
  <c r="S176" i="34" s="1"/>
  <c r="I14" i="34"/>
  <c r="V514" i="34"/>
  <c r="V579" i="34"/>
  <c r="V515" i="34"/>
  <c r="V577" i="34"/>
  <c r="I33" i="34"/>
  <c r="I15" i="34"/>
  <c r="G19" i="2"/>
  <c r="I21" i="34"/>
  <c r="H19" i="2"/>
  <c r="J21" i="34"/>
  <c r="M66" i="10"/>
  <c r="O158" i="34" s="1"/>
  <c r="N21" i="34"/>
  <c r="I160" i="34"/>
  <c r="I161" i="34"/>
  <c r="U484" i="34"/>
  <c r="O152" i="34"/>
  <c r="E12" i="38"/>
  <c r="L19" i="2"/>
  <c r="O33" i="34"/>
  <c r="D12" i="38"/>
  <c r="D44" i="38" s="1"/>
  <c r="T484" i="34"/>
  <c r="N152" i="34"/>
  <c r="D37" i="42"/>
  <c r="C28" i="38"/>
  <c r="C23" i="35"/>
  <c r="C46" i="38"/>
  <c r="C41" i="38"/>
  <c r="S704" i="34" s="1"/>
  <c r="C81" i="38"/>
  <c r="S543" i="34"/>
  <c r="S483" i="34"/>
  <c r="S482" i="34"/>
  <c r="M61" i="2"/>
  <c r="U177" i="34" s="1"/>
  <c r="O21" i="34"/>
  <c r="N14" i="34"/>
  <c r="D49" i="42"/>
  <c r="G44" i="42"/>
  <c r="P89" i="34"/>
  <c r="L13" i="34"/>
  <c r="I112" i="34"/>
  <c r="L98" i="34"/>
  <c r="M98" i="34"/>
  <c r="J66" i="11"/>
  <c r="L97" i="34" s="1"/>
  <c r="W472" i="34"/>
  <c r="G21" i="34"/>
  <c r="I151" i="34"/>
  <c r="S438" i="34"/>
  <c r="G70" i="10"/>
  <c r="G15" i="34"/>
  <c r="S378" i="34"/>
  <c r="C81" i="37"/>
  <c r="S437" i="34" s="1"/>
  <c r="P86" i="34"/>
  <c r="Q113" i="34"/>
  <c r="Q127" i="34"/>
  <c r="L70" i="11"/>
  <c r="N105" i="34" s="1"/>
  <c r="E19" i="2"/>
  <c r="K66" i="11"/>
  <c r="K61" i="2"/>
  <c r="S177" i="34" s="1"/>
  <c r="Q129" i="34"/>
  <c r="M13" i="34"/>
  <c r="S382" i="34"/>
  <c r="M33" i="34"/>
  <c r="M21" i="34"/>
  <c r="N97" i="34"/>
  <c r="G22" i="34"/>
  <c r="G18" i="34"/>
  <c r="O31" i="11"/>
  <c r="P32" i="11" s="1"/>
  <c r="E32" i="2"/>
  <c r="F32" i="2"/>
  <c r="N99" i="34"/>
  <c r="N104" i="34"/>
  <c r="W410" i="34"/>
  <c r="G17" i="34"/>
  <c r="J31" i="2"/>
  <c r="L20" i="34" s="1"/>
  <c r="H98" i="34"/>
  <c r="T32" i="11"/>
  <c r="W409" i="34"/>
  <c r="C61" i="2"/>
  <c r="E31" i="34" s="1"/>
  <c r="L91" i="34"/>
  <c r="H31" i="34"/>
  <c r="J112" i="34"/>
  <c r="H32" i="34"/>
  <c r="F66" i="11"/>
  <c r="H97" i="34" s="1"/>
  <c r="H13" i="34"/>
  <c r="G20" i="34"/>
  <c r="M31" i="34"/>
  <c r="H11" i="34"/>
  <c r="L113" i="34"/>
  <c r="L112" i="34"/>
  <c r="N22" i="34"/>
  <c r="G66" i="11"/>
  <c r="H67" i="11" s="1"/>
  <c r="P99" i="34"/>
  <c r="T180" i="34"/>
  <c r="G16" i="45"/>
  <c r="N31" i="34"/>
  <c r="N11" i="34"/>
  <c r="T177" i="34"/>
  <c r="N32" i="34"/>
  <c r="N12" i="34"/>
  <c r="P97" i="34"/>
  <c r="M158" i="34"/>
  <c r="M151" i="34"/>
  <c r="G11" i="34"/>
  <c r="G32" i="34"/>
  <c r="G12" i="34"/>
  <c r="K70" i="10"/>
  <c r="N70" i="11"/>
  <c r="P105" i="34" s="1"/>
  <c r="I98" i="34"/>
  <c r="I13" i="34"/>
  <c r="G61" i="2"/>
  <c r="K22" i="34"/>
  <c r="K18" i="34"/>
  <c r="K17" i="34"/>
  <c r="T19" i="2"/>
  <c r="L33" i="34"/>
  <c r="L15" i="34"/>
  <c r="L21" i="34"/>
  <c r="L14" i="34"/>
  <c r="I70" i="10"/>
  <c r="K157" i="34" s="1"/>
  <c r="K151" i="34"/>
  <c r="H32" i="2"/>
  <c r="I32" i="2"/>
  <c r="J17" i="34"/>
  <c r="J22" i="34"/>
  <c r="J18" i="34"/>
  <c r="K113" i="34"/>
  <c r="K112" i="34"/>
  <c r="G12" i="37"/>
  <c r="W382" i="34"/>
  <c r="O66" i="11"/>
  <c r="W379" i="34"/>
  <c r="Q98" i="34"/>
  <c r="K19" i="2"/>
  <c r="L89" i="34"/>
  <c r="L86" i="34"/>
  <c r="J32" i="11"/>
  <c r="T381" i="34"/>
  <c r="T380" i="34"/>
  <c r="C15" i="35"/>
  <c r="S380" i="34"/>
  <c r="S381" i="34"/>
  <c r="S153" i="34"/>
  <c r="T437" i="34"/>
  <c r="T436" i="34"/>
  <c r="T471" i="34"/>
  <c r="D91" i="37"/>
  <c r="T70" i="10"/>
  <c r="S158" i="34"/>
  <c r="T66" i="2"/>
  <c r="S29" i="34" s="1"/>
  <c r="N20" i="34"/>
  <c r="N18" i="34"/>
  <c r="K158" i="34"/>
  <c r="J14" i="34"/>
  <c r="J33" i="34"/>
  <c r="J20" i="34"/>
  <c r="C19" i="37"/>
  <c r="K153" i="34"/>
  <c r="T472" i="34"/>
  <c r="T474" i="34"/>
  <c r="T409" i="34"/>
  <c r="T410" i="34"/>
  <c r="J70" i="10"/>
  <c r="L151" i="34"/>
  <c r="J67" i="10"/>
  <c r="L153" i="34"/>
  <c r="L158" i="34"/>
  <c r="K67" i="10"/>
  <c r="M89" i="34"/>
  <c r="M86" i="34"/>
  <c r="M87" i="34"/>
  <c r="K32" i="11"/>
  <c r="K31" i="2"/>
  <c r="M91" i="34"/>
  <c r="I61" i="2"/>
  <c r="K98" i="34"/>
  <c r="I66" i="11"/>
  <c r="K97" i="34" s="1"/>
  <c r="K13" i="34"/>
  <c r="D61" i="2"/>
  <c r="F13" i="34"/>
  <c r="M127" i="34"/>
  <c r="M112" i="34"/>
  <c r="M113" i="34"/>
  <c r="M129" i="34"/>
  <c r="M28" i="2"/>
  <c r="O19" i="34" s="1"/>
  <c r="O88" i="34"/>
  <c r="M31" i="11"/>
  <c r="H151" i="34"/>
  <c r="H158" i="34"/>
  <c r="H153" i="34"/>
  <c r="F70" i="10"/>
  <c r="H157" i="34" s="1"/>
  <c r="G67" i="10"/>
  <c r="L66" i="2"/>
  <c r="H70" i="11"/>
  <c r="J103" i="34" s="1"/>
  <c r="J104" i="34"/>
  <c r="J99" i="34"/>
  <c r="T67" i="10"/>
  <c r="K33" i="34"/>
  <c r="J19" i="2"/>
  <c r="K20" i="34"/>
  <c r="I19" i="2"/>
  <c r="K14" i="34"/>
  <c r="K15" i="34"/>
  <c r="K21" i="34"/>
  <c r="J11" i="34"/>
  <c r="J12" i="34"/>
  <c r="J31" i="34"/>
  <c r="V380" i="34"/>
  <c r="V381" i="34"/>
  <c r="U438" i="34"/>
  <c r="D73" i="36"/>
  <c r="D73" i="35" s="1"/>
  <c r="T615" i="34" s="1"/>
  <c r="D173" i="40"/>
  <c r="D173" i="39" s="1"/>
  <c r="T273" i="34" l="1"/>
  <c r="V436" i="34"/>
  <c r="C44" i="37"/>
  <c r="G120" i="39"/>
  <c r="G126" i="40"/>
  <c r="H104" i="34"/>
  <c r="C41" i="37"/>
  <c r="S668" i="34" s="1"/>
  <c r="S12" i="34"/>
  <c r="D147" i="48"/>
  <c r="F70" i="11"/>
  <c r="H103" i="34" s="1"/>
  <c r="S32" i="34"/>
  <c r="S31" i="34"/>
  <c r="C45" i="37"/>
  <c r="C46" i="37" s="1"/>
  <c r="J32" i="12"/>
  <c r="L43" i="34"/>
  <c r="K32" i="12"/>
  <c r="T32" i="12"/>
  <c r="L38" i="34"/>
  <c r="L41" i="34"/>
  <c r="L39" i="34"/>
  <c r="V348" i="34"/>
  <c r="H85" i="39"/>
  <c r="H91" i="40"/>
  <c r="H91" i="39" s="1"/>
  <c r="F205" i="39"/>
  <c r="F211" i="40"/>
  <c r="F211" i="39" s="1"/>
  <c r="I74" i="39"/>
  <c r="I80" i="40"/>
  <c r="I80" i="39" s="1"/>
  <c r="T617" i="34"/>
  <c r="G91" i="40"/>
  <c r="G91" i="39" s="1"/>
  <c r="I120" i="39"/>
  <c r="I126" i="40"/>
  <c r="H47" i="40"/>
  <c r="H47" i="39" s="1"/>
  <c r="H41" i="39"/>
  <c r="G60" i="49"/>
  <c r="G63" i="49" s="1"/>
  <c r="U701" i="34"/>
  <c r="U703" i="34"/>
  <c r="G58" i="49"/>
  <c r="E126" i="39"/>
  <c r="C85" i="36"/>
  <c r="S345" i="34"/>
  <c r="F156" i="39"/>
  <c r="F166" i="40"/>
  <c r="F126" i="39"/>
  <c r="D85" i="36"/>
  <c r="T345" i="34"/>
  <c r="S335" i="34"/>
  <c r="S334" i="34"/>
  <c r="F36" i="39"/>
  <c r="D83" i="36"/>
  <c r="T339" i="34"/>
  <c r="F21" i="39"/>
  <c r="D82" i="36"/>
  <c r="T336" i="34"/>
  <c r="G135" i="39"/>
  <c r="G141" i="40"/>
  <c r="H120" i="39"/>
  <c r="H126" i="40"/>
  <c r="S236" i="34"/>
  <c r="S235" i="34"/>
  <c r="T346" i="34"/>
  <c r="D86" i="35"/>
  <c r="T347" i="34"/>
  <c r="H80" i="39"/>
  <c r="V342" i="34"/>
  <c r="C90" i="35"/>
  <c r="S358" i="34"/>
  <c r="S359" i="34"/>
  <c r="G47" i="40"/>
  <c r="G47" i="39" s="1"/>
  <c r="G41" i="39"/>
  <c r="M176" i="40"/>
  <c r="M176" i="39" s="1"/>
  <c r="I47" i="39"/>
  <c r="W342" i="34"/>
  <c r="C83" i="35"/>
  <c r="S337" i="34"/>
  <c r="S338" i="34"/>
  <c r="M202" i="39"/>
  <c r="M205" i="40"/>
  <c r="S347" i="34"/>
  <c r="S346" i="34"/>
  <c r="C86" i="35"/>
  <c r="M196" i="40"/>
  <c r="M196" i="39" s="1"/>
  <c r="M190" i="39"/>
  <c r="S618" i="34"/>
  <c r="S617" i="34"/>
  <c r="U339" i="34"/>
  <c r="G74" i="39"/>
  <c r="G80" i="40"/>
  <c r="G80" i="39" s="1"/>
  <c r="E166" i="40"/>
  <c r="E156" i="39"/>
  <c r="E211" i="40"/>
  <c r="E205" i="39"/>
  <c r="K141" i="39"/>
  <c r="L141" i="39"/>
  <c r="J126" i="39"/>
  <c r="L126" i="39"/>
  <c r="U378" i="34"/>
  <c r="J70" i="11"/>
  <c r="L105" i="34" s="1"/>
  <c r="S105" i="34"/>
  <c r="K21" i="39"/>
  <c r="D14" i="40"/>
  <c r="U626" i="34" s="1"/>
  <c r="U627" i="34"/>
  <c r="I57" i="34"/>
  <c r="I55" i="34"/>
  <c r="H71" i="12"/>
  <c r="U196" i="34"/>
  <c r="U197" i="34"/>
  <c r="H61" i="49"/>
  <c r="V703" i="34"/>
  <c r="V701" i="34"/>
  <c r="D63" i="49"/>
  <c r="D69" i="49" s="1"/>
  <c r="H50" i="49"/>
  <c r="H52" i="49" s="1"/>
  <c r="H58" i="49" s="1"/>
  <c r="D52" i="49"/>
  <c r="G36" i="39"/>
  <c r="D46" i="37"/>
  <c r="D110" i="41" s="1"/>
  <c r="D12" i="48"/>
  <c r="S662" i="34" s="1"/>
  <c r="M67" i="12"/>
  <c r="D157" i="49"/>
  <c r="G157" i="49" s="1"/>
  <c r="G160" i="49" s="1"/>
  <c r="S707" i="34"/>
  <c r="N49" i="34"/>
  <c r="G147" i="49"/>
  <c r="D46" i="38"/>
  <c r="H148" i="48"/>
  <c r="H150" i="48" s="1"/>
  <c r="H156" i="48" s="1"/>
  <c r="H148" i="49"/>
  <c r="H150" i="49" s="1"/>
  <c r="H156" i="49" s="1"/>
  <c r="D29" i="39"/>
  <c r="U634" i="34"/>
  <c r="T663" i="34"/>
  <c r="D13" i="48"/>
  <c r="Q153" i="34"/>
  <c r="P67" i="11"/>
  <c r="Q158" i="34"/>
  <c r="P67" i="10"/>
  <c r="P158" i="34"/>
  <c r="Q151" i="34"/>
  <c r="D41" i="36"/>
  <c r="G25" i="34"/>
  <c r="F27" i="34"/>
  <c r="G26" i="34"/>
  <c r="F63" i="34"/>
  <c r="C65" i="2"/>
  <c r="D65" i="12"/>
  <c r="F111" i="34"/>
  <c r="D65" i="11"/>
  <c r="V614" i="34"/>
  <c r="V616" i="34"/>
  <c r="D28" i="38"/>
  <c r="D38" i="42"/>
  <c r="D42" i="42" s="1"/>
  <c r="R65" i="11"/>
  <c r="J16" i="35"/>
  <c r="R65" i="12"/>
  <c r="D81" i="36"/>
  <c r="T331" i="34" s="1"/>
  <c r="G67" i="11"/>
  <c r="P152" i="34"/>
  <c r="T294" i="34"/>
  <c r="M67" i="11"/>
  <c r="O97" i="34"/>
  <c r="G50" i="34"/>
  <c r="G62" i="34"/>
  <c r="H46" i="34"/>
  <c r="H47" i="34"/>
  <c r="G48" i="34"/>
  <c r="G61" i="34"/>
  <c r="E66" i="12"/>
  <c r="G49" i="34" s="1"/>
  <c r="W253" i="34"/>
  <c r="W254" i="34"/>
  <c r="W384" i="34"/>
  <c r="W383" i="34"/>
  <c r="S19" i="34"/>
  <c r="L70" i="12"/>
  <c r="V71" i="12" s="1"/>
  <c r="N51" i="34"/>
  <c r="N56" i="34"/>
  <c r="L67" i="12"/>
  <c r="F12" i="38"/>
  <c r="T293" i="34"/>
  <c r="D13" i="41"/>
  <c r="H13" i="41" s="1"/>
  <c r="H181" i="40"/>
  <c r="H181" i="39" s="1"/>
  <c r="W279" i="34"/>
  <c r="W278" i="34"/>
  <c r="J178" i="40"/>
  <c r="M178" i="40" s="1"/>
  <c r="M178" i="39" s="1"/>
  <c r="V557" i="34"/>
  <c r="S632" i="34"/>
  <c r="S633" i="34"/>
  <c r="D33" i="35"/>
  <c r="T197" i="34" s="1"/>
  <c r="S86" i="34"/>
  <c r="S87" i="34"/>
  <c r="S91" i="34"/>
  <c r="S89" i="34"/>
  <c r="T31" i="2"/>
  <c r="T32" i="2" s="1"/>
  <c r="H49" i="42"/>
  <c r="T254" i="34"/>
  <c r="T253" i="34"/>
  <c r="L31" i="34"/>
  <c r="T272" i="34"/>
  <c r="J125" i="41"/>
  <c r="D19" i="36"/>
  <c r="H104" i="41"/>
  <c r="H108" i="41" s="1"/>
  <c r="S51" i="34"/>
  <c r="T67" i="12"/>
  <c r="S56" i="34"/>
  <c r="T70" i="12"/>
  <c r="S55" i="34" s="1"/>
  <c r="H56" i="34"/>
  <c r="H51" i="34"/>
  <c r="F70" i="12"/>
  <c r="H55" i="34" s="1"/>
  <c r="G67" i="12"/>
  <c r="E65" i="10"/>
  <c r="E66" i="10" s="1"/>
  <c r="G110" i="34"/>
  <c r="H94" i="34"/>
  <c r="H95" i="34"/>
  <c r="G98" i="34"/>
  <c r="E66" i="11"/>
  <c r="G96" i="34"/>
  <c r="G109" i="34"/>
  <c r="S545" i="34"/>
  <c r="C82" i="35"/>
  <c r="D174" i="40"/>
  <c r="D174" i="39" s="1"/>
  <c r="E73" i="36"/>
  <c r="M66" i="2"/>
  <c r="H17" i="45" s="1"/>
  <c r="L32" i="34"/>
  <c r="T333" i="34"/>
  <c r="D44" i="35"/>
  <c r="W651" i="34"/>
  <c r="W650" i="34"/>
  <c r="O57" i="34"/>
  <c r="O55" i="34"/>
  <c r="I16" i="37"/>
  <c r="I16" i="36"/>
  <c r="L11" i="34"/>
  <c r="D84" i="35"/>
  <c r="T551" i="34"/>
  <c r="I177" i="40"/>
  <c r="S49" i="34"/>
  <c r="Q65" i="10"/>
  <c r="Q66" i="10" s="1"/>
  <c r="Q66" i="11"/>
  <c r="W237" i="34"/>
  <c r="W440" i="34"/>
  <c r="V446" i="34"/>
  <c r="E175" i="42"/>
  <c r="V458" i="34"/>
  <c r="W243" i="34"/>
  <c r="W446" i="34"/>
  <c r="D106" i="42"/>
  <c r="U337" i="34"/>
  <c r="E83" i="35"/>
  <c r="U338" i="34"/>
  <c r="P157" i="34"/>
  <c r="P159" i="34"/>
  <c r="N67" i="10"/>
  <c r="O67" i="10"/>
  <c r="P153" i="34"/>
  <c r="P151" i="34"/>
  <c r="O71" i="10"/>
  <c r="H70" i="10"/>
  <c r="J157" i="34" s="1"/>
  <c r="J32" i="2"/>
  <c r="N151" i="34"/>
  <c r="I67" i="10"/>
  <c r="H66" i="2"/>
  <c r="J29" i="34" s="1"/>
  <c r="L70" i="10"/>
  <c r="N157" i="34" s="1"/>
  <c r="H67" i="10"/>
  <c r="T276" i="34"/>
  <c r="T275" i="34"/>
  <c r="S276" i="34"/>
  <c r="S275" i="34"/>
  <c r="Q157" i="34"/>
  <c r="T332" i="34"/>
  <c r="S331" i="34"/>
  <c r="S332" i="34"/>
  <c r="W543" i="34"/>
  <c r="G81" i="38"/>
  <c r="W482" i="34"/>
  <c r="W483" i="34"/>
  <c r="E12" i="35"/>
  <c r="U176" i="34" s="1"/>
  <c r="M70" i="11"/>
  <c r="N71" i="11" s="1"/>
  <c r="O99" i="34"/>
  <c r="O104" i="34"/>
  <c r="E81" i="37"/>
  <c r="U436" i="34" s="1"/>
  <c r="O151" i="34"/>
  <c r="N153" i="34"/>
  <c r="D15" i="35"/>
  <c r="D19" i="35" s="1"/>
  <c r="U275" i="34"/>
  <c r="U276" i="34"/>
  <c r="M97" i="34"/>
  <c r="U67" i="11"/>
  <c r="U377" i="34"/>
  <c r="M57" i="34"/>
  <c r="K71" i="12"/>
  <c r="M159" i="34"/>
  <c r="U71" i="10"/>
  <c r="U331" i="34"/>
  <c r="U332" i="34"/>
  <c r="L71" i="12"/>
  <c r="S196" i="34"/>
  <c r="S197" i="34"/>
  <c r="V633" i="34"/>
  <c r="D31" i="40"/>
  <c r="O153" i="34"/>
  <c r="N158" i="34"/>
  <c r="D109" i="42"/>
  <c r="G109" i="42" s="1"/>
  <c r="M70" i="10"/>
  <c r="O157" i="34" s="1"/>
  <c r="M67" i="10"/>
  <c r="J158" i="34"/>
  <c r="U180" i="34"/>
  <c r="O11" i="34"/>
  <c r="O31" i="34"/>
  <c r="Q159" i="34"/>
  <c r="P71" i="10"/>
  <c r="O12" i="34"/>
  <c r="J151" i="34"/>
  <c r="O32" i="34"/>
  <c r="H16" i="45"/>
  <c r="V483" i="34"/>
  <c r="V482" i="34"/>
  <c r="F81" i="38"/>
  <c r="V543" i="34"/>
  <c r="S228" i="34"/>
  <c r="S542" i="34"/>
  <c r="S541" i="34"/>
  <c r="C28" i="35"/>
  <c r="S702" i="34"/>
  <c r="U543" i="34"/>
  <c r="U483" i="34"/>
  <c r="E81" i="38"/>
  <c r="U482" i="34"/>
  <c r="F16" i="45"/>
  <c r="G49" i="42"/>
  <c r="G37" i="42"/>
  <c r="M157" i="34"/>
  <c r="G103" i="42"/>
  <c r="G108" i="42" s="1"/>
  <c r="T543" i="34"/>
  <c r="T483" i="34"/>
  <c r="T482" i="34"/>
  <c r="D81" i="38"/>
  <c r="D12" i="35"/>
  <c r="S705" i="34"/>
  <c r="T67" i="11"/>
  <c r="C91" i="37"/>
  <c r="S477" i="34" s="1"/>
  <c r="L67" i="11"/>
  <c r="J66" i="2"/>
  <c r="L29" i="34" s="1"/>
  <c r="C81" i="35"/>
  <c r="S226" i="34" s="1"/>
  <c r="L18" i="34"/>
  <c r="K67" i="11"/>
  <c r="L17" i="34"/>
  <c r="I157" i="34"/>
  <c r="L99" i="34"/>
  <c r="S436" i="34"/>
  <c r="L104" i="34"/>
  <c r="S471" i="34"/>
  <c r="K66" i="2"/>
  <c r="L22" i="34"/>
  <c r="I159" i="34"/>
  <c r="N103" i="34"/>
  <c r="M32" i="34"/>
  <c r="M11" i="34"/>
  <c r="M12" i="34"/>
  <c r="S180" i="34"/>
  <c r="S175" i="34"/>
  <c r="M104" i="34"/>
  <c r="K70" i="11"/>
  <c r="M99" i="34"/>
  <c r="Q86" i="34"/>
  <c r="Q87" i="34"/>
  <c r="Q91" i="34"/>
  <c r="O32" i="11"/>
  <c r="Q89" i="34"/>
  <c r="T70" i="2"/>
  <c r="S30" i="34" s="1"/>
  <c r="E11" i="34"/>
  <c r="E12" i="34"/>
  <c r="E32" i="34"/>
  <c r="G71" i="10"/>
  <c r="F66" i="2"/>
  <c r="F70" i="2" s="1"/>
  <c r="H28" i="34" s="1"/>
  <c r="H99" i="34"/>
  <c r="I32" i="34"/>
  <c r="I31" i="34"/>
  <c r="I11" i="34"/>
  <c r="I12" i="34"/>
  <c r="G66" i="2"/>
  <c r="I99" i="34"/>
  <c r="I104" i="34"/>
  <c r="G70" i="11"/>
  <c r="I97" i="34"/>
  <c r="P103" i="34"/>
  <c r="T477" i="34"/>
  <c r="T469" i="34"/>
  <c r="T470" i="34"/>
  <c r="D93" i="37"/>
  <c r="D12" i="41"/>
  <c r="S663" i="34"/>
  <c r="S159" i="34"/>
  <c r="S157" i="34"/>
  <c r="C19" i="35"/>
  <c r="S179" i="34"/>
  <c r="S178" i="34"/>
  <c r="K159" i="34"/>
  <c r="I71" i="10"/>
  <c r="T178" i="34"/>
  <c r="O67" i="11"/>
  <c r="Q104" i="34"/>
  <c r="Q97" i="34"/>
  <c r="Q99" i="34"/>
  <c r="O70" i="11"/>
  <c r="P71" i="11" s="1"/>
  <c r="W377" i="34"/>
  <c r="G81" i="37"/>
  <c r="W378" i="34"/>
  <c r="G15" i="37"/>
  <c r="W438" i="34"/>
  <c r="J105" i="34"/>
  <c r="H71" i="11"/>
  <c r="I67" i="11"/>
  <c r="I70" i="11"/>
  <c r="K103" i="34" s="1"/>
  <c r="I66" i="2"/>
  <c r="K104" i="34"/>
  <c r="K99" i="34"/>
  <c r="J67" i="11"/>
  <c r="J71" i="10"/>
  <c r="L159" i="34"/>
  <c r="T71" i="10"/>
  <c r="K71" i="10"/>
  <c r="U381" i="34"/>
  <c r="E15" i="35"/>
  <c r="U380" i="34"/>
  <c r="H70" i="2"/>
  <c r="J28" i="34" s="1"/>
  <c r="C44" i="35"/>
  <c r="F11" i="34"/>
  <c r="F31" i="34"/>
  <c r="F32" i="34"/>
  <c r="F12" i="34"/>
  <c r="O91" i="34"/>
  <c r="M32" i="11"/>
  <c r="O87" i="34"/>
  <c r="N32" i="11"/>
  <c r="O86" i="34"/>
  <c r="O89" i="34"/>
  <c r="M31" i="2"/>
  <c r="K31" i="34"/>
  <c r="K12" i="34"/>
  <c r="K32" i="34"/>
  <c r="K11" i="34"/>
  <c r="G103" i="41"/>
  <c r="L157" i="34"/>
  <c r="H105" i="34"/>
  <c r="H159" i="34"/>
  <c r="S669" i="34"/>
  <c r="C41" i="35"/>
  <c r="M18" i="34"/>
  <c r="M22" i="34"/>
  <c r="M17" i="34"/>
  <c r="M20" i="34"/>
  <c r="K32" i="2"/>
  <c r="L32" i="2"/>
  <c r="O159" i="34"/>
  <c r="L70" i="2"/>
  <c r="N28" i="34" s="1"/>
  <c r="N29" i="34"/>
  <c r="G17" i="45"/>
  <c r="T652" i="34"/>
  <c r="F173" i="40"/>
  <c r="F173" i="39" s="1"/>
  <c r="T651" i="34"/>
  <c r="T650" i="34"/>
  <c r="U342" i="34" l="1"/>
  <c r="U437" i="34"/>
  <c r="U175" i="34"/>
  <c r="G126" i="39"/>
  <c r="U345" i="34"/>
  <c r="E85" i="36"/>
  <c r="H71" i="10"/>
  <c r="J159" i="34"/>
  <c r="L103" i="34"/>
  <c r="M70" i="2"/>
  <c r="O28" i="34" s="1"/>
  <c r="T71" i="11"/>
  <c r="G147" i="48"/>
  <c r="M147" i="48" s="1"/>
  <c r="D31" i="39"/>
  <c r="J31" i="40"/>
  <c r="D175" i="40"/>
  <c r="D175" i="39" s="1"/>
  <c r="U340" i="34"/>
  <c r="U628" i="34"/>
  <c r="I126" i="39"/>
  <c r="W345" i="34"/>
  <c r="G69" i="49"/>
  <c r="U552" i="34"/>
  <c r="U550" i="34"/>
  <c r="T196" i="34"/>
  <c r="U228" i="34"/>
  <c r="D14" i="39"/>
  <c r="U592" i="34" s="1"/>
  <c r="M205" i="39"/>
  <c r="M211" i="40"/>
  <c r="M211" i="39" s="1"/>
  <c r="S233" i="34"/>
  <c r="S232" i="34"/>
  <c r="S254" i="34"/>
  <c r="S253" i="34"/>
  <c r="T241" i="34"/>
  <c r="T242" i="34"/>
  <c r="H126" i="39"/>
  <c r="V345" i="34"/>
  <c r="D83" i="35"/>
  <c r="T338" i="34"/>
  <c r="T337" i="34"/>
  <c r="E166" i="39"/>
  <c r="S351" i="34"/>
  <c r="C87" i="36"/>
  <c r="D147" i="40"/>
  <c r="C45" i="36"/>
  <c r="E251" i="40"/>
  <c r="S242" i="34"/>
  <c r="S241" i="34"/>
  <c r="T335" i="34"/>
  <c r="T334" i="34"/>
  <c r="D82" i="35"/>
  <c r="T343" i="34"/>
  <c r="D85" i="35"/>
  <c r="T344" i="34"/>
  <c r="G141" i="39"/>
  <c r="U348" i="34"/>
  <c r="E86" i="36"/>
  <c r="S344" i="34"/>
  <c r="S343" i="34"/>
  <c r="C85" i="35"/>
  <c r="I181" i="40"/>
  <c r="I181" i="39" s="1"/>
  <c r="I177" i="39"/>
  <c r="J181" i="40"/>
  <c r="J181" i="39" s="1"/>
  <c r="J178" i="39"/>
  <c r="I14" i="40"/>
  <c r="I15" i="40" s="1"/>
  <c r="E211" i="39"/>
  <c r="S354" i="34"/>
  <c r="C88" i="36"/>
  <c r="C88" i="35" s="1"/>
  <c r="C47" i="36"/>
  <c r="F166" i="39"/>
  <c r="D87" i="36"/>
  <c r="T351" i="34"/>
  <c r="D148" i="40"/>
  <c r="D78" i="37"/>
  <c r="T660" i="34" s="1"/>
  <c r="T672" i="34"/>
  <c r="D158" i="48"/>
  <c r="H158" i="48" s="1"/>
  <c r="V457" i="34" s="1"/>
  <c r="T701" i="34"/>
  <c r="W703" i="34"/>
  <c r="W701" i="34"/>
  <c r="H63" i="49"/>
  <c r="D58" i="49"/>
  <c r="T703" i="34"/>
  <c r="D78" i="38"/>
  <c r="T696" i="34" s="1"/>
  <c r="T671" i="34"/>
  <c r="M148" i="49"/>
  <c r="D110" i="42"/>
  <c r="H110" i="42" s="1"/>
  <c r="H114" i="42" s="1"/>
  <c r="T708" i="34"/>
  <c r="T707" i="34"/>
  <c r="D158" i="49"/>
  <c r="G150" i="49"/>
  <c r="G156" i="49" s="1"/>
  <c r="G166" i="49" s="1"/>
  <c r="U564" i="34"/>
  <c r="U562" i="34"/>
  <c r="D157" i="48"/>
  <c r="S671" i="34"/>
  <c r="W697" i="34"/>
  <c r="W695" i="34"/>
  <c r="N55" i="34"/>
  <c r="G12" i="48"/>
  <c r="G15" i="48" s="1"/>
  <c r="S664" i="34"/>
  <c r="N71" i="10"/>
  <c r="M147" i="49"/>
  <c r="G150" i="48"/>
  <c r="G156" i="48" s="1"/>
  <c r="M148" i="48"/>
  <c r="I29" i="39"/>
  <c r="I30" i="40"/>
  <c r="T664" i="34"/>
  <c r="H13" i="48"/>
  <c r="H15" i="48" s="1"/>
  <c r="D15" i="48"/>
  <c r="T662" i="34"/>
  <c r="G104" i="34"/>
  <c r="G99" i="34"/>
  <c r="F67" i="11"/>
  <c r="E70" i="11"/>
  <c r="R65" i="10"/>
  <c r="R66" i="10" s="1"/>
  <c r="R66" i="11"/>
  <c r="G97" i="34"/>
  <c r="U651" i="34"/>
  <c r="U650" i="34"/>
  <c r="G71" i="12"/>
  <c r="H57" i="34"/>
  <c r="D41" i="35"/>
  <c r="T632" i="34"/>
  <c r="T633" i="34"/>
  <c r="T236" i="34"/>
  <c r="T235" i="34"/>
  <c r="U652" i="34"/>
  <c r="G174" i="40"/>
  <c r="H38" i="42"/>
  <c r="G47" i="34"/>
  <c r="G46" i="34"/>
  <c r="F62" i="34"/>
  <c r="D66" i="12"/>
  <c r="F50" i="34"/>
  <c r="F61" i="34"/>
  <c r="F48" i="34"/>
  <c r="D65" i="10"/>
  <c r="D66" i="10" s="1"/>
  <c r="E67" i="10" s="1"/>
  <c r="F96" i="34"/>
  <c r="G94" i="34"/>
  <c r="G95" i="34"/>
  <c r="F110" i="34"/>
  <c r="F109" i="34"/>
  <c r="D66" i="11"/>
  <c r="F98" i="34"/>
  <c r="C93" i="37"/>
  <c r="S475" i="34" s="1"/>
  <c r="Q70" i="11"/>
  <c r="Q71" i="11" s="1"/>
  <c r="Q67" i="11"/>
  <c r="S230" i="34"/>
  <c r="S229" i="34"/>
  <c r="J104" i="41"/>
  <c r="N57" i="34"/>
  <c r="M71" i="12"/>
  <c r="T702" i="34"/>
  <c r="E111" i="34"/>
  <c r="F25" i="34"/>
  <c r="F26" i="34"/>
  <c r="C65" i="11"/>
  <c r="C65" i="12"/>
  <c r="E63" i="34"/>
  <c r="S470" i="34"/>
  <c r="M29" i="34"/>
  <c r="Q70" i="10"/>
  <c r="Q71" i="10" s="1"/>
  <c r="Q67" i="10"/>
  <c r="D106" i="41"/>
  <c r="M67" i="2"/>
  <c r="S469" i="34"/>
  <c r="G153" i="34"/>
  <c r="G151" i="34"/>
  <c r="G158" i="34"/>
  <c r="E70" i="10"/>
  <c r="G157" i="34" s="1"/>
  <c r="F67" i="10"/>
  <c r="S57" i="34"/>
  <c r="T71" i="12"/>
  <c r="S598" i="34"/>
  <c r="S634" i="34"/>
  <c r="H110" i="41"/>
  <c r="H114" i="41" s="1"/>
  <c r="T601" i="34"/>
  <c r="M173" i="40"/>
  <c r="M173" i="39" s="1"/>
  <c r="F175" i="40"/>
  <c r="O29" i="34"/>
  <c r="M177" i="40"/>
  <c r="F67" i="12"/>
  <c r="T627" i="34"/>
  <c r="D13" i="40"/>
  <c r="D13" i="39" s="1"/>
  <c r="J16" i="36"/>
  <c r="J16" i="37"/>
  <c r="W249" i="34"/>
  <c r="W354" i="34"/>
  <c r="S22" i="34"/>
  <c r="S17" i="34"/>
  <c r="S18" i="34"/>
  <c r="S20" i="34"/>
  <c r="V354" i="34"/>
  <c r="G51" i="34"/>
  <c r="G56" i="34"/>
  <c r="E70" i="12"/>
  <c r="G55" i="34" s="1"/>
  <c r="E67" i="12"/>
  <c r="E66" i="2"/>
  <c r="F67" i="2" s="1"/>
  <c r="S249" i="34"/>
  <c r="S258" i="34"/>
  <c r="T591" i="34"/>
  <c r="S563" i="34"/>
  <c r="S572" i="34"/>
  <c r="W458" i="34"/>
  <c r="T179" i="34"/>
  <c r="H17" i="41"/>
  <c r="W557" i="34"/>
  <c r="C91" i="38"/>
  <c r="S582" i="34" s="1"/>
  <c r="S576" i="34"/>
  <c r="W551" i="34"/>
  <c r="J106" i="42"/>
  <c r="U233" i="34"/>
  <c r="U232" i="34"/>
  <c r="M71" i="10"/>
  <c r="N159" i="34"/>
  <c r="L71" i="10"/>
  <c r="S708" i="34"/>
  <c r="W541" i="34"/>
  <c r="W542" i="34"/>
  <c r="O103" i="34"/>
  <c r="O105" i="34"/>
  <c r="M71" i="11"/>
  <c r="D12" i="40"/>
  <c r="D12" i="39" s="1"/>
  <c r="S592" i="34" s="1"/>
  <c r="S627" i="34"/>
  <c r="K71" i="11"/>
  <c r="U71" i="11"/>
  <c r="V634" i="34"/>
  <c r="V632" i="34"/>
  <c r="D32" i="40"/>
  <c r="K32" i="40" s="1"/>
  <c r="W633" i="34"/>
  <c r="D33" i="40"/>
  <c r="L33" i="40" s="1"/>
  <c r="F17" i="45"/>
  <c r="F21" i="45" s="1"/>
  <c r="F23" i="45" s="1"/>
  <c r="L67" i="2"/>
  <c r="J70" i="2"/>
  <c r="T71" i="2" s="1"/>
  <c r="V542" i="34"/>
  <c r="V541" i="34"/>
  <c r="T67" i="2"/>
  <c r="J103" i="42"/>
  <c r="U541" i="34"/>
  <c r="U542" i="34"/>
  <c r="J67" i="2"/>
  <c r="D105" i="42"/>
  <c r="G114" i="42"/>
  <c r="G42" i="42"/>
  <c r="S227" i="34"/>
  <c r="H29" i="34"/>
  <c r="K67" i="2"/>
  <c r="T228" i="34"/>
  <c r="T176" i="34"/>
  <c r="T175" i="34"/>
  <c r="L7" i="45"/>
  <c r="L9" i="45" s="1"/>
  <c r="T541" i="34"/>
  <c r="T542" i="34"/>
  <c r="T576" i="34"/>
  <c r="D91" i="38"/>
  <c r="D81" i="35"/>
  <c r="E81" i="35"/>
  <c r="U226" i="34" s="1"/>
  <c r="S594" i="34"/>
  <c r="K70" i="2"/>
  <c r="G67" i="2"/>
  <c r="H67" i="2"/>
  <c r="M103" i="34"/>
  <c r="M105" i="34"/>
  <c r="L71" i="11"/>
  <c r="S28" i="34"/>
  <c r="J71" i="11"/>
  <c r="G70" i="2"/>
  <c r="G71" i="2" s="1"/>
  <c r="I29" i="34"/>
  <c r="I103" i="34"/>
  <c r="I105" i="34"/>
  <c r="G71" i="11"/>
  <c r="G12" i="41"/>
  <c r="D17" i="41"/>
  <c r="Q103" i="34"/>
  <c r="Q105" i="34"/>
  <c r="O71" i="11"/>
  <c r="T480" i="34"/>
  <c r="D96" i="37"/>
  <c r="T476" i="34"/>
  <c r="T475" i="34"/>
  <c r="S591" i="34"/>
  <c r="W380" i="34"/>
  <c r="W381" i="34"/>
  <c r="W437" i="34"/>
  <c r="W436" i="34"/>
  <c r="U178" i="34"/>
  <c r="U179" i="34"/>
  <c r="G108" i="41"/>
  <c r="G21" i="45"/>
  <c r="S597" i="34"/>
  <c r="J103" i="41"/>
  <c r="S672" i="34"/>
  <c r="D109" i="41"/>
  <c r="K29" i="34"/>
  <c r="I67" i="2"/>
  <c r="I70" i="2"/>
  <c r="K105" i="34"/>
  <c r="I71" i="11"/>
  <c r="H21" i="45"/>
  <c r="H18" i="45"/>
  <c r="N30" i="34"/>
  <c r="H30" i="34"/>
  <c r="J30" i="34"/>
  <c r="O17" i="34"/>
  <c r="O20" i="34"/>
  <c r="O22" i="34"/>
  <c r="M32" i="2"/>
  <c r="O18" i="34"/>
  <c r="T614" i="34"/>
  <c r="T616" i="34"/>
  <c r="U457" i="34" l="1"/>
  <c r="U459" i="34"/>
  <c r="D181" i="40"/>
  <c r="D181" i="39" s="1"/>
  <c r="U343" i="34"/>
  <c r="U344" i="34"/>
  <c r="E85" i="35"/>
  <c r="M71" i="2"/>
  <c r="O30" i="34"/>
  <c r="C96" i="37"/>
  <c r="I14" i="39"/>
  <c r="E87" i="38"/>
  <c r="D149" i="49"/>
  <c r="I149" i="49" s="1"/>
  <c r="I150" i="49" s="1"/>
  <c r="I156" i="49" s="1"/>
  <c r="I166" i="49" s="1"/>
  <c r="G87" i="38" s="1"/>
  <c r="G251" i="49"/>
  <c r="U725" i="34"/>
  <c r="U726" i="34"/>
  <c r="E45" i="38"/>
  <c r="U590" i="34"/>
  <c r="E251" i="39"/>
  <c r="S363" i="34"/>
  <c r="S361" i="34"/>
  <c r="T233" i="34"/>
  <c r="T232" i="34"/>
  <c r="H148" i="40"/>
  <c r="D148" i="39"/>
  <c r="U347" i="34"/>
  <c r="U346" i="34"/>
  <c r="E86" i="35"/>
  <c r="T239" i="34"/>
  <c r="T238" i="34"/>
  <c r="C46" i="36"/>
  <c r="C45" i="35"/>
  <c r="M181" i="40"/>
  <c r="M181" i="39" s="1"/>
  <c r="M177" i="39"/>
  <c r="S352" i="34"/>
  <c r="S353" i="34"/>
  <c r="S238" i="34"/>
  <c r="S239" i="34"/>
  <c r="G147" i="40"/>
  <c r="D147" i="39"/>
  <c r="M174" i="40"/>
  <c r="M174" i="39" s="1"/>
  <c r="G174" i="39"/>
  <c r="T349" i="34"/>
  <c r="T350" i="34"/>
  <c r="D87" i="35"/>
  <c r="T229" i="34"/>
  <c r="T230" i="34"/>
  <c r="S349" i="34"/>
  <c r="S350" i="34"/>
  <c r="C87" i="35"/>
  <c r="S257" i="34" s="1"/>
  <c r="S362" i="34"/>
  <c r="C91" i="36"/>
  <c r="C91" i="35" s="1"/>
  <c r="S366" i="34"/>
  <c r="G157" i="48"/>
  <c r="S476" i="34"/>
  <c r="L30" i="34"/>
  <c r="S480" i="34"/>
  <c r="D33" i="39"/>
  <c r="J36" i="40"/>
  <c r="J36" i="39" s="1"/>
  <c r="J31" i="39"/>
  <c r="D32" i="39"/>
  <c r="D160" i="48"/>
  <c r="S688" i="34" s="1"/>
  <c r="V459" i="34"/>
  <c r="H160" i="48"/>
  <c r="H166" i="48" s="1"/>
  <c r="F87" i="37" s="1"/>
  <c r="V454" i="34" s="1"/>
  <c r="H69" i="49"/>
  <c r="V552" i="34"/>
  <c r="V550" i="34"/>
  <c r="D78" i="35"/>
  <c r="T588" i="34" s="1"/>
  <c r="S701" i="34"/>
  <c r="S703" i="34"/>
  <c r="H158" i="49"/>
  <c r="D160" i="49"/>
  <c r="T626" i="34"/>
  <c r="I21" i="40"/>
  <c r="I15" i="39"/>
  <c r="U571" i="34"/>
  <c r="U559" i="34"/>
  <c r="W661" i="34"/>
  <c r="W659" i="34"/>
  <c r="G21" i="48"/>
  <c r="E82" i="37" s="1"/>
  <c r="U690" i="34"/>
  <c r="U689" i="34"/>
  <c r="I36" i="40"/>
  <c r="I30" i="39"/>
  <c r="D21" i="48"/>
  <c r="V662" i="34"/>
  <c r="V664" i="34"/>
  <c r="H21" i="48"/>
  <c r="F82" i="37" s="1"/>
  <c r="V690" i="34"/>
  <c r="V689" i="34"/>
  <c r="F181" i="40"/>
  <c r="D45" i="36" s="1"/>
  <c r="F175" i="39"/>
  <c r="G160" i="48"/>
  <c r="C93" i="38"/>
  <c r="S585" i="34" s="1"/>
  <c r="S575" i="34"/>
  <c r="S574" i="34"/>
  <c r="D150" i="49"/>
  <c r="S596" i="34"/>
  <c r="U614" i="34"/>
  <c r="U616" i="34"/>
  <c r="G57" i="34"/>
  <c r="T628" i="34"/>
  <c r="H13" i="40"/>
  <c r="H13" i="39" s="1"/>
  <c r="C65" i="10"/>
  <c r="C66" i="10" s="1"/>
  <c r="F95" i="34"/>
  <c r="F94" i="34"/>
  <c r="E109" i="34"/>
  <c r="E110" i="34"/>
  <c r="E98" i="34"/>
  <c r="C66" i="11"/>
  <c r="D67" i="11" s="1"/>
  <c r="F97" i="34"/>
  <c r="D70" i="11"/>
  <c r="F104" i="34"/>
  <c r="F99" i="34"/>
  <c r="T593" i="34"/>
  <c r="T595" i="34"/>
  <c r="H42" i="42"/>
  <c r="F71" i="12"/>
  <c r="R70" i="11"/>
  <c r="R71" i="11" s="1"/>
  <c r="R67" i="11"/>
  <c r="J106" i="41"/>
  <c r="F56" i="34"/>
  <c r="F51" i="34"/>
  <c r="D70" i="12"/>
  <c r="F55" i="34" s="1"/>
  <c r="D66" i="2"/>
  <c r="R70" i="10"/>
  <c r="R71" i="10" s="1"/>
  <c r="R67" i="10"/>
  <c r="F47" i="34"/>
  <c r="C66" i="12"/>
  <c r="D67" i="12" s="1"/>
  <c r="E50" i="34"/>
  <c r="E62" i="34"/>
  <c r="E61" i="34"/>
  <c r="F46" i="34"/>
  <c r="F49" i="34"/>
  <c r="G105" i="34"/>
  <c r="F71" i="11"/>
  <c r="H30" i="40"/>
  <c r="G159" i="34"/>
  <c r="F71" i="10"/>
  <c r="G175" i="40"/>
  <c r="T598" i="34"/>
  <c r="T634" i="34"/>
  <c r="G29" i="34"/>
  <c r="E70" i="2"/>
  <c r="D17" i="45"/>
  <c r="D21" i="45" s="1"/>
  <c r="D23" i="45" s="1"/>
  <c r="E67" i="11"/>
  <c r="D30" i="40"/>
  <c r="D30" i="39" s="1"/>
  <c r="G103" i="34"/>
  <c r="F151" i="34"/>
  <c r="D70" i="10"/>
  <c r="F153" i="34"/>
  <c r="F158" i="34"/>
  <c r="D67" i="10"/>
  <c r="T597" i="34"/>
  <c r="S248" i="34"/>
  <c r="S247" i="34"/>
  <c r="H175" i="41"/>
  <c r="M30" i="34"/>
  <c r="L28" i="34"/>
  <c r="J71" i="2"/>
  <c r="G12" i="40"/>
  <c r="S628" i="34"/>
  <c r="D15" i="40"/>
  <c r="S626" i="34"/>
  <c r="D34" i="40"/>
  <c r="M34" i="40" s="1"/>
  <c r="D35" i="40"/>
  <c r="D35" i="39" s="1"/>
  <c r="V598" i="34"/>
  <c r="V596" i="34"/>
  <c r="G18" i="45"/>
  <c r="E17" i="45"/>
  <c r="E21" i="45" s="1"/>
  <c r="U227" i="34"/>
  <c r="M28" i="34"/>
  <c r="K71" i="2"/>
  <c r="L71" i="2"/>
  <c r="G175" i="42"/>
  <c r="U237" i="34"/>
  <c r="T227" i="34"/>
  <c r="T226" i="34"/>
  <c r="S580" i="34"/>
  <c r="T575" i="34"/>
  <c r="T574" i="34"/>
  <c r="T582" i="34"/>
  <c r="D93" i="38"/>
  <c r="I105" i="42"/>
  <c r="I108" i="42" s="1"/>
  <c r="H71" i="2"/>
  <c r="I30" i="34"/>
  <c r="I28" i="34"/>
  <c r="S590" i="34"/>
  <c r="G17" i="41"/>
  <c r="S479" i="34"/>
  <c r="S478" i="34"/>
  <c r="C63" i="37"/>
  <c r="D228" i="48" s="1"/>
  <c r="T479" i="34"/>
  <c r="T478" i="34"/>
  <c r="D105" i="41"/>
  <c r="G109" i="41"/>
  <c r="S601" i="34"/>
  <c r="K30" i="34"/>
  <c r="I71" i="2"/>
  <c r="H23" i="45"/>
  <c r="H22" i="45"/>
  <c r="K28" i="34"/>
  <c r="G23" i="45"/>
  <c r="G24" i="45" s="1"/>
  <c r="G22" i="45"/>
  <c r="S256" i="34" l="1"/>
  <c r="S260" i="34"/>
  <c r="S267" i="34"/>
  <c r="U239" i="34"/>
  <c r="U238" i="34"/>
  <c r="S581" i="34"/>
  <c r="C96" i="38"/>
  <c r="M149" i="49"/>
  <c r="S682" i="34"/>
  <c r="S259" i="34"/>
  <c r="U241" i="34"/>
  <c r="U242" i="34"/>
  <c r="H148" i="39"/>
  <c r="M148" i="40"/>
  <c r="M148" i="39" s="1"/>
  <c r="H150" i="40"/>
  <c r="S245" i="34"/>
  <c r="S244" i="34"/>
  <c r="G150" i="40"/>
  <c r="G147" i="39"/>
  <c r="S636" i="34"/>
  <c r="D157" i="40"/>
  <c r="C46" i="35"/>
  <c r="S600" i="34" s="1"/>
  <c r="T244" i="34"/>
  <c r="T245" i="34"/>
  <c r="S261" i="34"/>
  <c r="G181" i="40"/>
  <c r="G181" i="39" s="1"/>
  <c r="G175" i="39"/>
  <c r="S365" i="34"/>
  <c r="S372" i="34"/>
  <c r="S364" i="34"/>
  <c r="C93" i="36"/>
  <c r="M147" i="40"/>
  <c r="M147" i="39" s="1"/>
  <c r="S686" i="34"/>
  <c r="U593" i="34"/>
  <c r="U595" i="34"/>
  <c r="V593" i="34"/>
  <c r="V595" i="34"/>
  <c r="M34" i="39"/>
  <c r="D34" i="39"/>
  <c r="K36" i="40"/>
  <c r="K32" i="39"/>
  <c r="L36" i="40"/>
  <c r="L33" i="39"/>
  <c r="E49" i="34"/>
  <c r="V726" i="34"/>
  <c r="V725" i="34"/>
  <c r="F251" i="40"/>
  <c r="F251" i="39" s="1"/>
  <c r="S722" i="34"/>
  <c r="S718" i="34"/>
  <c r="S724" i="34"/>
  <c r="H160" i="49"/>
  <c r="H166" i="49" s="1"/>
  <c r="V564" i="34"/>
  <c r="V562" i="34"/>
  <c r="W571" i="34"/>
  <c r="W559" i="34"/>
  <c r="U439" i="34"/>
  <c r="S680" i="34"/>
  <c r="W618" i="34"/>
  <c r="W617" i="34"/>
  <c r="I21" i="39"/>
  <c r="W336" i="34"/>
  <c r="G15" i="40"/>
  <c r="G15" i="39" s="1"/>
  <c r="G12" i="39"/>
  <c r="W339" i="34"/>
  <c r="I36" i="39"/>
  <c r="V439" i="34"/>
  <c r="V466" i="34"/>
  <c r="D21" i="40"/>
  <c r="D21" i="39" s="1"/>
  <c r="D15" i="39"/>
  <c r="S595" i="34"/>
  <c r="S593" i="34"/>
  <c r="H36" i="40"/>
  <c r="H36" i="39" s="1"/>
  <c r="H30" i="39"/>
  <c r="D88" i="36"/>
  <c r="T352" i="34" s="1"/>
  <c r="T354" i="34"/>
  <c r="F181" i="39"/>
  <c r="H251" i="48"/>
  <c r="D151" i="48"/>
  <c r="G166" i="48"/>
  <c r="E87" i="37" s="1"/>
  <c r="U454" i="34" s="1"/>
  <c r="G228" i="48"/>
  <c r="D231" i="48"/>
  <c r="C93" i="35"/>
  <c r="S266" i="34" s="1"/>
  <c r="D152" i="49"/>
  <c r="I251" i="49"/>
  <c r="H15" i="40"/>
  <c r="H15" i="39" s="1"/>
  <c r="U354" i="34"/>
  <c r="U249" i="34"/>
  <c r="F57" i="34"/>
  <c r="E71" i="12"/>
  <c r="F157" i="34"/>
  <c r="F159" i="34"/>
  <c r="E71" i="10"/>
  <c r="E51" i="34"/>
  <c r="C70" i="12"/>
  <c r="E57" i="34" s="1"/>
  <c r="E56" i="34"/>
  <c r="C66" i="2"/>
  <c r="C70" i="2" s="1"/>
  <c r="G28" i="34"/>
  <c r="F71" i="2"/>
  <c r="G30" i="34"/>
  <c r="F103" i="34"/>
  <c r="E71" i="11"/>
  <c r="F105" i="34"/>
  <c r="E153" i="34"/>
  <c r="E158" i="34"/>
  <c r="C70" i="10"/>
  <c r="E159" i="34" s="1"/>
  <c r="E151" i="34"/>
  <c r="V234" i="34"/>
  <c r="V237" i="34"/>
  <c r="H175" i="42"/>
  <c r="T596" i="34"/>
  <c r="E97" i="34"/>
  <c r="E99" i="34"/>
  <c r="E104" i="34"/>
  <c r="C70" i="11"/>
  <c r="E105" i="34" s="1"/>
  <c r="T592" i="34"/>
  <c r="T590" i="34"/>
  <c r="E67" i="2"/>
  <c r="D70" i="2"/>
  <c r="F29" i="34"/>
  <c r="V455" i="34"/>
  <c r="V440" i="34"/>
  <c r="F91" i="37"/>
  <c r="V467" i="34"/>
  <c r="V471" i="34"/>
  <c r="M35" i="40"/>
  <c r="M35" i="39" s="1"/>
  <c r="W634" i="34"/>
  <c r="W632" i="34"/>
  <c r="F18" i="45"/>
  <c r="U560" i="34"/>
  <c r="J105" i="42"/>
  <c r="T580" i="34"/>
  <c r="T581" i="34"/>
  <c r="T585" i="34"/>
  <c r="D96" i="38"/>
  <c r="S584" i="34"/>
  <c r="S583" i="34"/>
  <c r="C63" i="38"/>
  <c r="S716" i="34" s="1"/>
  <c r="U572" i="34"/>
  <c r="U551" i="34"/>
  <c r="E84" i="35"/>
  <c r="E91" i="38"/>
  <c r="U576" i="34"/>
  <c r="D107" i="42"/>
  <c r="I114" i="42"/>
  <c r="S681" i="34"/>
  <c r="D160" i="41"/>
  <c r="C78" i="37"/>
  <c r="U231" i="34"/>
  <c r="E23" i="45"/>
  <c r="F22" i="45"/>
  <c r="H24" i="45"/>
  <c r="G114" i="41"/>
  <c r="I105" i="41"/>
  <c r="T249" i="34"/>
  <c r="S637" i="34" l="1"/>
  <c r="D157" i="39"/>
  <c r="G157" i="40"/>
  <c r="S635" i="34"/>
  <c r="G150" i="39"/>
  <c r="G156" i="40"/>
  <c r="G156" i="39" s="1"/>
  <c r="S599" i="34"/>
  <c r="E88" i="36"/>
  <c r="U353" i="34" s="1"/>
  <c r="S375" i="34"/>
  <c r="S371" i="34"/>
  <c r="S370" i="34"/>
  <c r="C96" i="36"/>
  <c r="H150" i="39"/>
  <c r="H156" i="40"/>
  <c r="H156" i="39" s="1"/>
  <c r="E157" i="34"/>
  <c r="K36" i="39"/>
  <c r="W595" i="34"/>
  <c r="W593" i="34"/>
  <c r="L36" i="39"/>
  <c r="T363" i="34"/>
  <c r="T366" i="34"/>
  <c r="D88" i="35"/>
  <c r="T248" i="34" s="1"/>
  <c r="T353" i="34"/>
  <c r="F87" i="38"/>
  <c r="V572" i="34" s="1"/>
  <c r="D151" i="49"/>
  <c r="J151" i="49" s="1"/>
  <c r="J156" i="49" s="1"/>
  <c r="J166" i="49" s="1"/>
  <c r="H251" i="49"/>
  <c r="U618" i="34"/>
  <c r="U617" i="34"/>
  <c r="G21" i="40"/>
  <c r="E55" i="34"/>
  <c r="V592" i="34"/>
  <c r="V590" i="34"/>
  <c r="V339" i="34"/>
  <c r="D91" i="36"/>
  <c r="D93" i="36" s="1"/>
  <c r="T361" i="34"/>
  <c r="T362" i="34"/>
  <c r="D46" i="36"/>
  <c r="D45" i="35"/>
  <c r="C96" i="35"/>
  <c r="S268" i="34" s="1"/>
  <c r="D149" i="48"/>
  <c r="J151" i="48"/>
  <c r="S265" i="34"/>
  <c r="S270" i="34"/>
  <c r="M228" i="48"/>
  <c r="D237" i="48"/>
  <c r="G231" i="48"/>
  <c r="D228" i="49"/>
  <c r="K152" i="49"/>
  <c r="K156" i="49" s="1"/>
  <c r="K166" i="49" s="1"/>
  <c r="I87" i="38" s="1"/>
  <c r="I91" i="38" s="1"/>
  <c r="I93" i="38" s="1"/>
  <c r="I96" i="38" s="1"/>
  <c r="E103" i="34"/>
  <c r="D71" i="12"/>
  <c r="E71" i="2"/>
  <c r="F30" i="34"/>
  <c r="D71" i="2"/>
  <c r="F28" i="34"/>
  <c r="V551" i="34"/>
  <c r="F91" i="38"/>
  <c r="D67" i="2"/>
  <c r="D71" i="10"/>
  <c r="D71" i="11"/>
  <c r="H21" i="40"/>
  <c r="H21" i="39" s="1"/>
  <c r="V470" i="34"/>
  <c r="F93" i="37"/>
  <c r="V477" i="34"/>
  <c r="V469" i="34"/>
  <c r="V246" i="34"/>
  <c r="E82" i="36"/>
  <c r="E82" i="35" s="1"/>
  <c r="U336" i="34"/>
  <c r="W598" i="34"/>
  <c r="W596" i="34"/>
  <c r="U575" i="34"/>
  <c r="E93" i="38"/>
  <c r="U582" i="34"/>
  <c r="U574" i="34"/>
  <c r="T583" i="34"/>
  <c r="T584" i="34"/>
  <c r="U235" i="34"/>
  <c r="U236" i="34"/>
  <c r="I175" i="42"/>
  <c r="S717" i="34"/>
  <c r="D160" i="42"/>
  <c r="C78" i="38"/>
  <c r="J107" i="42"/>
  <c r="J108" i="42" s="1"/>
  <c r="J114" i="42" s="1"/>
  <c r="D108" i="42"/>
  <c r="D114" i="42" s="1"/>
  <c r="U440" i="34"/>
  <c r="S660" i="34"/>
  <c r="D165" i="41"/>
  <c r="J160" i="41"/>
  <c r="G175" i="41"/>
  <c r="U246" i="34"/>
  <c r="I108" i="41"/>
  <c r="J105" i="41"/>
  <c r="F24" i="45"/>
  <c r="T258" i="34"/>
  <c r="U352" i="34" l="1"/>
  <c r="V576" i="34"/>
  <c r="E88" i="35"/>
  <c r="U247" i="34" s="1"/>
  <c r="G160" i="40"/>
  <c r="G157" i="39"/>
  <c r="C63" i="36"/>
  <c r="S374" i="34"/>
  <c r="S373" i="34"/>
  <c r="T256" i="34"/>
  <c r="T261" i="34"/>
  <c r="T247" i="34"/>
  <c r="T257" i="34"/>
  <c r="J251" i="49"/>
  <c r="H87" i="38"/>
  <c r="D155" i="49"/>
  <c r="D153" i="49"/>
  <c r="V560" i="34"/>
  <c r="V559" i="34"/>
  <c r="V571" i="34"/>
  <c r="G21" i="39"/>
  <c r="S269" i="34"/>
  <c r="D91" i="35"/>
  <c r="T267" i="34" s="1"/>
  <c r="T372" i="34"/>
  <c r="T365" i="34"/>
  <c r="T364" i="34"/>
  <c r="T636" i="34"/>
  <c r="D158" i="40"/>
  <c r="T635" i="34" s="1"/>
  <c r="D46" i="35"/>
  <c r="I149" i="48"/>
  <c r="M149" i="48" s="1"/>
  <c r="D150" i="48"/>
  <c r="J156" i="48"/>
  <c r="G237" i="48"/>
  <c r="D231" i="49"/>
  <c r="D237" i="49" s="1"/>
  <c r="M228" i="49"/>
  <c r="D154" i="49"/>
  <c r="K251" i="49"/>
  <c r="V336" i="34"/>
  <c r="F93" i="38"/>
  <c r="V582" i="34"/>
  <c r="V575" i="34"/>
  <c r="V574" i="34"/>
  <c r="V480" i="34"/>
  <c r="F96" i="37"/>
  <c r="V475" i="34"/>
  <c r="V476" i="34"/>
  <c r="U335" i="34"/>
  <c r="U334" i="34"/>
  <c r="S696" i="34"/>
  <c r="J160" i="42"/>
  <c r="J165" i="42" s="1"/>
  <c r="D165" i="42"/>
  <c r="W572" i="34"/>
  <c r="W560" i="34"/>
  <c r="W576" i="34"/>
  <c r="G91" i="38"/>
  <c r="U580" i="34"/>
  <c r="U585" i="34"/>
  <c r="E96" i="38"/>
  <c r="U581" i="34"/>
  <c r="J165" i="41"/>
  <c r="U230" i="34"/>
  <c r="U229" i="34"/>
  <c r="U455" i="34"/>
  <c r="D107" i="41"/>
  <c r="I114" i="41"/>
  <c r="T370" i="34"/>
  <c r="T371" i="34"/>
  <c r="D96" i="36"/>
  <c r="T375" i="34"/>
  <c r="U248" i="34" l="1"/>
  <c r="G166" i="40"/>
  <c r="G160" i="39"/>
  <c r="U653" i="34"/>
  <c r="U654" i="34"/>
  <c r="S645" i="34"/>
  <c r="D228" i="40"/>
  <c r="C63" i="35"/>
  <c r="S609" i="34" s="1"/>
  <c r="C78" i="36"/>
  <c r="E90" i="37"/>
  <c r="U467" i="34" s="1"/>
  <c r="E45" i="37"/>
  <c r="D93" i="35"/>
  <c r="T270" i="34" s="1"/>
  <c r="T260" i="34"/>
  <c r="T259" i="34"/>
  <c r="U697" i="34"/>
  <c r="M155" i="49"/>
  <c r="U695" i="34"/>
  <c r="L153" i="49"/>
  <c r="L156" i="49" s="1"/>
  <c r="L166" i="49" s="1"/>
  <c r="S697" i="34"/>
  <c r="S695" i="34"/>
  <c r="T697" i="34"/>
  <c r="T695" i="34"/>
  <c r="T600" i="34"/>
  <c r="T599" i="34"/>
  <c r="H158" i="40"/>
  <c r="T637" i="34"/>
  <c r="D158" i="39"/>
  <c r="T623" i="34"/>
  <c r="T625" i="34"/>
  <c r="U471" i="34"/>
  <c r="J166" i="48"/>
  <c r="H87" i="37" s="1"/>
  <c r="I150" i="48"/>
  <c r="G251" i="48"/>
  <c r="M154" i="49"/>
  <c r="D156" i="49"/>
  <c r="V231" i="34"/>
  <c r="F96" i="38"/>
  <c r="V585" i="34"/>
  <c r="V581" i="34"/>
  <c r="V580" i="34"/>
  <c r="J175" i="42"/>
  <c r="V478" i="34"/>
  <c r="V479" i="34"/>
  <c r="U599" i="34"/>
  <c r="U601" i="34"/>
  <c r="U583" i="34"/>
  <c r="U584" i="34"/>
  <c r="D175" i="42"/>
  <c r="W574" i="34"/>
  <c r="W582" i="34"/>
  <c r="G93" i="38"/>
  <c r="W575" i="34"/>
  <c r="I175" i="41"/>
  <c r="J107" i="41"/>
  <c r="D108" i="41"/>
  <c r="T373" i="34"/>
  <c r="T374" i="34"/>
  <c r="U466" i="34" l="1"/>
  <c r="D228" i="39"/>
  <c r="S646" i="34"/>
  <c r="D231" i="40"/>
  <c r="S644" i="34"/>
  <c r="S652" i="34"/>
  <c r="S625" i="34"/>
  <c r="S650" i="34"/>
  <c r="G228" i="40"/>
  <c r="S623" i="34"/>
  <c r="S624" i="34"/>
  <c r="C78" i="35"/>
  <c r="S588" i="34" s="1"/>
  <c r="E87" i="36"/>
  <c r="U351" i="34"/>
  <c r="G166" i="39"/>
  <c r="D149" i="40"/>
  <c r="T266" i="34"/>
  <c r="D96" i="35"/>
  <c r="T268" i="34" s="1"/>
  <c r="T265" i="34"/>
  <c r="U464" i="34"/>
  <c r="E91" i="37"/>
  <c r="U463" i="34"/>
  <c r="M156" i="49"/>
  <c r="M166" i="49" s="1"/>
  <c r="M251" i="49" s="1"/>
  <c r="J87" i="38"/>
  <c r="J91" i="38" s="1"/>
  <c r="J93" i="38" s="1"/>
  <c r="J96" i="38" s="1"/>
  <c r="L251" i="49"/>
  <c r="D166" i="49"/>
  <c r="D251" i="49" s="1"/>
  <c r="V695" i="34"/>
  <c r="V697" i="34"/>
  <c r="H160" i="40"/>
  <c r="H166" i="40" s="1"/>
  <c r="H158" i="39"/>
  <c r="D153" i="48"/>
  <c r="J251" i="48"/>
  <c r="D155" i="48"/>
  <c r="I156" i="48"/>
  <c r="V258" i="34"/>
  <c r="V584" i="34"/>
  <c r="V583" i="34"/>
  <c r="H90" i="35"/>
  <c r="H91" i="38"/>
  <c r="H93" i="38" s="1"/>
  <c r="H96" i="38" s="1"/>
  <c r="W585" i="34"/>
  <c r="W581" i="34"/>
  <c r="G96" i="38"/>
  <c r="W580" i="34"/>
  <c r="W601" i="34"/>
  <c r="W587" i="34"/>
  <c r="W599" i="34"/>
  <c r="W589" i="34"/>
  <c r="D114" i="41"/>
  <c r="J108" i="41"/>
  <c r="T269" i="34" l="1"/>
  <c r="U349" i="34"/>
  <c r="U350" i="34"/>
  <c r="E87" i="35"/>
  <c r="G228" i="39"/>
  <c r="G231" i="40"/>
  <c r="M228" i="40"/>
  <c r="M228" i="39" s="1"/>
  <c r="D149" i="39"/>
  <c r="D150" i="40"/>
  <c r="D150" i="39" s="1"/>
  <c r="I149" i="40"/>
  <c r="D237" i="40"/>
  <c r="D237" i="39" s="1"/>
  <c r="D231" i="39"/>
  <c r="E93" i="37"/>
  <c r="U470" i="34"/>
  <c r="U477" i="34"/>
  <c r="U469" i="34"/>
  <c r="U659" i="34"/>
  <c r="U661" i="34"/>
  <c r="S659" i="34"/>
  <c r="S661" i="34"/>
  <c r="V249" i="34"/>
  <c r="H160" i="39"/>
  <c r="V654" i="34"/>
  <c r="V653" i="34"/>
  <c r="M155" i="48"/>
  <c r="L153" i="48"/>
  <c r="I166" i="48"/>
  <c r="G87" i="37" s="1"/>
  <c r="U258" i="34"/>
  <c r="U255" i="34"/>
  <c r="W584" i="34"/>
  <c r="W583" i="34"/>
  <c r="J114" i="41"/>
  <c r="D175" i="41"/>
  <c r="U245" i="34" l="1"/>
  <c r="U244" i="34"/>
  <c r="I150" i="40"/>
  <c r="I149" i="39"/>
  <c r="M149" i="40"/>
  <c r="M149" i="39" s="1"/>
  <c r="G237" i="40"/>
  <c r="G231" i="39"/>
  <c r="U476" i="34"/>
  <c r="E96" i="37"/>
  <c r="U480" i="34"/>
  <c r="U475" i="34"/>
  <c r="W466" i="34"/>
  <c r="W454" i="34"/>
  <c r="H166" i="39"/>
  <c r="V351" i="34"/>
  <c r="H251" i="40"/>
  <c r="W471" i="34"/>
  <c r="W467" i="34"/>
  <c r="W455" i="34"/>
  <c r="G91" i="37"/>
  <c r="D152" i="48"/>
  <c r="I251" i="48"/>
  <c r="L156" i="48"/>
  <c r="H91" i="37"/>
  <c r="W246" i="34"/>
  <c r="W258" i="34"/>
  <c r="J175" i="41"/>
  <c r="E45" i="36" l="1"/>
  <c r="E46" i="36" s="1"/>
  <c r="U360" i="34"/>
  <c r="G251" i="40"/>
  <c r="G237" i="39"/>
  <c r="E90" i="36"/>
  <c r="I156" i="40"/>
  <c r="I156" i="39" s="1"/>
  <c r="I150" i="39"/>
  <c r="U479" i="34"/>
  <c r="U478" i="34"/>
  <c r="H251" i="39"/>
  <c r="V363" i="34"/>
  <c r="W469" i="34"/>
  <c r="W477" i="34"/>
  <c r="G93" i="37"/>
  <c r="W470" i="34"/>
  <c r="L166" i="48"/>
  <c r="J87" i="37" s="1"/>
  <c r="K152" i="48"/>
  <c r="H93" i="37"/>
  <c r="H96" i="37" s="1"/>
  <c r="G251" i="39" l="1"/>
  <c r="U363" i="34"/>
  <c r="U358" i="34"/>
  <c r="U359" i="34"/>
  <c r="E91" i="36"/>
  <c r="U366" i="34"/>
  <c r="E90" i="35"/>
  <c r="U362" i="34"/>
  <c r="U361" i="34"/>
  <c r="D159" i="40"/>
  <c r="U636" i="34"/>
  <c r="J91" i="37"/>
  <c r="G96" i="37"/>
  <c r="W475" i="34"/>
  <c r="W476" i="34"/>
  <c r="W480" i="34"/>
  <c r="L251" i="48"/>
  <c r="K156" i="48"/>
  <c r="V601" i="34"/>
  <c r="V599" i="34"/>
  <c r="U261" i="34" l="1"/>
  <c r="U256" i="34"/>
  <c r="U257" i="34"/>
  <c r="U253" i="34"/>
  <c r="U254" i="34"/>
  <c r="U635" i="34"/>
  <c r="U623" i="34"/>
  <c r="I159" i="40"/>
  <c r="U637" i="34"/>
  <c r="D160" i="40"/>
  <c r="D160" i="39" s="1"/>
  <c r="D159" i="39"/>
  <c r="U625" i="34"/>
  <c r="U364" i="34"/>
  <c r="E91" i="35"/>
  <c r="U365" i="34"/>
  <c r="U372" i="34"/>
  <c r="E93" i="36"/>
  <c r="J93" i="37"/>
  <c r="J96" i="37" s="1"/>
  <c r="W478" i="34"/>
  <c r="W479" i="34"/>
  <c r="K166" i="48"/>
  <c r="I87" i="37" s="1"/>
  <c r="I160" i="40" l="1"/>
  <c r="I159" i="39"/>
  <c r="E93" i="35"/>
  <c r="U267" i="34"/>
  <c r="U259" i="34"/>
  <c r="U260" i="34"/>
  <c r="S614" i="34"/>
  <c r="S616" i="34"/>
  <c r="S610" i="34"/>
  <c r="S608" i="34"/>
  <c r="E96" i="36"/>
  <c r="U370" i="34"/>
  <c r="U375" i="34"/>
  <c r="U371" i="34"/>
  <c r="I91" i="37"/>
  <c r="D154" i="48"/>
  <c r="K251" i="48"/>
  <c r="U373" i="34" l="1"/>
  <c r="U374" i="34"/>
  <c r="E96" i="35"/>
  <c r="U266" i="34"/>
  <c r="U270" i="34"/>
  <c r="U265" i="34"/>
  <c r="I166" i="40"/>
  <c r="I160" i="39"/>
  <c r="T661" i="34"/>
  <c r="T659" i="34"/>
  <c r="I93" i="37"/>
  <c r="I96" i="37" s="1"/>
  <c r="M154" i="48"/>
  <c r="D156" i="48"/>
  <c r="W351" i="34" l="1"/>
  <c r="I251" i="40"/>
  <c r="I166" i="39"/>
  <c r="U269" i="34"/>
  <c r="U268" i="34"/>
  <c r="V659" i="34"/>
  <c r="V661" i="34"/>
  <c r="D166" i="48"/>
  <c r="M156" i="48"/>
  <c r="W363" i="34" l="1"/>
  <c r="I251" i="39"/>
  <c r="D251" i="48"/>
  <c r="M166" i="48"/>
  <c r="M251" i="48" l="1"/>
  <c r="U47" i="2" l="1"/>
  <c r="U52" i="2" l="1"/>
  <c r="T45" i="34" l="1"/>
  <c r="U13" i="2" l="1"/>
  <c r="T44" i="34"/>
  <c r="U50" i="12" l="1"/>
  <c r="U50" i="2" s="1"/>
  <c r="T78" i="34"/>
  <c r="U15" i="2"/>
  <c r="T76" i="34" l="1"/>
  <c r="T77" i="34"/>
  <c r="U36" i="2" l="1"/>
  <c r="U38" i="2" l="1"/>
  <c r="U17" i="2" l="1"/>
  <c r="U14" i="2" l="1"/>
  <c r="U51" i="12"/>
  <c r="U51" i="2" s="1"/>
  <c r="U16" i="2"/>
  <c r="U39" i="12"/>
  <c r="T68" i="34" s="1"/>
  <c r="T81" i="34"/>
  <c r="T75" i="34"/>
  <c r="T67" i="34" l="1"/>
  <c r="T79" i="34"/>
  <c r="T80" i="34"/>
  <c r="T66" i="34"/>
  <c r="T72" i="34"/>
  <c r="T64" i="34"/>
  <c r="T73" i="34"/>
  <c r="T74" i="34"/>
  <c r="U39" i="2"/>
  <c r="U41" i="2" s="1"/>
  <c r="T65" i="34"/>
  <c r="U37" i="12"/>
  <c r="U37" i="2" l="1"/>
  <c r="T71" i="34"/>
  <c r="T70" i="34"/>
  <c r="U18" i="12" l="1"/>
  <c r="U12" i="2"/>
  <c r="T16" i="34" s="1"/>
  <c r="T37" i="34"/>
  <c r="U23" i="12" l="1"/>
  <c r="U23" i="2" s="1"/>
  <c r="U22" i="12"/>
  <c r="U61" i="12"/>
  <c r="U30" i="12"/>
  <c r="U30" i="2" s="1"/>
  <c r="U27" i="12"/>
  <c r="U27" i="2" s="1"/>
  <c r="U26" i="12"/>
  <c r="U26" i="2" s="1"/>
  <c r="U18" i="2"/>
  <c r="T35" i="34"/>
  <c r="U25" i="12"/>
  <c r="U25" i="2" s="1"/>
  <c r="T42" i="34"/>
  <c r="U24" i="12"/>
  <c r="U24" i="2" s="1"/>
  <c r="U29" i="12"/>
  <c r="U29" i="2" s="1"/>
  <c r="T36" i="34"/>
  <c r="U28" i="12"/>
  <c r="U28" i="2" s="1"/>
  <c r="U19" i="12"/>
  <c r="T50" i="34" l="1"/>
  <c r="U66" i="12"/>
  <c r="T49" i="34" s="1"/>
  <c r="T13" i="34"/>
  <c r="U61" i="2"/>
  <c r="U31" i="12"/>
  <c r="T40" i="34"/>
  <c r="U22" i="2"/>
  <c r="T19" i="34" s="1"/>
  <c r="T21" i="34"/>
  <c r="T33" i="34"/>
  <c r="T15" i="34"/>
  <c r="U19" i="2"/>
  <c r="U31" i="2" l="1"/>
  <c r="T38" i="34"/>
  <c r="T43" i="34"/>
  <c r="T39" i="34"/>
  <c r="U32" i="12"/>
  <c r="T41" i="34"/>
  <c r="T11" i="34"/>
  <c r="T32" i="34"/>
  <c r="T12" i="34"/>
  <c r="T31" i="34"/>
  <c r="T51" i="34"/>
  <c r="U66" i="2"/>
  <c r="U70" i="12"/>
  <c r="T56" i="34"/>
  <c r="U67" i="12"/>
  <c r="T57" i="34" l="1"/>
  <c r="U71" i="12"/>
  <c r="T29" i="34"/>
  <c r="U70" i="2"/>
  <c r="T28" i="34" s="1"/>
  <c r="U67" i="2"/>
  <c r="T55" i="34"/>
  <c r="T18" i="34"/>
  <c r="T22" i="34"/>
  <c r="T17" i="34"/>
  <c r="U32" i="2"/>
  <c r="T20" i="34"/>
  <c r="T30" i="34" l="1"/>
  <c r="U71" i="2"/>
  <c r="J108" i="40" l="1"/>
  <c r="I108" i="40"/>
  <c r="J108" i="39" l="1"/>
  <c r="J111" i="40"/>
  <c r="I111" i="40"/>
  <c r="I108" i="39"/>
  <c r="H108" i="40"/>
  <c r="M107" i="40"/>
  <c r="M107" i="39" s="1"/>
  <c r="I111" i="39" l="1"/>
  <c r="D152" i="40"/>
  <c r="J111" i="39"/>
  <c r="H111" i="40"/>
  <c r="H108" i="39"/>
  <c r="M108" i="40"/>
  <c r="K152" i="40" l="1"/>
  <c r="D152" i="39"/>
  <c r="M111" i="40"/>
  <c r="M111" i="39" s="1"/>
  <c r="M108" i="39"/>
  <c r="H111" i="39"/>
  <c r="D151" i="40"/>
  <c r="K108" i="40"/>
  <c r="L108" i="40"/>
  <c r="L108" i="39" l="1"/>
  <c r="L111" i="40"/>
  <c r="K111" i="40"/>
  <c r="K108" i="39"/>
  <c r="K156" i="40"/>
  <c r="K152" i="39"/>
  <c r="J151" i="40"/>
  <c r="D151" i="39"/>
  <c r="V618" i="34"/>
  <c r="V617" i="34"/>
  <c r="K166" i="40" l="1"/>
  <c r="D154" i="40" s="1"/>
  <c r="K156" i="39"/>
  <c r="K111" i="39"/>
  <c r="L111" i="39"/>
  <c r="J156" i="40"/>
  <c r="J151" i="39"/>
  <c r="V623" i="34" l="1"/>
  <c r="V625" i="34"/>
  <c r="M154" i="40"/>
  <c r="M154" i="39" s="1"/>
  <c r="V635" i="34"/>
  <c r="V637" i="34"/>
  <c r="D154" i="39"/>
  <c r="K251" i="40"/>
  <c r="K251" i="39" s="1"/>
  <c r="K166" i="39"/>
  <c r="J166" i="40"/>
  <c r="J156" i="39"/>
  <c r="T587" i="34" l="1"/>
  <c r="T589" i="34"/>
  <c r="D153" i="40"/>
  <c r="D155" i="40"/>
  <c r="J166" i="39"/>
  <c r="J251" i="40"/>
  <c r="J251" i="39" s="1"/>
  <c r="M155" i="40" l="1"/>
  <c r="D155" i="39"/>
  <c r="W637" i="34"/>
  <c r="W635" i="34"/>
  <c r="W625" i="34"/>
  <c r="W623" i="34"/>
  <c r="L153" i="40"/>
  <c r="D153" i="39"/>
  <c r="D156" i="40"/>
  <c r="D166" i="40" l="1"/>
  <c r="D156" i="39"/>
  <c r="S587" i="34"/>
  <c r="S589" i="34"/>
  <c r="L153" i="39"/>
  <c r="L156" i="40"/>
  <c r="U589" i="34"/>
  <c r="U587" i="34"/>
  <c r="M155" i="39"/>
  <c r="M156" i="40"/>
  <c r="M166" i="40" l="1"/>
  <c r="M156" i="39"/>
  <c r="L166" i="40"/>
  <c r="L156" i="39"/>
  <c r="V589" i="34"/>
  <c r="V587" i="34"/>
  <c r="D166" i="39"/>
  <c r="L251" i="40" l="1"/>
  <c r="L251" i="39" s="1"/>
  <c r="L166" i="39"/>
  <c r="M166" i="39"/>
  <c r="N52" i="2" l="1"/>
  <c r="O52" i="2" l="1"/>
  <c r="P52" i="2" l="1"/>
  <c r="Q52" i="2" l="1"/>
  <c r="R52" i="2" l="1"/>
  <c r="D36" i="40" l="1"/>
  <c r="D36" i="39" s="1"/>
  <c r="M36" i="40"/>
  <c r="M251" i="40" s="1"/>
  <c r="M251" i="39" s="1"/>
  <c r="M36" i="39" l="1"/>
  <c r="D251" i="40"/>
  <c r="D251" i="39" s="1"/>
  <c r="H85" i="35" l="1"/>
  <c r="I86" i="35"/>
  <c r="J86" i="35"/>
  <c r="J85" i="35"/>
  <c r="J82" i="35"/>
  <c r="H82" i="35"/>
  <c r="F122" i="36" l="1"/>
  <c r="V334" i="34"/>
  <c r="V335" i="34"/>
  <c r="F82" i="35"/>
  <c r="F113" i="36"/>
  <c r="J113" i="36"/>
  <c r="I84" i="35"/>
  <c r="J122" i="36"/>
  <c r="H113" i="36"/>
  <c r="I122" i="36"/>
  <c r="I125" i="36"/>
  <c r="I88" i="35"/>
  <c r="H86" i="35"/>
  <c r="G122" i="36"/>
  <c r="W347" i="34"/>
  <c r="W346" i="34"/>
  <c r="G86" i="35"/>
  <c r="I110" i="36"/>
  <c r="I81" i="35"/>
  <c r="J110" i="36"/>
  <c r="J81" i="35"/>
  <c r="V344" i="34"/>
  <c r="F85" i="35"/>
  <c r="V343" i="34"/>
  <c r="F84" i="35"/>
  <c r="V341" i="34"/>
  <c r="V340" i="34"/>
  <c r="F119" i="36"/>
  <c r="F86" i="35"/>
  <c r="V347" i="34"/>
  <c r="V346" i="34"/>
  <c r="H110" i="36"/>
  <c r="H81" i="35"/>
  <c r="J125" i="36"/>
  <c r="J88" i="35"/>
  <c r="G110" i="36"/>
  <c r="W332" i="34"/>
  <c r="G81" i="35"/>
  <c r="H125" i="36"/>
  <c r="H88" i="35"/>
  <c r="F110" i="36"/>
  <c r="V332" i="34"/>
  <c r="F81" i="35"/>
  <c r="F125" i="36"/>
  <c r="V353" i="34"/>
  <c r="F88" i="35"/>
  <c r="V352" i="34"/>
  <c r="G125" i="36"/>
  <c r="G88" i="35"/>
  <c r="W353" i="34"/>
  <c r="W352" i="34"/>
  <c r="H122" i="36" l="1"/>
  <c r="W242" i="34"/>
  <c r="W241" i="34"/>
  <c r="V230" i="34"/>
  <c r="V229" i="34"/>
  <c r="V248" i="34"/>
  <c r="V247" i="34"/>
  <c r="V227" i="34"/>
  <c r="I85" i="35"/>
  <c r="W343" i="34"/>
  <c r="G85" i="35"/>
  <c r="W344" i="34"/>
  <c r="W248" i="34"/>
  <c r="W247" i="34"/>
  <c r="V241" i="34"/>
  <c r="V242" i="34"/>
  <c r="V235" i="34"/>
  <c r="V236" i="34"/>
  <c r="V239" i="34"/>
  <c r="V238" i="34"/>
  <c r="W227" i="34"/>
  <c r="I119" i="36" l="1"/>
  <c r="W238" i="34"/>
  <c r="W239" i="34"/>
  <c r="I113" i="36"/>
  <c r="G113" i="36" l="1"/>
  <c r="W341" i="34"/>
  <c r="G84" i="35"/>
  <c r="W340" i="34"/>
  <c r="G119" i="36"/>
  <c r="H84" i="35"/>
  <c r="H119" i="36"/>
  <c r="G82" i="35"/>
  <c r="W335" i="34"/>
  <c r="W334" i="34"/>
  <c r="I82" i="35"/>
  <c r="J84" i="35"/>
  <c r="J119" i="36"/>
  <c r="W235" i="34" l="1"/>
  <c r="W236" i="34"/>
  <c r="W230" i="34"/>
  <c r="W229" i="34"/>
  <c r="F87" i="35" l="1"/>
  <c r="V350" i="34"/>
  <c r="V349" i="34"/>
  <c r="F128" i="36"/>
  <c r="V244" i="34" l="1"/>
  <c r="V245" i="34"/>
  <c r="G128" i="36" l="1"/>
  <c r="W350" i="34" l="1"/>
  <c r="G87" i="35"/>
  <c r="W349" i="34"/>
  <c r="F116" i="36" l="1"/>
  <c r="W245" i="34"/>
  <c r="W244" i="34"/>
  <c r="V338" i="34" l="1"/>
  <c r="F83" i="35"/>
  <c r="V337" i="34"/>
  <c r="V361" i="34"/>
  <c r="F91" i="36"/>
  <c r="V362" i="34"/>
  <c r="V366" i="34"/>
  <c r="V233" i="34" l="1"/>
  <c r="V232" i="34"/>
  <c r="V257" i="34"/>
  <c r="V261" i="34"/>
  <c r="V256" i="34"/>
  <c r="F106" i="36"/>
  <c r="V364" i="34"/>
  <c r="F93" i="36"/>
  <c r="F91" i="35"/>
  <c r="V372" i="34"/>
  <c r="V365" i="34"/>
  <c r="H87" i="35"/>
  <c r="V375" i="34" l="1"/>
  <c r="V371" i="34"/>
  <c r="F96" i="36"/>
  <c r="V370" i="34"/>
  <c r="V267" i="34"/>
  <c r="V260" i="34"/>
  <c r="V259" i="34"/>
  <c r="F93" i="35"/>
  <c r="H128" i="36"/>
  <c r="F102" i="36" l="1"/>
  <c r="V374" i="34"/>
  <c r="V373" i="34"/>
  <c r="F96" i="35"/>
  <c r="V270" i="34"/>
  <c r="V266" i="34"/>
  <c r="V265" i="34"/>
  <c r="W337" i="34" l="1"/>
  <c r="W338" i="34"/>
  <c r="G83" i="35"/>
  <c r="W361" i="34"/>
  <c r="W362" i="34"/>
  <c r="G91" i="36"/>
  <c r="W366" i="34"/>
  <c r="G116" i="36"/>
  <c r="V269" i="34"/>
  <c r="V268" i="34"/>
  <c r="G106" i="36" l="1"/>
  <c r="W372" i="34"/>
  <c r="G91" i="35"/>
  <c r="W364" i="34"/>
  <c r="G93" i="36"/>
  <c r="W365" i="34"/>
  <c r="W233" i="34"/>
  <c r="W232" i="34"/>
  <c r="W261" i="34"/>
  <c r="W257" i="34"/>
  <c r="W256" i="34"/>
  <c r="I87" i="35"/>
  <c r="G93" i="35" l="1"/>
  <c r="W260" i="34"/>
  <c r="W267" i="34"/>
  <c r="W259" i="34"/>
  <c r="W370" i="34"/>
  <c r="W371" i="34"/>
  <c r="G96" i="36"/>
  <c r="W375" i="34"/>
  <c r="I128" i="36"/>
  <c r="G102" i="36" l="1"/>
  <c r="W373" i="34"/>
  <c r="W374" i="34"/>
  <c r="H116" i="36"/>
  <c r="W270" i="34"/>
  <c r="G96" i="35"/>
  <c r="W265" i="34"/>
  <c r="W266" i="34"/>
  <c r="W269" i="34" l="1"/>
  <c r="W268" i="34"/>
  <c r="H83" i="35"/>
  <c r="H91" i="36"/>
  <c r="H106" i="36" l="1"/>
  <c r="H91" i="35"/>
  <c r="H93" i="35" s="1"/>
  <c r="H96" i="35" s="1"/>
  <c r="H93" i="36"/>
  <c r="H96" i="36" s="1"/>
  <c r="H102" i="36" s="1"/>
  <c r="J87" i="35"/>
  <c r="J128" i="36" l="1"/>
  <c r="I116" i="36" l="1"/>
  <c r="I83" i="35" l="1"/>
  <c r="I91" i="36"/>
  <c r="I106" i="36" l="1"/>
  <c r="I93" i="36"/>
  <c r="I96" i="36" s="1"/>
  <c r="I102" i="36" s="1"/>
  <c r="I91" i="35"/>
  <c r="I93" i="35" s="1"/>
  <c r="I96" i="35" s="1"/>
  <c r="J116" i="36" l="1"/>
  <c r="J83" i="35" l="1"/>
  <c r="J91" i="36"/>
  <c r="J106" i="36" l="1"/>
  <c r="J91" i="35"/>
  <c r="J93" i="35" s="1"/>
  <c r="J96" i="35" s="1"/>
  <c r="J93" i="36"/>
  <c r="J96" i="36" s="1"/>
  <c r="J102" i="36" s="1"/>
  <c r="O14" i="2" l="1"/>
  <c r="O17" i="2"/>
  <c r="N17" i="2"/>
  <c r="N14" i="2"/>
  <c r="P45" i="34" l="1"/>
  <c r="P44" i="34"/>
  <c r="N13" i="2"/>
  <c r="Q45" i="34"/>
  <c r="Q44" i="34"/>
  <c r="O13" i="2"/>
  <c r="P14" i="2"/>
  <c r="P17" i="2"/>
  <c r="P13" i="2"/>
  <c r="O12" i="2" l="1"/>
  <c r="Q37" i="34"/>
  <c r="N12" i="2"/>
  <c r="N50" i="12"/>
  <c r="N50" i="2" s="1"/>
  <c r="P78" i="34"/>
  <c r="N15" i="2"/>
  <c r="O50" i="12"/>
  <c r="O50" i="2" s="1"/>
  <c r="Q78" i="34"/>
  <c r="O15" i="2"/>
  <c r="N18" i="12"/>
  <c r="Q17" i="2"/>
  <c r="Q14" i="2"/>
  <c r="Q13" i="2"/>
  <c r="P77" i="34" l="1"/>
  <c r="N22" i="12"/>
  <c r="N27" i="12"/>
  <c r="N27" i="2" s="1"/>
  <c r="N28" i="12"/>
  <c r="N28" i="2" s="1"/>
  <c r="P42" i="34"/>
  <c r="N18" i="2"/>
  <c r="N23" i="12"/>
  <c r="N23" i="2" s="1"/>
  <c r="N29" i="12"/>
  <c r="N29" i="2" s="1"/>
  <c r="N19" i="12"/>
  <c r="N30" i="12"/>
  <c r="N30" i="2" s="1"/>
  <c r="N24" i="12"/>
  <c r="N24" i="2" s="1"/>
  <c r="P35" i="34"/>
  <c r="N25" i="12"/>
  <c r="N25" i="2" s="1"/>
  <c r="N26" i="12"/>
  <c r="N26" i="2" s="1"/>
  <c r="N61" i="12"/>
  <c r="P36" i="34"/>
  <c r="Q76" i="34"/>
  <c r="P76" i="34"/>
  <c r="P50" i="12"/>
  <c r="P50" i="2" s="1"/>
  <c r="P15" i="2"/>
  <c r="P37" i="34"/>
  <c r="Q77" i="34"/>
  <c r="P12" i="2"/>
  <c r="N39" i="12"/>
  <c r="N51" i="12"/>
  <c r="N51" i="2" s="1"/>
  <c r="N16" i="2"/>
  <c r="P16" i="34" s="1"/>
  <c r="P75" i="34"/>
  <c r="P66" i="34"/>
  <c r="O51" i="12"/>
  <c r="O51" i="2" s="1"/>
  <c r="O39" i="12"/>
  <c r="Q67" i="34" s="1"/>
  <c r="O16" i="2"/>
  <c r="Q16" i="34" s="1"/>
  <c r="Q75" i="34"/>
  <c r="O18" i="12"/>
  <c r="Q68" i="34" l="1"/>
  <c r="Q66" i="34"/>
  <c r="P80" i="34"/>
  <c r="O61" i="12"/>
  <c r="O18" i="2"/>
  <c r="Q42" i="34"/>
  <c r="Q35" i="34"/>
  <c r="O19" i="12"/>
  <c r="Q36" i="34"/>
  <c r="P72" i="34"/>
  <c r="P65" i="34"/>
  <c r="P64" i="34"/>
  <c r="P74" i="34"/>
  <c r="P73" i="34"/>
  <c r="N39" i="2"/>
  <c r="N41" i="2" s="1"/>
  <c r="N38" i="2"/>
  <c r="Q12" i="2"/>
  <c r="Q18" i="12"/>
  <c r="P68" i="34"/>
  <c r="O37" i="2"/>
  <c r="O38" i="2"/>
  <c r="P79" i="34"/>
  <c r="Q80" i="34"/>
  <c r="P39" i="12"/>
  <c r="P39" i="2" s="1"/>
  <c r="P51" i="12"/>
  <c r="P51" i="2" s="1"/>
  <c r="P16" i="2"/>
  <c r="F33" i="36"/>
  <c r="V277" i="34"/>
  <c r="N66" i="12"/>
  <c r="V198" i="34"/>
  <c r="F12" i="36"/>
  <c r="V295" i="34"/>
  <c r="P50" i="34"/>
  <c r="V274" i="34"/>
  <c r="P13" i="34"/>
  <c r="N61" i="2"/>
  <c r="P49" i="34"/>
  <c r="Q74" i="34"/>
  <c r="Q72" i="34"/>
  <c r="Q73" i="34"/>
  <c r="Q64" i="34"/>
  <c r="Q65" i="34"/>
  <c r="O39" i="2"/>
  <c r="O41" i="2" s="1"/>
  <c r="P67" i="34"/>
  <c r="P18" i="12"/>
  <c r="Q50" i="12"/>
  <c r="Q50" i="2" s="1"/>
  <c r="Q15" i="2"/>
  <c r="P21" i="34"/>
  <c r="P33" i="34"/>
  <c r="N19" i="2"/>
  <c r="P15" i="34"/>
  <c r="P14" i="34"/>
  <c r="N22" i="2"/>
  <c r="P19" i="34" s="1"/>
  <c r="P40" i="34"/>
  <c r="N31" i="12"/>
  <c r="O26" i="12" s="1"/>
  <c r="O26" i="2" s="1"/>
  <c r="N66" i="2" l="1"/>
  <c r="N70" i="12"/>
  <c r="P51" i="34"/>
  <c r="N67" i="12"/>
  <c r="P56" i="34"/>
  <c r="P38" i="2"/>
  <c r="N36" i="2"/>
  <c r="P81" i="34"/>
  <c r="N37" i="2"/>
  <c r="O25" i="12"/>
  <c r="O25" i="2" s="1"/>
  <c r="O30" i="12"/>
  <c r="O30" i="2" s="1"/>
  <c r="Q14" i="34"/>
  <c r="S19" i="2"/>
  <c r="O19" i="2"/>
  <c r="Q15" i="34"/>
  <c r="Q33" i="34"/>
  <c r="Q21" i="34"/>
  <c r="Q39" i="12"/>
  <c r="Q39" i="2" s="1"/>
  <c r="Q51" i="12"/>
  <c r="Q51" i="2" s="1"/>
  <c r="Q16" i="2"/>
  <c r="P11" i="34"/>
  <c r="I16" i="45"/>
  <c r="V180" i="34"/>
  <c r="P31" i="34"/>
  <c r="V177" i="34"/>
  <c r="P12" i="34"/>
  <c r="P32" i="34"/>
  <c r="P36" i="2"/>
  <c r="W274" i="34"/>
  <c r="Q50" i="34"/>
  <c r="Q13" i="34"/>
  <c r="O61" i="2"/>
  <c r="W277" i="34"/>
  <c r="O66" i="12"/>
  <c r="G12" i="36"/>
  <c r="P18" i="2"/>
  <c r="P19" i="2" s="1"/>
  <c r="P61" i="12"/>
  <c r="P19" i="12"/>
  <c r="F12" i="35"/>
  <c r="V273" i="34"/>
  <c r="V333" i="34"/>
  <c r="F15" i="36"/>
  <c r="V272" i="34"/>
  <c r="V331" i="34"/>
  <c r="F33" i="35"/>
  <c r="V293" i="34"/>
  <c r="V294" i="34"/>
  <c r="Q19" i="12"/>
  <c r="Q18" i="2"/>
  <c r="Q61" i="12"/>
  <c r="O36" i="2"/>
  <c r="Q70" i="34"/>
  <c r="Q71" i="34"/>
  <c r="Q81" i="34"/>
  <c r="Q79" i="34"/>
  <c r="O24" i="12"/>
  <c r="O24" i="2" s="1"/>
  <c r="O23" i="12"/>
  <c r="O23" i="2" s="1"/>
  <c r="O28" i="12"/>
  <c r="O28" i="2" s="1"/>
  <c r="P41" i="34"/>
  <c r="N31" i="2"/>
  <c r="P39" i="34"/>
  <c r="P43" i="34"/>
  <c r="N32" i="12"/>
  <c r="P38" i="34"/>
  <c r="P41" i="2"/>
  <c r="O29" i="12"/>
  <c r="O29" i="2" s="1"/>
  <c r="O22" i="12"/>
  <c r="O27" i="12"/>
  <c r="O27" i="2" s="1"/>
  <c r="R13" i="2"/>
  <c r="R14" i="2"/>
  <c r="R17" i="2"/>
  <c r="Q41" i="2" l="1"/>
  <c r="Q19" i="2"/>
  <c r="P20" i="34"/>
  <c r="N32" i="2"/>
  <c r="P17" i="34"/>
  <c r="P18" i="34"/>
  <c r="P22" i="34"/>
  <c r="Q61" i="2"/>
  <c r="I12" i="36"/>
  <c r="Q66" i="12"/>
  <c r="W333" i="34"/>
  <c r="W273" i="34"/>
  <c r="W272" i="34"/>
  <c r="G15" i="36"/>
  <c r="G12" i="35"/>
  <c r="W331" i="34"/>
  <c r="G33" i="36"/>
  <c r="V276" i="34"/>
  <c r="F15" i="35"/>
  <c r="V275" i="34"/>
  <c r="P66" i="12"/>
  <c r="H12" i="36"/>
  <c r="P61" i="2"/>
  <c r="Q49" i="34"/>
  <c r="Q51" i="34"/>
  <c r="Q56" i="34"/>
  <c r="O70" i="12"/>
  <c r="O66" i="2"/>
  <c r="O67" i="12"/>
  <c r="W295" i="34"/>
  <c r="V197" i="34"/>
  <c r="V196" i="34"/>
  <c r="P70" i="34"/>
  <c r="P55" i="34"/>
  <c r="P57" i="34"/>
  <c r="N71" i="12"/>
  <c r="V175" i="34"/>
  <c r="V176" i="34"/>
  <c r="V228" i="34"/>
  <c r="V226" i="34"/>
  <c r="O22" i="2"/>
  <c r="Q19" i="34" s="1"/>
  <c r="O31" i="12"/>
  <c r="P28" i="12" s="1"/>
  <c r="Q40" i="34"/>
  <c r="W198" i="34"/>
  <c r="Q11" i="34"/>
  <c r="Q12" i="34"/>
  <c r="W180" i="34"/>
  <c r="Q32" i="34"/>
  <c r="W177" i="34"/>
  <c r="J16" i="45"/>
  <c r="Q31" i="34"/>
  <c r="P71" i="34"/>
  <c r="P37" i="2"/>
  <c r="N70" i="2"/>
  <c r="P29" i="34"/>
  <c r="N67" i="2"/>
  <c r="I17" i="45"/>
  <c r="Q36" i="2"/>
  <c r="Q37" i="2"/>
  <c r="Q38" i="2"/>
  <c r="P25" i="12" l="1"/>
  <c r="P30" i="12"/>
  <c r="Q39" i="34"/>
  <c r="O32" i="12"/>
  <c r="Q38" i="34"/>
  <c r="O31" i="2"/>
  <c r="Q43" i="34"/>
  <c r="Q41" i="34"/>
  <c r="P26" i="12"/>
  <c r="J17" i="45"/>
  <c r="Q29" i="34"/>
  <c r="O70" i="2"/>
  <c r="O67" i="2"/>
  <c r="H12" i="35"/>
  <c r="H15" i="36"/>
  <c r="H15" i="35" s="1"/>
  <c r="P27" i="12"/>
  <c r="V179" i="34"/>
  <c r="V178" i="34"/>
  <c r="Q66" i="2"/>
  <c r="Q67" i="12"/>
  <c r="Q70" i="12"/>
  <c r="P25" i="2"/>
  <c r="P30" i="2"/>
  <c r="W293" i="34"/>
  <c r="G33" i="35"/>
  <c r="W294" i="34"/>
  <c r="P28" i="2"/>
  <c r="P28" i="34"/>
  <c r="P30" i="34"/>
  <c r="N71" i="2"/>
  <c r="R50" i="12"/>
  <c r="R50" i="2" s="1"/>
  <c r="R15" i="2"/>
  <c r="P24" i="12"/>
  <c r="Q55" i="34"/>
  <c r="Q57" i="34"/>
  <c r="O71" i="12"/>
  <c r="P67" i="12"/>
  <c r="P66" i="2"/>
  <c r="P70" i="12"/>
  <c r="P71" i="12" s="1"/>
  <c r="W228" i="34"/>
  <c r="W175" i="34"/>
  <c r="W176" i="34"/>
  <c r="W226" i="34"/>
  <c r="I12" i="35"/>
  <c r="I15" i="36"/>
  <c r="I15" i="35" s="1"/>
  <c r="R12" i="2"/>
  <c r="I18" i="45"/>
  <c r="I21" i="45"/>
  <c r="P23" i="12"/>
  <c r="H33" i="36"/>
  <c r="H33" i="35" s="1"/>
  <c r="W275" i="34"/>
  <c r="W276" i="34"/>
  <c r="G15" i="35"/>
  <c r="P29" i="12"/>
  <c r="P22" i="12"/>
  <c r="W179" i="34" l="1"/>
  <c r="W178" i="34"/>
  <c r="P70" i="2"/>
  <c r="P71" i="2" s="1"/>
  <c r="P67" i="2"/>
  <c r="Q71" i="12"/>
  <c r="P29" i="2"/>
  <c r="P23" i="2"/>
  <c r="W196" i="34"/>
  <c r="W197" i="34"/>
  <c r="L17" i="45"/>
  <c r="J21" i="45"/>
  <c r="M17" i="45"/>
  <c r="J18" i="45"/>
  <c r="Q18" i="34"/>
  <c r="S32" i="2"/>
  <c r="O32" i="2"/>
  <c r="Q17" i="34"/>
  <c r="Q22" i="34"/>
  <c r="Q20" i="34"/>
  <c r="P27" i="2"/>
  <c r="Q28" i="34"/>
  <c r="O71" i="2"/>
  <c r="Q30" i="34"/>
  <c r="R39" i="12"/>
  <c r="R39" i="2" s="1"/>
  <c r="R51" i="12"/>
  <c r="R51" i="2" s="1"/>
  <c r="R16" i="2"/>
  <c r="P31" i="12"/>
  <c r="Q23" i="12" s="1"/>
  <c r="Q23" i="2" s="1"/>
  <c r="P22" i="2"/>
  <c r="I22" i="45"/>
  <c r="I23" i="45"/>
  <c r="I24" i="45" s="1"/>
  <c r="R18" i="12"/>
  <c r="P24" i="2"/>
  <c r="Q67" i="2"/>
  <c r="Q70" i="2"/>
  <c r="Q71" i="2" s="1"/>
  <c r="P26" i="2"/>
  <c r="Q24" i="12" l="1"/>
  <c r="Q24" i="2" s="1"/>
  <c r="Q29" i="12"/>
  <c r="Q29" i="2" s="1"/>
  <c r="Q27" i="12"/>
  <c r="Q27" i="2" s="1"/>
  <c r="Q26" i="12"/>
  <c r="Q26" i="2" s="1"/>
  <c r="Q22" i="12"/>
  <c r="Q22" i="2" s="1"/>
  <c r="R41" i="2"/>
  <c r="R19" i="12"/>
  <c r="R61" i="12"/>
  <c r="R18" i="2"/>
  <c r="R19" i="2" s="1"/>
  <c r="P32" i="12"/>
  <c r="P31" i="2"/>
  <c r="P32" i="2" s="1"/>
  <c r="Q25" i="12"/>
  <c r="Q25" i="2" s="1"/>
  <c r="Q30" i="12"/>
  <c r="Q30" i="2" s="1"/>
  <c r="Q28" i="12"/>
  <c r="J22" i="45"/>
  <c r="J23" i="45"/>
  <c r="M21" i="45"/>
  <c r="L21" i="45"/>
  <c r="R36" i="2"/>
  <c r="R38" i="2"/>
  <c r="R37" i="2"/>
  <c r="Q31" i="12" l="1"/>
  <c r="R25" i="12" s="1"/>
  <c r="R25" i="2" s="1"/>
  <c r="L23" i="45"/>
  <c r="M23" i="45"/>
  <c r="J24" i="45"/>
  <c r="Q28" i="2"/>
  <c r="I33" i="36"/>
  <c r="I33" i="35" s="1"/>
  <c r="R28" i="12"/>
  <c r="R28" i="2" s="1"/>
  <c r="R66" i="12"/>
  <c r="J12" i="36"/>
  <c r="R61" i="2"/>
  <c r="J33" i="36" l="1"/>
  <c r="J33" i="35" s="1"/>
  <c r="J12" i="35"/>
  <c r="J15" i="36"/>
  <c r="J15" i="35" s="1"/>
  <c r="R67" i="12"/>
  <c r="R70" i="12"/>
  <c r="R71" i="12" s="1"/>
  <c r="R66" i="2"/>
  <c r="Q32" i="12"/>
  <c r="Q31" i="2"/>
  <c r="Q32" i="2" s="1"/>
  <c r="R23" i="12"/>
  <c r="R23" i="2" s="1"/>
  <c r="R27" i="12"/>
  <c r="R27" i="2" s="1"/>
  <c r="R29" i="12"/>
  <c r="R29" i="2" s="1"/>
  <c r="R24" i="12"/>
  <c r="R24" i="2" s="1"/>
  <c r="R22" i="12"/>
  <c r="R26" i="12"/>
  <c r="R26" i="2" s="1"/>
  <c r="R30" i="12"/>
  <c r="R30" i="2" s="1"/>
  <c r="R22" i="2" l="1"/>
  <c r="R31" i="12"/>
  <c r="R67" i="2"/>
  <c r="R70" i="2"/>
  <c r="R71" i="2" s="1"/>
  <c r="R32" i="12" l="1"/>
  <c r="R31" i="2"/>
  <c r="R3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tc={C530955E-528F-4141-8E5A-4E37CDBBCD7E}</author>
    <author>Carter Stewart</author>
    <author>tc={4D39483F-5207-46D9-AEC7-AD1785727B5D}</author>
  </authors>
  <commentList>
    <comment ref="U64"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Source: https://eur03.safelinks.protection.outlook.com/?url=https%3A%2F%2Fwww.imf.org%2Fen%2FPublications%2FWEO%2Fweo-database%2F2022%2FApril%2Fweo-report%3Fc%3D112%2C%26s%3DPCPIPCH%2C%26sy%3D2017%26ey%3D2027%26ssm%3D0%26scsm%3D1%26scc%3D0%26ssd%3D1%26ssc%3D0%26sic%3D0%26sort%3Dcountry%26ds%3D.%26br%3D1&amp;data=05%7C01%7CBronwyn.Fraser%40caa.co.uk%7Cbd71588c0f094b32c30108da4eca9632%7Cc4edd5ba10c34fe3946a7c9c446ab8c8%7C0%7C0%7C637908929541602752%7CUnknown%7CTWFpbGZsb3d8eyJWIjoiMC4wLjAwMDAiLCJQIjoiV2luMzIiLCJBTiI6Ik1haWwiLCJXVCI6Mn0%3D%7C3000%7C%7C%7C&amp;sdata=GK4bvaUOhid72G8VCvksSifnCnqFPmmSVQBu1Ph%2FZRw%3D&amp;reserved=0</t>
      </text>
    </comment>
    <comment ref="I65" authorId="1" shapeId="0" xr:uid="{00000000-0006-0000-0100-000002000000}">
      <text>
        <r>
          <rPr>
            <b/>
            <sz val="9"/>
            <color indexed="81"/>
            <rFont val="Tahoma"/>
            <family val="2"/>
          </rPr>
          <t>CAA:</t>
        </r>
        <r>
          <rPr>
            <sz val="9"/>
            <color indexed="81"/>
            <rFont val="Tahoma"/>
            <family val="2"/>
          </rPr>
          <t xml:space="preserve">
Corrected formula to be in 2017 prices</t>
        </r>
      </text>
    </comment>
    <comment ref="U68"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As per p14 of CRCO Report 2021, requested to be amended by CRCO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TSITSONI Viktoria</author>
    <author>Fraser Bronwyn</author>
    <author>tc={EC9C38AF-F72E-44B1-9746-754A6BB25848}</author>
    <author>Carter Stewart</author>
  </authors>
  <commentList>
    <comment ref="F14" authorId="0" shapeId="0" xr:uid="{00000000-0006-0000-0400-000001000000}">
      <text>
        <r>
          <rPr>
            <sz val="9"/>
            <color indexed="81"/>
            <rFont val="Tahoma"/>
            <family val="2"/>
          </rPr>
          <t xml:space="preserve">In line with the corrected RP2 reporting Tables
</t>
        </r>
      </text>
    </comment>
    <comment ref="H14" authorId="0" shapeId="0" xr:uid="{00000000-0006-0000-0400-000002000000}">
      <text>
        <r>
          <rPr>
            <sz val="9"/>
            <color indexed="81"/>
            <rFont val="Tahoma"/>
            <family val="2"/>
          </rPr>
          <t xml:space="preserve">In line with the corrected RP2 reporting Tables
</t>
        </r>
      </text>
    </comment>
    <comment ref="F30" authorId="0" shapeId="0" xr:uid="{00000000-0006-0000-0400-000003000000}">
      <text>
        <r>
          <rPr>
            <sz val="9"/>
            <color indexed="81"/>
            <rFont val="Tahoma"/>
            <family val="2"/>
          </rPr>
          <t>In line with the corrected RP2 reporting tables</t>
        </r>
      </text>
    </comment>
    <comment ref="H30" authorId="0" shapeId="0" xr:uid="{00000000-0006-0000-0400-000004000000}">
      <text>
        <r>
          <rPr>
            <sz val="9"/>
            <color indexed="81"/>
            <rFont val="Tahoma"/>
            <family val="2"/>
          </rPr>
          <t>In line with the corrected RP2 reporting tables</t>
        </r>
      </text>
    </comment>
    <comment ref="K30" authorId="1" shapeId="0" xr:uid="{00000000-0006-0000-0400-000005000000}">
      <text>
        <r>
          <rPr>
            <b/>
            <sz val="9"/>
            <color indexed="81"/>
            <rFont val="Tahoma"/>
            <family val="2"/>
          </rPr>
          <t>Fraser Bronwyn:</t>
        </r>
        <r>
          <rPr>
            <sz val="9"/>
            <color indexed="81"/>
            <rFont val="Tahoma"/>
            <family val="2"/>
          </rPr>
          <t xml:space="preserve">
These costs have been updated in line with updated ECTL forecast budget, released September 2019</t>
        </r>
      </text>
    </comment>
    <comment ref="R55" authorId="2" shapeId="0" xr:uid="{00000000-0006-0000-0400-000006000000}">
      <text>
        <t>[Threaded comment]
Your version of Excel allows you to read this threaded comment; however, any edits to it will get removed if the file is opened in a newer version of Excel. Learn more: https://go.microsoft.com/fwlink/?linkid=870924
Comment:
    No 2027 forecast available at present, so 2026 forecast figure has been used as a placeholder until further forecast is made available</t>
      </text>
    </comment>
    <comment ref="O64" authorId="3" shapeId="0" xr:uid="{00000000-0006-0000-0400-000007000000}">
      <text>
        <r>
          <rPr>
            <b/>
            <sz val="9"/>
            <color indexed="81"/>
            <rFont val="Tahoma"/>
            <family val="2"/>
          </rPr>
          <t>CAA:</t>
        </r>
        <r>
          <rPr>
            <sz val="9"/>
            <color indexed="81"/>
            <rFont val="Tahoma"/>
            <family val="2"/>
          </rPr>
          <t xml:space="preserve">
Changed formula to include inflation to put NSA costs in real 2017 prices</t>
        </r>
      </text>
    </comment>
    <comment ref="O66" authorId="3" shapeId="0" xr:uid="{00000000-0006-0000-0400-000008000000}">
      <text>
        <r>
          <rPr>
            <b/>
            <sz val="9"/>
            <color indexed="81"/>
            <rFont val="Tahoma"/>
            <family val="2"/>
          </rPr>
          <t>CAA:</t>
        </r>
        <r>
          <rPr>
            <sz val="9"/>
            <color indexed="81"/>
            <rFont val="Tahoma"/>
            <family val="2"/>
          </rPr>
          <t xml:space="preserve">
Changed formula to put Determined costs in real 2017 prices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Carter Stewart</author>
  </authors>
  <commentList>
    <comment ref="G15" authorId="0" shapeId="0" xr:uid="{00000000-0006-0000-0600-000001000000}">
      <text>
        <r>
          <rPr>
            <b/>
            <sz val="9"/>
            <color indexed="81"/>
            <rFont val="Tahoma"/>
            <family val="2"/>
          </rPr>
          <t>CAA:</t>
        </r>
        <r>
          <rPr>
            <sz val="9"/>
            <color indexed="81"/>
            <rFont val="Tahoma"/>
            <family val="2"/>
          </rPr>
          <t xml:space="preserve">
Corrected formula, following discussion with European Commission on treatment of inflation for current cost accounting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Carter Stewart</author>
  </authors>
  <commentList>
    <comment ref="G15" authorId="0" shapeId="0" xr:uid="{00000000-0006-0000-0700-000001000000}">
      <text>
        <r>
          <rPr>
            <b/>
            <sz val="9"/>
            <color indexed="81"/>
            <rFont val="Tahoma"/>
            <family val="2"/>
          </rPr>
          <t>CAA:</t>
        </r>
        <r>
          <rPr>
            <sz val="9"/>
            <color indexed="81"/>
            <rFont val="Tahoma"/>
            <family val="2"/>
          </rPr>
          <t xml:space="preserve">
Corrected formula, following discussion with European Commission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LAJIC Natasa</author>
    <author>Fraser Bronwyn</author>
    <author>Carter Stewart</author>
  </authors>
  <commentList>
    <comment ref="M107" authorId="0" shapeId="0" xr:uid="{00000000-0006-0000-0A00-000001000000}">
      <text>
        <r>
          <rPr>
            <sz val="9"/>
            <color indexed="81"/>
            <rFont val="Tahoma"/>
            <family val="2"/>
          </rPr>
          <t xml:space="preserve">
The UK uses a Regulatory Asset Base (RAB) approach to track the amount invested by NERL to provide services to users that is yet to be recovered from users through allowances for regulatory depreciation. The UK RAB rules are designed to be able to reflect the Commission’s methodology regarding costs exempt from cost sharing, and is explained through the RAB rules. By way of illustration, the draft RAB rules for RP3 are set out in CAP1830b - https://publicapps.caa.co.uk/docs/33/CAP%201830b%20RAB%20Rules.pdf. However, minor adjustments are required to be made to the European en route cost reporting tables to accurately reflect the UK’s RAB approach.
For pensions costs exempt from cost sharing, the amount is added to the RAB and depreciated over 15 years through unit charges. This smooths charges, as the amount of costs exempt from the previous period is not recovered/returned in one lump sum in N+2 period. We have included the return through the RAB for each year in T3 ANSP, cells E75 to I75 (the sum of depreciation and return). This is then included as an adjustment to the unit rate in T2 ANSP, cell C84 to G84. These amounts are also reflected in the CAA Final Decision version of the NATS financial model.
For spectrum costs exempt, the total spectrum variance over the previous reference period is subtracted from the RAB in the first year of the next reference period. As it is subtracted from the RAB, it flows back to charges through the lower allowed return as so an additional reduction on the unit rate is not required.
We are happy to explain this in detail if required.</t>
        </r>
      </text>
    </comment>
    <comment ref="D145" authorId="1" shapeId="0" xr:uid="{00000000-0006-0000-0A00-000002000000}">
      <text>
        <r>
          <rPr>
            <b/>
            <sz val="9"/>
            <color indexed="81"/>
            <rFont val="Tahoma"/>
            <family val="2"/>
          </rPr>
          <t>Fraser Bronwyn:</t>
        </r>
        <r>
          <rPr>
            <sz val="9"/>
            <color indexed="81"/>
            <rFont val="Tahoma"/>
            <family val="2"/>
          </rPr>
          <t xml:space="preserve">
This figure reflects the traffic adjusment for 2019, as well as the adjustment made for INEA funds. See Additional Information for further detail.</t>
        </r>
      </text>
    </comment>
    <comment ref="M170" authorId="2" shapeId="0" xr:uid="{00000000-0006-0000-0A00-000003000000}">
      <text>
        <r>
          <rPr>
            <b/>
            <sz val="9"/>
            <color indexed="81"/>
            <rFont val="Tahoma"/>
            <family val="2"/>
          </rPr>
          <t>CAA:</t>
        </r>
        <r>
          <rPr>
            <sz val="9"/>
            <color indexed="81"/>
            <rFont val="Tahoma"/>
            <family val="2"/>
          </rPr>
          <t xml:space="preserve">
Changed formula. Repayment of INEA funding recovered in 2019</t>
        </r>
      </text>
    </comment>
    <comment ref="D173" authorId="1" shapeId="0" xr:uid="{00000000-0006-0000-0A00-000004000000}">
      <text>
        <r>
          <rPr>
            <b/>
            <sz val="9"/>
            <color indexed="81"/>
            <rFont val="Tahoma"/>
            <family val="2"/>
          </rPr>
          <t>Fraser Bronwyn:</t>
        </r>
        <r>
          <rPr>
            <sz val="9"/>
            <color indexed="81"/>
            <rFont val="Tahoma"/>
            <family val="2"/>
          </rPr>
          <t xml:space="preserve">
See Additional Information - NERL will return c.£10.4m in 2021, out of the total of c.£32.4m INEA funds, with the rest being returned in 2022.</t>
        </r>
      </text>
    </comment>
    <comment ref="M256" authorId="0" shapeId="0" xr:uid="{00000000-0006-0000-0A00-000005000000}">
      <text>
        <r>
          <rPr>
            <sz val="9"/>
            <color indexed="81"/>
            <rFont val="Tahoma"/>
            <family val="2"/>
          </rPr>
          <t xml:space="preserve">
The UK uses a Regulatory Asset Base (RAB) approach to track the amount invested by NERL to provide services to users that is yet to be recovered from users through allowances for regulatory depreciation. The UK RAB rules are designed to be able to reflect the Commission’s methodology regarding costs exempt from cost sharing, and is explained through the RAB rules. By way of illustration, the draft RAB rules for RP3 are set out in CAP1830b - https://publicapps.caa.co.uk/docs/33/CAP%201830b%20RAB%20Rules.pdf. However, minor adjustments are required to be made to the European en route cost reporting tables to accurately reflect the UK’s RAB approach.
For pensions costs exempt from cost sharing, the amount is added to the RAB and depreciated over 15 years through unit charges. This smooths charges, as the amount of costs exempt from the previous period is not recovered/returned in one lump sum in N+2 period. We have included the return through the RAB for each year in T3 ANSP, cells E75 to I75 (the sum of depreciation and return). This is then included as an adjustment to the unit rate in T2 ANSP, cell C84 to G84. These amounts are also reflected in the CAA Final Decision version of the NATS financial model.
For spectrum costs exempt, the total spectrum variance over the previous reference period is subtracted from the RAB in the first year of the next reference period. As it is subtracted from the RAB, it flows back to charges through the lower allowed return as so an additional reduction on the unit rate is not required.
We are happy to explain this in detail if required.</t>
        </r>
      </text>
    </comment>
  </commentList>
</comments>
</file>

<file path=xl/sharedStrings.xml><?xml version="1.0" encoding="utf-8"?>
<sst xmlns="http://schemas.openxmlformats.org/spreadsheetml/2006/main" count="3615" uniqueCount="872">
  <si>
    <t>Legend for the Check sheet</t>
  </si>
  <si>
    <t>Cells highlighted in green indicate that the items checked are equal and different to 0</t>
  </si>
  <si>
    <t>Cells highlighted in Qale yellow indicate that the items entering the check are blank or 0</t>
  </si>
  <si>
    <t>Cells highlighted in red indicate that the items checked are not equal</t>
  </si>
  <si>
    <t>Cells highlighted in pale yellow indicate that one of the items entering the check is blank or 0</t>
  </si>
  <si>
    <t>#DIV/0</t>
  </si>
  <si>
    <t>Cells highlighted in orange indicate formulae that resulted in error</t>
  </si>
  <si>
    <t>N/A</t>
  </si>
  <si>
    <t>Cells highlighted in white with grey "N/A" indicate that the check is not applicable for the given combination of year and/or RP</t>
  </si>
  <si>
    <t>Actual</t>
  </si>
  <si>
    <t>Determined</t>
  </si>
  <si>
    <t>INFORMATION ON COSTS AND UNIT COSTS - TABLE 1</t>
  </si>
  <si>
    <t>Rounding 
(dec. plcs)</t>
  </si>
  <si>
    <t>#</t>
  </si>
  <si>
    <t>Item</t>
  </si>
  <si>
    <t>Checks for Route TABLE 1 (consolidated)</t>
  </si>
  <si>
    <t xml:space="preserve"> #001</t>
  </si>
  <si>
    <t>4.2</t>
  </si>
  <si>
    <t>Check that values in Table 1 Consolidated are sums of the same items across all the entities (in '000 NC)</t>
  </si>
  <si>
    <t>Total determined/actual costs (in '000 NC)</t>
  </si>
  <si>
    <t>Sum of Total determined/actual costs for all entities (in '000 NC)</t>
  </si>
  <si>
    <t xml:space="preserve"> #002</t>
  </si>
  <si>
    <t>1.6</t>
  </si>
  <si>
    <t>Check the sum of costs by nature (in '000 NC)</t>
  </si>
  <si>
    <t>Total costs by nature (in '000 NC)</t>
  </si>
  <si>
    <t>Sum of items 1.1 to 1.5 (in '000 NC)</t>
  </si>
  <si>
    <t xml:space="preserve"> #003</t>
  </si>
  <si>
    <t>2.10</t>
  </si>
  <si>
    <t>Check the sum of costs by service (in '000 NC)</t>
  </si>
  <si>
    <t>Total costs by service (in '000 NC)</t>
  </si>
  <si>
    <t>Sum of items 2.1 to 2.9 (in '000 NC)</t>
  </si>
  <si>
    <t xml:space="preserve"> #004</t>
  </si>
  <si>
    <t>Check that total costs by nature equals total costs by service (in '000 NC)</t>
  </si>
  <si>
    <t>#100</t>
  </si>
  <si>
    <t>5.1</t>
  </si>
  <si>
    <t>Check that inflation rate is not negative</t>
  </si>
  <si>
    <t>Inflation rate</t>
  </si>
  <si>
    <t xml:space="preserve"> #009</t>
  </si>
  <si>
    <t>5.2</t>
  </si>
  <si>
    <t>Check calculation of Determined/Actual inflation index (base 100 in 2017)</t>
  </si>
  <si>
    <t>Calculated price index</t>
  </si>
  <si>
    <t>Price Index</t>
  </si>
  <si>
    <t xml:space="preserve"> #017b</t>
  </si>
  <si>
    <t>5.5</t>
  </si>
  <si>
    <t>Check calculation of the unit cost for RP3</t>
  </si>
  <si>
    <t>Total costs real terms / Total service units</t>
  </si>
  <si>
    <t>Unit Cost</t>
  </si>
  <si>
    <t>#063</t>
  </si>
  <si>
    <t>Check total costs after deduction of costs for exempted VFR</t>
  </si>
  <si>
    <t>Total determined/actual costs(in '000 NC)</t>
  </si>
  <si>
    <t>Total costs by service deducted by Costs for exempted VFR flights (in '000 NC)</t>
  </si>
  <si>
    <t>Checks for Route Table 1 ANSP</t>
  </si>
  <si>
    <t>2.1</t>
  </si>
  <si>
    <t>#091</t>
  </si>
  <si>
    <t>1.1</t>
  </si>
  <si>
    <t>Check that pension costs (in '000 NC) are filled in and different from 0</t>
  </si>
  <si>
    <t>Pension costs (in '000 NC)</t>
  </si>
  <si>
    <t xml:space="preserve"> #014b RP3</t>
  </si>
  <si>
    <t>5.3</t>
  </si>
  <si>
    <t>Check total costs into real terms (in '000 NC) RP3-current cost accounting</t>
  </si>
  <si>
    <t>Total determined/actual costs after deduction of costs for exempted VFR flights / price index (in '000 NC)</t>
  </si>
  <si>
    <t>Total costs real terms (in '000 NC)</t>
  </si>
  <si>
    <t xml:space="preserve"> #016</t>
  </si>
  <si>
    <t>5.4</t>
  </si>
  <si>
    <t>Check that Service Units are the same for all entities (in '000)</t>
  </si>
  <si>
    <t>Total Service Units (ANSP)</t>
  </si>
  <si>
    <t>Total Service Units (Consolidated)</t>
  </si>
  <si>
    <t xml:space="preserve"> #006</t>
  </si>
  <si>
    <t>Check that inflation rate for the entity is the same as at Charging Zone level (in %)</t>
  </si>
  <si>
    <t>Inflation rate (%) (ANSP)</t>
  </si>
  <si>
    <t>Inflation rate (%) (Consolidated)</t>
  </si>
  <si>
    <t xml:space="preserve"> #006b</t>
  </si>
  <si>
    <t>Check that inflation index for the entity is the same as at Charging Zone level (in %)</t>
  </si>
  <si>
    <t>Price Index (ANSP)</t>
  </si>
  <si>
    <t>Price Index (Consolidated)</t>
  </si>
  <si>
    <t xml:space="preserve"> #019</t>
  </si>
  <si>
    <t>3.5</t>
  </si>
  <si>
    <t>Check calculation of cost of capital pre-tax rate</t>
  </si>
  <si>
    <t>Cost of capital pre tax rate (%)</t>
  </si>
  <si>
    <t>Cost of capital / total asset base (%)</t>
  </si>
  <si>
    <t xml:space="preserve"> #020</t>
  </si>
  <si>
    <t>3.8</t>
  </si>
  <si>
    <t>Check proportion of financing through equity is coherent with components</t>
  </si>
  <si>
    <t>Proportion of financing through equity calculated from components is (in %):</t>
  </si>
  <si>
    <t>Proportion of financing through equity is (in %):</t>
  </si>
  <si>
    <t xml:space="preserve"> #018</t>
  </si>
  <si>
    <t>3.4</t>
  </si>
  <si>
    <t>Check total asset base (in '000 NC)</t>
  </si>
  <si>
    <t>Sum of assets (in '000 NC)</t>
  </si>
  <si>
    <t>Total asset base (in '000 NC)</t>
  </si>
  <si>
    <t>#065</t>
  </si>
  <si>
    <t>Check that no cost of capital is calculated if no asset base is reported</t>
  </si>
  <si>
    <t>Cost of capital (in '000 NC)</t>
  </si>
  <si>
    <t>#087</t>
  </si>
  <si>
    <t>3.10</t>
  </si>
  <si>
    <t>Check that depreciation in item 3.10 is the same as in item 1.3 (in '000 NC)</t>
  </si>
  <si>
    <t>Depreciation - item 3.10 (in '000 NC)</t>
  </si>
  <si>
    <t>Depreciation - item 1.3 (in '000 NC)</t>
  </si>
  <si>
    <t>#088</t>
  </si>
  <si>
    <t>3.11</t>
  </si>
  <si>
    <t>Check that cost of capital in item 3.11 is calculated based on NBV of fixed assets (in '000 NC)</t>
  </si>
  <si>
    <t>Cost of capital - item 3.11 (in '000 NC)</t>
  </si>
  <si>
    <t>NBV of fixed assets * WACC rate (in '000 NC)</t>
  </si>
  <si>
    <t>Checks for Route Table 1 MET</t>
  </si>
  <si>
    <t xml:space="preserve"> #014 RP3</t>
  </si>
  <si>
    <t xml:space="preserve">Check total costs into real terms (in '000 NC) RP3 </t>
  </si>
  <si>
    <t>Total Service Units (MET)</t>
  </si>
  <si>
    <t>Checks for Route Table 1 NSA</t>
  </si>
  <si>
    <t xml:space="preserve">Check the sum of costs by nature (in '000 NC) </t>
  </si>
  <si>
    <t>#068</t>
  </si>
  <si>
    <t>3.13</t>
  </si>
  <si>
    <t>Check that Eurocontrol costs (in '000 Euro) are filled in and different from 0</t>
  </si>
  <si>
    <t>Eurocontrol costs (in '000 Euro)</t>
  </si>
  <si>
    <t>#068b</t>
  </si>
  <si>
    <t>3.15</t>
  </si>
  <si>
    <t>Check calculation of Eurocontrol costs (in '000 NC)</t>
  </si>
  <si>
    <t>Eurocontrol costs (in '000 NC)</t>
  </si>
  <si>
    <t>Eurocontrol costs (in '000 Euro) * exchange rate</t>
  </si>
  <si>
    <t xml:space="preserve"> #054</t>
  </si>
  <si>
    <t>Check that Eurocontrol costs are = to T1 NSA (Other States costs)</t>
  </si>
  <si>
    <t>Eurocontrol costs reported in item 3.15 (in '000 NC)</t>
  </si>
  <si>
    <t>Other State costs reported in item 2.9 (in '000 NC)</t>
  </si>
  <si>
    <t xml:space="preserve"> #055</t>
  </si>
  <si>
    <r>
      <t xml:space="preserve">Check that Eurocontrol costs are </t>
    </r>
    <r>
      <rPr>
        <sz val="11"/>
        <rFont val="Calibri"/>
        <family val="2"/>
      </rPr>
      <t>≤</t>
    </r>
    <r>
      <rPr>
        <sz val="11"/>
        <rFont val="Calibri"/>
        <family val="2"/>
        <charset val="238"/>
        <scheme val="minor"/>
      </rPr>
      <t xml:space="preserve"> to T1 NSA (Other operating costs)</t>
    </r>
  </si>
  <si>
    <t>Other operating costs of NSA reported in item 1.2 (in '000 NC)</t>
  </si>
  <si>
    <t>Total Service Units (NSA)</t>
  </si>
  <si>
    <t>CALCULATION OF UNIT RATES - TABLE 2</t>
  </si>
  <si>
    <t>Reference Period 3</t>
  </si>
  <si>
    <t>Checks for T2 (consolidated)</t>
  </si>
  <si>
    <t xml:space="preserve"> #023</t>
  </si>
  <si>
    <t>Consistency of determined costs in nominal terms (VFR excl.) with T1 Consolidated</t>
  </si>
  <si>
    <t>Determined costs in nominal terms - VFR excl. - Table 2 Item 1.1 (in '000 NC)</t>
  </si>
  <si>
    <t>Total determined/actual costs - Table 1 (in '000 NC)</t>
  </si>
  <si>
    <t xml:space="preserve"> #023b</t>
  </si>
  <si>
    <t>Consistency of determined costs subject to inflation adjustment with T1 Consolidated</t>
  </si>
  <si>
    <t>Determined costs subject to inflation adjustment - Table 2 (in '000 NC)</t>
  </si>
  <si>
    <t>Determined costs subject to inflation adjustment - Table 1 (in '000 NC)</t>
  </si>
  <si>
    <t xml:space="preserve"> #025</t>
  </si>
  <si>
    <t>2.2</t>
  </si>
  <si>
    <t>Consistency of forecast inflation index with T1 Consolidated</t>
  </si>
  <si>
    <t>Forecast inflation index - Table 2</t>
  </si>
  <si>
    <t>Forecast inflation index - Table 1</t>
  </si>
  <si>
    <t xml:space="preserve"> #024</t>
  </si>
  <si>
    <t>2.3</t>
  </si>
  <si>
    <t>Consistency of actual inflation index with T1 Consolidated</t>
  </si>
  <si>
    <t>Actual inflation index - Table 2</t>
  </si>
  <si>
    <t>Actual inflation index - Table 1</t>
  </si>
  <si>
    <t xml:space="preserve"> #024b</t>
  </si>
  <si>
    <t>2.4</t>
  </si>
  <si>
    <t>Calculation of the difference between actual and forecast inflation index (in %)</t>
  </si>
  <si>
    <t>Actual / forecast inflation index - Table 2 (in %)</t>
  </si>
  <si>
    <t>Actual / forecast inflation index - Table 1 (in %)</t>
  </si>
  <si>
    <t xml:space="preserve"> #029</t>
  </si>
  <si>
    <t>Calculation of inflation adjustment relating to year n</t>
  </si>
  <si>
    <t>Inflation adjustment (in '000 NC)</t>
  </si>
  <si>
    <t>Calculated inflation adjustment (in '000 NC)</t>
  </si>
  <si>
    <t xml:space="preserve"> #082</t>
  </si>
  <si>
    <t>Sum of differences between determined and actual costs relating to year n</t>
  </si>
  <si>
    <t>Differences between determined and actual costs relating to year n (in '000 NC)</t>
  </si>
  <si>
    <t>Sum of items 3.1 to 3.7 (in '000 NC)</t>
  </si>
  <si>
    <t xml:space="preserve"> #023c</t>
  </si>
  <si>
    <t>4.1</t>
  </si>
  <si>
    <t>Consistency of determined costs subject to traffic risk-sharing with T1 Consolidated</t>
  </si>
  <si>
    <t>Determined costs subject to traffic risk-sharing - Table 2 (in '000 NC)</t>
  </si>
  <si>
    <t>Determined costs subject to traffic risk-sharing - Table 1 (in '000 NC)</t>
  </si>
  <si>
    <t xml:space="preserve"> #027</t>
  </si>
  <si>
    <t>4.6</t>
  </si>
  <si>
    <t>Consistency of forecast total service units (performance plan) with T1 Consolidated</t>
  </si>
  <si>
    <t>Forecast total service units - Table 2 (in '000)</t>
  </si>
  <si>
    <t>Forecast total service units - Table 1 (in '000)</t>
  </si>
  <si>
    <t xml:space="preserve"> #026</t>
  </si>
  <si>
    <t>Consistency of actual total service units with T1 Consolidated</t>
  </si>
  <si>
    <t>Actual total service units - Table 2 (in '000)</t>
  </si>
  <si>
    <t>Actual total service units - Table 1 (in '000)</t>
  </si>
  <si>
    <t xml:space="preserve"> #030</t>
  </si>
  <si>
    <t>Calculation of the difference between actual and forecast total service units (in %)</t>
  </si>
  <si>
    <t>Actual / forecast total service units - Table 1 (%)</t>
  </si>
  <si>
    <t>Actual / forecast total service units - Table 2 (%)</t>
  </si>
  <si>
    <t xml:space="preserve"> #032</t>
  </si>
  <si>
    <t>4.9</t>
  </si>
  <si>
    <t>Calculation of traffic risk-sharing adjustment relating to year n</t>
  </si>
  <si>
    <t>Traffic risk-sharing adjustment (in '000 NC)</t>
  </si>
  <si>
    <t>Calculated traffic risk-sharing adjustment (in '000 NC)</t>
  </si>
  <si>
    <t xml:space="preserve"> #034</t>
  </si>
  <si>
    <t>Calculation of traffic adjustment for determined costs not subject to traffic risk-sharing</t>
  </si>
  <si>
    <t>Traffic adjustment (in '000 NC)</t>
  </si>
  <si>
    <t>Calculated traffic adjustment (in '000 NC)</t>
  </si>
  <si>
    <t>Calculation of traffic adjustment for adjustments to year n unit rate not subject to traffic risk-sharing</t>
  </si>
  <si>
    <t>Sum of traffic adjustment</t>
  </si>
  <si>
    <t>Traffic adjustments relating to year n (in '000 NC)</t>
  </si>
  <si>
    <t>Sum of items 5.1 and 5.2 (in '000 NC)</t>
  </si>
  <si>
    <t xml:space="preserve"> #082b</t>
  </si>
  <si>
    <t>6.4</t>
  </si>
  <si>
    <t>Sum of financial incentives relating to year n</t>
  </si>
  <si>
    <t>Financial incentives relating to year n (in '000 NC)</t>
  </si>
  <si>
    <t>Sum of items 6.1 to 6.3 (in '000 NC)</t>
  </si>
  <si>
    <t xml:space="preserve"> #039</t>
  </si>
  <si>
    <t>10.5</t>
  </si>
  <si>
    <t>Sum of other revenues relating to year n</t>
  </si>
  <si>
    <t>Total other revenues relating to year n (in '000 NC)</t>
  </si>
  <si>
    <t>Sum of items 10.1 to 10.4 (in '000 NC)</t>
  </si>
  <si>
    <t>13.1</t>
  </si>
  <si>
    <t>Determined costs in nominal terms (VFR excl.)</t>
  </si>
  <si>
    <t>Determined costs in nominal terms - Item 13.1 (in '000 NC)</t>
  </si>
  <si>
    <t>Determined costs in nominal terms - Item 1.1 (in '000 NC)</t>
  </si>
  <si>
    <t>#071</t>
  </si>
  <si>
    <t>13.2</t>
  </si>
  <si>
    <t>Consistency of inflation adjustment carried-over to unit rate year n with T3</t>
  </si>
  <si>
    <t>Amounts carried-over from Table 2 (in '000 NC)</t>
  </si>
  <si>
    <t>Amounts carried-over from Table 3 (in '000 NC)</t>
  </si>
  <si>
    <t>#073</t>
  </si>
  <si>
    <t>13.3</t>
  </si>
  <si>
    <t>Consistency of traffic risk-sharing adjustment carried-over to unit rate year n with T3</t>
  </si>
  <si>
    <t>#074</t>
  </si>
  <si>
    <t>13.4</t>
  </si>
  <si>
    <t>Consistency of costs exempt from cost-sharing carried-over to unit rate year n with T3</t>
  </si>
  <si>
    <t>#075</t>
  </si>
  <si>
    <t>13.5</t>
  </si>
  <si>
    <t>Consistency of financial incentives carried-over to unit rate year n with T3</t>
  </si>
  <si>
    <t>#076</t>
  </si>
  <si>
    <t>13.6</t>
  </si>
  <si>
    <t>Consistency of modulation of charges carried-over to unit rate year n with T3</t>
  </si>
  <si>
    <t>#077</t>
  </si>
  <si>
    <t>13.7</t>
  </si>
  <si>
    <t>Consistency of traffic adjustment carried-over to unit rate year n with T3</t>
  </si>
  <si>
    <t>#079</t>
  </si>
  <si>
    <t>13.8</t>
  </si>
  <si>
    <t>Consistency of other revenues carried-over to unit rate year n with T3</t>
  </si>
  <si>
    <t>#080</t>
  </si>
  <si>
    <t>13.9</t>
  </si>
  <si>
    <t>Consistency of cross-financing carried-over to unit rate year n with T3</t>
  </si>
  <si>
    <t>#078b</t>
  </si>
  <si>
    <t>13.10</t>
  </si>
  <si>
    <t>Consistency of revenue differences from temporary application of UR with T3</t>
  </si>
  <si>
    <t>#070</t>
  </si>
  <si>
    <t>13.2-13.10</t>
  </si>
  <si>
    <t>Consistency of total adjustments carried over to unit rate year n with T3</t>
  </si>
  <si>
    <t>Sum of amounts carried-over from Table 2 (in '000 NC)</t>
  </si>
  <si>
    <t>Sum of amounts carried-over from Table 3 (in '000 NC)</t>
  </si>
  <si>
    <t xml:space="preserve"> #040</t>
  </si>
  <si>
    <t>13.11</t>
  </si>
  <si>
    <t>Grand total for the calculation of year n unit rate</t>
  </si>
  <si>
    <t>Grand total for the calculation of year n unit rate (in '000 NC)</t>
  </si>
  <si>
    <t>Sum of items 13.1 to 13.10 (in '000 NC)</t>
  </si>
  <si>
    <t xml:space="preserve"> #027b</t>
  </si>
  <si>
    <t>13.12</t>
  </si>
  <si>
    <t>Forecast total service units for year n (performance plan)</t>
  </si>
  <si>
    <t>Forecast total service units - Item  13.12 (in '000)</t>
  </si>
  <si>
    <t>Forecast total service units - Item  4.6 (in '000)</t>
  </si>
  <si>
    <t xml:space="preserve"> #081</t>
  </si>
  <si>
    <t>13.13</t>
  </si>
  <si>
    <t>Calculation of the unit rate for year n</t>
  </si>
  <si>
    <t>Unit Rate for year n</t>
  </si>
  <si>
    <t>Grand total for the calculation of year n unit rate / Forecast total service units</t>
  </si>
  <si>
    <t xml:space="preserve"> #081b</t>
  </si>
  <si>
    <t>14</t>
  </si>
  <si>
    <t>Calculation of the applicable unit rate for year n</t>
  </si>
  <si>
    <t>Applicable unit rate for year n</t>
  </si>
  <si>
    <t>Unit Rate for year n - Reduction as per Art. 29(6)</t>
  </si>
  <si>
    <t>Checks for T2 ANSP</t>
  </si>
  <si>
    <t xml:space="preserve"> #089</t>
  </si>
  <si>
    <t>% of traffic deviation set as deadband is 2%</t>
  </si>
  <si>
    <t>% of traffic deviation</t>
  </si>
  <si>
    <t xml:space="preserve"> #035</t>
  </si>
  <si>
    <t>4.3</t>
  </si>
  <si>
    <t>% of TRS additional revenue returned to users is 70%</t>
  </si>
  <si>
    <t>% additional revenue returned to users in year n+2</t>
  </si>
  <si>
    <t xml:space="preserve"> #036</t>
  </si>
  <si>
    <t>4.4</t>
  </si>
  <si>
    <t>% of TRS loss borne by users is 70%</t>
  </si>
  <si>
    <t>% loss of revenue borne by airspace users in year n+2</t>
  </si>
  <si>
    <t xml:space="preserve"> #090</t>
  </si>
  <si>
    <t>4.5</t>
  </si>
  <si>
    <t>% of traffic deviation set as threshold is 10%</t>
  </si>
  <si>
    <t>Checks for T2 MET</t>
  </si>
  <si>
    <t>Checks for T2 NSA</t>
  </si>
  <si>
    <t>Checks for T3 (consolidated)</t>
  </si>
  <si>
    <t>i</t>
  </si>
  <si>
    <t>Total adjustments relating to year n to be carried-over</t>
  </si>
  <si>
    <t>Sum of amounts to be carried-over from Table 2 (in '000 NC)</t>
  </si>
  <si>
    <t>Sum of amounts to be carried-over from Table 3 (in '000 NC)</t>
  </si>
  <si>
    <t>ii</t>
  </si>
  <si>
    <t>Inflation adjustment</t>
  </si>
  <si>
    <t>Amounts to be carried-over from Table 2 (in '000 NC)</t>
  </si>
  <si>
    <t>Amounts to be carried-over from Table 3 (in '000 NC)</t>
  </si>
  <si>
    <t>iii</t>
  </si>
  <si>
    <t>Costs exempt</t>
  </si>
  <si>
    <t>iv</t>
  </si>
  <si>
    <t>Traffic risk-sharing</t>
  </si>
  <si>
    <t>v</t>
  </si>
  <si>
    <t>Traffic adjustment</t>
  </si>
  <si>
    <t>vi</t>
  </si>
  <si>
    <t>Financial incentives</t>
  </si>
  <si>
    <t>vii</t>
  </si>
  <si>
    <t>Modulation of charges</t>
  </si>
  <si>
    <t>viii</t>
  </si>
  <si>
    <t>Revision of the unit rate</t>
  </si>
  <si>
    <t>#083</t>
  </si>
  <si>
    <t>ix</t>
  </si>
  <si>
    <t>Cross-financing</t>
  </si>
  <si>
    <t>#084</t>
  </si>
  <si>
    <t>x</t>
  </si>
  <si>
    <t>Other revenues</t>
  </si>
  <si>
    <t>#085</t>
  </si>
  <si>
    <t>xi</t>
  </si>
  <si>
    <t>Check that adjustments from current and future years are not anticipatively included in T3 and are equal to 0</t>
  </si>
  <si>
    <t>Sum of adjustments (in '000 NC)</t>
  </si>
  <si>
    <t>#086</t>
  </si>
  <si>
    <t>xii</t>
  </si>
  <si>
    <t>Check that no costs exempt from cost-sharing from RP2 are charged/reimbursed before 2021</t>
  </si>
  <si>
    <t>Costs exempt from cost-sharing from RP2: amounts carried over to year n (in '000 NC)</t>
  </si>
  <si>
    <t>Carry-over of costs exempt from cost-sharing from RP2 must be = 0</t>
  </si>
  <si>
    <t>Checks for T3 ANSP</t>
  </si>
  <si>
    <t>Checks for T3 MET new</t>
  </si>
  <si>
    <t>Checks for T3 NSA new</t>
  </si>
  <si>
    <t>Table 1 - Total Costs and Unit Costs</t>
  </si>
  <si>
    <t>To note: The figures in these tables are provisional and subject to change ahead of the November 2022 submission. These tables are also under development to reflect the UK situation and we continue to work with Eurocontrol to ensure the design, structure and functionality are correct.</t>
  </si>
  <si>
    <t>United Kingdom</t>
  </si>
  <si>
    <t>Currency : GBP £</t>
  </si>
  <si>
    <t>All Entities</t>
  </si>
  <si>
    <t>Actual costs 2012-2019</t>
  </si>
  <si>
    <t>Determined costs - RP3</t>
  </si>
  <si>
    <t>Determined costs - NR23</t>
  </si>
  <si>
    <t>Actual costs - RP3</t>
  </si>
  <si>
    <t>Actual Costs NR23</t>
  </si>
  <si>
    <t>Cost details</t>
  </si>
  <si>
    <t>1.     Detail by nature (in nominal terms)</t>
  </si>
  <si>
    <t>1.1   Staff</t>
  </si>
  <si>
    <t xml:space="preserve">         of which, pension costs</t>
  </si>
  <si>
    <t>1.2   Other operating costs</t>
  </si>
  <si>
    <t>1.3   Depreciation</t>
  </si>
  <si>
    <t>1.4   Cost of capital</t>
  </si>
  <si>
    <t>1.5   Exceptional items</t>
  </si>
  <si>
    <t>1.6   Total costs</t>
  </si>
  <si>
    <t>Total          % n/n-1</t>
  </si>
  <si>
    <t>2.     Detail by service (in nominal terms)</t>
  </si>
  <si>
    <t>2.1   Air Traffic Management</t>
  </si>
  <si>
    <t>2.2   Communication</t>
  </si>
  <si>
    <t>2.3   Navigation</t>
  </si>
  <si>
    <t>2.4   Surveillance</t>
  </si>
  <si>
    <t>2.5   Search and rescue</t>
  </si>
  <si>
    <t>2.6   Aeronautical Information</t>
  </si>
  <si>
    <t>2.7   Meteorological services</t>
  </si>
  <si>
    <t>2.8   Supervision costs</t>
  </si>
  <si>
    <t>2.9   Other State costs</t>
  </si>
  <si>
    <t>2.10 Total costs</t>
  </si>
  <si>
    <t>3.   Complementary information (in nominal terms)</t>
  </si>
  <si>
    <t>Average asset base</t>
  </si>
  <si>
    <t>3.1  Net book val. fixed assets</t>
  </si>
  <si>
    <t>3.2  Adjustments total assets</t>
  </si>
  <si>
    <t>3.3  Net current assets</t>
  </si>
  <si>
    <t>3.4  Total asset base</t>
  </si>
  <si>
    <t>Cost of capital %</t>
  </si>
  <si>
    <t>3.5  Cost of capital pre tax rate</t>
  </si>
  <si>
    <t>3.6  Return on equity</t>
  </si>
  <si>
    <t>3.7  Average interest on debts</t>
  </si>
  <si>
    <t>3.8  Share of financing through equity</t>
  </si>
  <si>
    <t>Costs of common projects</t>
  </si>
  <si>
    <t>3.9  Common projects</t>
  </si>
  <si>
    <t xml:space="preserve">Costs of new and existing investments </t>
  </si>
  <si>
    <t>3.10  Depreciation</t>
  </si>
  <si>
    <t xml:space="preserve">3.11  Cost of capital </t>
  </si>
  <si>
    <t xml:space="preserve">3.12  Cost of leasing </t>
  </si>
  <si>
    <t xml:space="preserve">Eurocontrol costs </t>
  </si>
  <si>
    <t>3.13 Eurocontrol costs (Euro)</t>
  </si>
  <si>
    <t>3.14 Exchange rate (if applicable)</t>
  </si>
  <si>
    <t>3.15 Eurocontrol costs (national currency)</t>
  </si>
  <si>
    <t>4.  Total costs after deduction of costs for services to exempted flights (in nominal terms)</t>
  </si>
  <si>
    <t>4.1  Costs for exempted VFR flights</t>
  </si>
  <si>
    <t xml:space="preserve">4.2  Total determined/actual costs </t>
  </si>
  <si>
    <t>5.  Cost-efficiency KPI - Determined/Actual Unit Cost (in real terms)</t>
  </si>
  <si>
    <t>5.1  Inflation  %</t>
  </si>
  <si>
    <t>5.2  Inflation index (1)</t>
  </si>
  <si>
    <t>5.3  Total costs real terms (2)</t>
  </si>
  <si>
    <t>5.4 Total Service Units</t>
  </si>
  <si>
    <t>5.5 Unit cost in real terms prices (3)</t>
  </si>
  <si>
    <t>HICP and CPI are the same index in the UK. 2020 actual inflation figure from: https://www.ons.gov.uk/economy/inflationandpriceindices/datasets/consumerpriceinflation</t>
  </si>
  <si>
    <t>Costs and asset base items in '000  -  Service units in '000</t>
  </si>
  <si>
    <t xml:space="preserve">(1)  Inflation index - Base 100 in 2017, Forecast inflation index 2019 as per the Performance Plan. </t>
  </si>
  <si>
    <t xml:space="preserve">(2)   Determined costs (performance plan) and actual costs in real terms </t>
  </si>
  <si>
    <t>(3)   Determined unit costs (performance plan) and actual unit costs in real terms</t>
  </si>
  <si>
    <t>Changed cell U64 from 5,531 to 5,399 to match model</t>
  </si>
  <si>
    <t xml:space="preserve">To note: the NR23 determined costs set out below are taken from NERL's business plan, submitted in February 2022. This is currently being analysed by the CAA, and these determined costs will be updated for the November 2022 session to reflect the CAA's Initial Proposals (due to the published in October 2022).
</t>
  </si>
  <si>
    <t>NERL</t>
  </si>
  <si>
    <t>Includes furlough</t>
  </si>
  <si>
    <t>n/a</t>
  </si>
  <si>
    <t>EC element of RAB only</t>
  </si>
  <si>
    <t xml:space="preserve">(1)  Inflation index - Base 100 in 2017, Forecast inflation 2019 as per the Performance Plan. </t>
  </si>
  <si>
    <t>To note: the NR23 determined costs set out below are taken from the Met Office's business plan, submitted to the CAA in February 2022. These will be updated by the November 2022 submission to reflect the CAA's NR23 Initial Proposals, due to be published in October 2022.</t>
  </si>
  <si>
    <t>Met Office</t>
  </si>
  <si>
    <t>Determined  - RP3</t>
  </si>
  <si>
    <t>Actual Costs - RP3 3</t>
  </si>
  <si>
    <t>To note: the below NR23 determined costs are taken from the CAA's business planning. The DfT component is taken from the Eurocontrol 2022-2026 forecast budget of October 2021, and the forecast exchange rate is the April 2022 rate as provided by Eurocontrol. These will be updated by the November 2022 submission to reflect the CAA's NR23 Initial Proposals, due to be published in October 2022.</t>
  </si>
  <si>
    <t>UK CAA + DfT Eurocontrol</t>
  </si>
  <si>
    <t xml:space="preserve">Table 2 - Unit rate calculation </t>
  </si>
  <si>
    <t>To note: the UK 2023 unit rate will be updated for the November 2022 submission to reflect the CAA's Initial Proposals/draft performance plan, which will be published in October 2022. Stakeholders have been consulted on this approach.</t>
  </si>
  <si>
    <t>NR23</t>
  </si>
  <si>
    <t>Table 2 A - Adjustments relating to year n</t>
  </si>
  <si>
    <t>A. Cost-sharing</t>
  </si>
  <si>
    <t>Determined costs</t>
  </si>
  <si>
    <r>
      <t xml:space="preserve">1.1       Determined costs in nominal terms - VFR excl. - Table 1 </t>
    </r>
    <r>
      <rPr>
        <b/>
        <i/>
        <sz val="8"/>
        <rFont val="Calibri"/>
        <family val="2"/>
      </rPr>
      <t>(Art. 22)</t>
    </r>
  </si>
  <si>
    <t>Inflation adjustment calculation</t>
  </si>
  <si>
    <t>2.1       Determined costs subject to inflation adjustment</t>
  </si>
  <si>
    <t>2.2       Forecast inflation index - Table 1</t>
  </si>
  <si>
    <t>2.3       Actual inflation index  - Table 1</t>
  </si>
  <si>
    <t>2.4       Actual / forecast total inflation index (in %)</t>
  </si>
  <si>
    <r>
      <t xml:space="preserve">2.5       Inflation adjustment relating to year n </t>
    </r>
    <r>
      <rPr>
        <b/>
        <i/>
        <sz val="8"/>
        <rFont val="Calibri"/>
        <family val="2"/>
      </rPr>
      <t>(Art. 26)</t>
    </r>
  </si>
  <si>
    <t>Differences between determined and actual costs referred to in Article 28(4) to 28(6)</t>
  </si>
  <si>
    <r>
      <t xml:space="preserve">3.1       New and existing investments </t>
    </r>
    <r>
      <rPr>
        <i/>
        <sz val="8"/>
        <rFont val="Calibri"/>
        <family val="2"/>
      </rPr>
      <t>(Art. 28(4))</t>
    </r>
  </si>
  <si>
    <r>
      <t xml:space="preserve">3.3       Competent authorities and qualified entities costs </t>
    </r>
    <r>
      <rPr>
        <i/>
        <sz val="8"/>
        <rFont val="Calibri"/>
        <family val="2"/>
      </rPr>
      <t>(Art. 28(5))</t>
    </r>
  </si>
  <si>
    <r>
      <t xml:space="preserve">3.4       Eurocontrol costs </t>
    </r>
    <r>
      <rPr>
        <i/>
        <sz val="8"/>
        <rFont val="Calibri"/>
        <family val="2"/>
      </rPr>
      <t>(Art. 28(5))</t>
    </r>
  </si>
  <si>
    <r>
      <t xml:space="preserve">3.5       Pension costs </t>
    </r>
    <r>
      <rPr>
        <i/>
        <sz val="8"/>
        <rFont val="Calibri"/>
        <family val="2"/>
      </rPr>
      <t>(Art. 28(6))</t>
    </r>
  </si>
  <si>
    <r>
      <t xml:space="preserve">3.6       Interest on loans </t>
    </r>
    <r>
      <rPr>
        <i/>
        <sz val="8"/>
        <rFont val="Calibri"/>
        <family val="2"/>
      </rPr>
      <t>(Art. 28(6))</t>
    </r>
  </si>
  <si>
    <r>
      <t>3.7       Changes in law</t>
    </r>
    <r>
      <rPr>
        <i/>
        <sz val="8"/>
        <rFont val="Calibri"/>
        <family val="2"/>
      </rPr>
      <t xml:space="preserve"> (Art. 28(6))</t>
    </r>
  </si>
  <si>
    <r>
      <t xml:space="preserve">3.8       Differences between determined and actual costs relating to year n </t>
    </r>
    <r>
      <rPr>
        <b/>
        <i/>
        <sz val="8"/>
        <rFont val="Calibri"/>
        <family val="2"/>
      </rPr>
      <t>(Art. 28(4) to 28(6))</t>
    </r>
  </si>
  <si>
    <t>B. Traffic risk sharing</t>
  </si>
  <si>
    <t>Traffic risk sharing adjustment</t>
  </si>
  <si>
    <t>4.1       Determined costs subject to traffic risk sharing</t>
  </si>
  <si>
    <t>4.2       % deviation % referred to in Article 27(2) and 27(5)</t>
  </si>
  <si>
    <t>4.3       % additional revenue returned to users referred to in Article 27(3) and 27(5)</t>
  </si>
  <si>
    <t>4.4       % loss of revenue borne by airspace users referred to in Article 27(3) and 27(5)</t>
  </si>
  <si>
    <t xml:space="preserve">4.5       % deviation referred to in Article 27(4) </t>
  </si>
  <si>
    <t>4.6       Forecast total service units (performance plan)</t>
  </si>
  <si>
    <t>4.7       Actual total service units</t>
  </si>
  <si>
    <t>4.8       Actual / forecast total service units (in %)</t>
  </si>
  <si>
    <r>
      <t xml:space="preserve">4.9       Traffic risk sharing adjustment relating to year n </t>
    </r>
    <r>
      <rPr>
        <b/>
        <i/>
        <sz val="8"/>
        <rFont val="Calibri"/>
        <family val="2"/>
      </rPr>
      <t>(Art. 27(2) to 27(5))</t>
    </r>
  </si>
  <si>
    <t>Traffic adjustments</t>
  </si>
  <si>
    <r>
      <t xml:space="preserve">5.1      For determined costs not subject to traffic risk-sharing </t>
    </r>
    <r>
      <rPr>
        <i/>
        <sz val="8"/>
        <rFont val="Calibri"/>
        <family val="2"/>
      </rPr>
      <t>(Art. 27(8))</t>
    </r>
  </si>
  <si>
    <r>
      <t xml:space="preserve">5.2      Adjustments to year n unit rate not subject to traffic risk-sharing </t>
    </r>
    <r>
      <rPr>
        <i/>
        <sz val="8"/>
        <rFont val="Calibri"/>
        <family val="2"/>
      </rPr>
      <t>(Art. 27(9))</t>
    </r>
  </si>
  <si>
    <r>
      <t xml:space="preserve">5.3      Traffic adjustements relating to year n </t>
    </r>
    <r>
      <rPr>
        <b/>
        <i/>
        <sz val="8"/>
        <rFont val="Calibri"/>
        <family val="2"/>
      </rPr>
      <t>(Art. 27(8) and 27(9))</t>
    </r>
  </si>
  <si>
    <t>C. Financial incentive schemes on capacity and environment</t>
  </si>
  <si>
    <t>Adjustments relating to financial incentives</t>
  </si>
  <si>
    <r>
      <t xml:space="preserve">6.1      Financial incentives relating to capacity </t>
    </r>
    <r>
      <rPr>
        <i/>
        <sz val="8"/>
        <rFont val="Calibri"/>
        <family val="2"/>
      </rPr>
      <t>(Art. 11(3))</t>
    </r>
  </si>
  <si>
    <r>
      <t xml:space="preserve">6.2      Financial incentives relating to environment </t>
    </r>
    <r>
      <rPr>
        <i/>
        <sz val="8"/>
        <rFont val="Calibri"/>
        <family val="2"/>
      </rPr>
      <t>(Art. 11(4))</t>
    </r>
  </si>
  <si>
    <r>
      <t xml:space="preserve">6.3      Additional financial incentives relating to capacity </t>
    </r>
    <r>
      <rPr>
        <i/>
        <sz val="8"/>
        <rFont val="Calibri"/>
        <family val="2"/>
      </rPr>
      <t>(Art. 11(4))</t>
    </r>
  </si>
  <si>
    <r>
      <t xml:space="preserve">6.4      Financial incentives relating to year n </t>
    </r>
    <r>
      <rPr>
        <b/>
        <i/>
        <sz val="8"/>
        <rFont val="Calibri"/>
        <family val="2"/>
      </rPr>
      <t>(Art. 11(3) and 11(4))</t>
    </r>
  </si>
  <si>
    <t>D. Other adjustments</t>
  </si>
  <si>
    <r>
      <t xml:space="preserve">7.1      Adjustment to ensure revenue neutrality for modulation of charges in year n </t>
    </r>
    <r>
      <rPr>
        <b/>
        <i/>
        <sz val="8"/>
        <rFont val="Calibri"/>
        <family val="2"/>
      </rPr>
      <t>(Art. 32(1))</t>
    </r>
  </si>
  <si>
    <t xml:space="preserve">Revision of the unit rate </t>
  </si>
  <si>
    <t>8.1       Temporary unit rate applied in year n</t>
  </si>
  <si>
    <r>
      <t xml:space="preserve">8.2       Difference in revenue due to the temporary application of unit rate in year n </t>
    </r>
    <r>
      <rPr>
        <b/>
        <i/>
        <sz val="8"/>
        <rFont val="Calibri"/>
        <family val="2"/>
      </rPr>
      <t>(Art. 29(5))</t>
    </r>
  </si>
  <si>
    <t>Cross-financing between charging zones</t>
  </si>
  <si>
    <t>9.1       Cross-financing to (-) / from (+) other charging zone(s) relating to year n</t>
  </si>
  <si>
    <r>
      <t xml:space="preserve">10.1     Union assistance programmes </t>
    </r>
    <r>
      <rPr>
        <i/>
        <sz val="8"/>
        <rFont val="Calibri"/>
        <family val="2"/>
      </rPr>
      <t>(Art. 25(3)(a))</t>
    </r>
  </si>
  <si>
    <r>
      <t>10.2     National public funding</t>
    </r>
    <r>
      <rPr>
        <i/>
        <sz val="8"/>
        <rFont val="Calibri"/>
        <family val="2"/>
      </rPr>
      <t xml:space="preserve"> (Art. 25(3)(a))</t>
    </r>
  </si>
  <si>
    <r>
      <t>10.3     Commercial activities (</t>
    </r>
    <r>
      <rPr>
        <i/>
        <sz val="8"/>
        <rFont val="Calibri"/>
        <family val="2"/>
      </rPr>
      <t>Art. 25(3)(b))</t>
    </r>
  </si>
  <si>
    <r>
      <t xml:space="preserve">10.4     Revenues from contracts with airport operators </t>
    </r>
    <r>
      <rPr>
        <i/>
        <sz val="8"/>
        <rFont val="Calibri"/>
        <family val="2"/>
      </rPr>
      <t>(Art. 25(3)(c))</t>
    </r>
  </si>
  <si>
    <r>
      <t xml:space="preserve">10.5     Total other revenues relating to year n </t>
    </r>
    <r>
      <rPr>
        <b/>
        <i/>
        <sz val="8"/>
        <rFont val="Calibri"/>
        <family val="2"/>
      </rPr>
      <t>(Art. 25(3))</t>
    </r>
  </si>
  <si>
    <t>Application of a lower unit rate</t>
  </si>
  <si>
    <r>
      <t xml:space="preserve">11.1     Loss of revenue relating to the application of a lower unit rate in n </t>
    </r>
    <r>
      <rPr>
        <b/>
        <i/>
        <sz val="8"/>
        <rFont val="Calibri"/>
        <family val="2"/>
      </rPr>
      <t>(Art. 29(6))</t>
    </r>
  </si>
  <si>
    <t>12        Total adjustments relating to year n</t>
  </si>
  <si>
    <t>Table 2 B - Calculation of the unit rate for year n (1)</t>
  </si>
  <si>
    <r>
      <t xml:space="preserve">13.1     Determined costs in nominal terms - VFR excl. </t>
    </r>
    <r>
      <rPr>
        <i/>
        <sz val="8"/>
        <rFont val="Calibri"/>
        <family val="2"/>
      </rPr>
      <t>(Art. 25(2)(a))</t>
    </r>
  </si>
  <si>
    <r>
      <t xml:space="preserve">13.2     Inflation adjustment : amount carried over to year n </t>
    </r>
    <r>
      <rPr>
        <i/>
        <sz val="8"/>
        <rFont val="Calibri"/>
        <family val="2"/>
      </rPr>
      <t>(Art. 25(2)(b))</t>
    </r>
  </si>
  <si>
    <r>
      <t xml:space="preserve">13.3     Traffic risk sharing adjustment : amounts carried over to year n </t>
    </r>
    <r>
      <rPr>
        <i/>
        <sz val="8"/>
        <rFont val="Calibri"/>
        <family val="2"/>
      </rPr>
      <t>(Art. 25(2)(c))</t>
    </r>
  </si>
  <si>
    <r>
      <t>13.4     Differences in costs as per Art. 28(4) to (6) : amounts carried over to year n</t>
    </r>
    <r>
      <rPr>
        <sz val="8"/>
        <rFont val="Calibri"/>
        <family val="2"/>
      </rPr>
      <t xml:space="preserve"> </t>
    </r>
    <r>
      <rPr>
        <i/>
        <sz val="8"/>
        <rFont val="Calibri"/>
        <family val="2"/>
      </rPr>
      <t>(Art. 25(2)(d))</t>
    </r>
  </si>
  <si>
    <r>
      <t xml:space="preserve">13.5     Financial incentives : amounts carried over to year n </t>
    </r>
    <r>
      <rPr>
        <i/>
        <sz val="8"/>
        <rFont val="Calibri"/>
        <family val="2"/>
      </rPr>
      <t>(Art. 25(2)(e))</t>
    </r>
  </si>
  <si>
    <r>
      <t>13.6     Modulation of charges : amounts carried over to year n</t>
    </r>
    <r>
      <rPr>
        <i/>
        <sz val="8"/>
        <rFont val="Calibri"/>
        <family val="2"/>
      </rPr>
      <t xml:space="preserve"> (Art. 25(2)(f))</t>
    </r>
  </si>
  <si>
    <r>
      <t xml:space="preserve">13.7     Traffic adjustments : amounts carried over to year n </t>
    </r>
    <r>
      <rPr>
        <sz val="8"/>
        <rFont val="Calibri"/>
        <family val="2"/>
      </rPr>
      <t>(Art. 25(2)(g) and (h))</t>
    </r>
  </si>
  <si>
    <r>
      <t xml:space="preserve">13.8     Other revenues </t>
    </r>
    <r>
      <rPr>
        <i/>
        <sz val="8"/>
        <rFont val="Calibri"/>
        <family val="2"/>
      </rPr>
      <t>(Art. 25(2)(i))</t>
    </r>
  </si>
  <si>
    <r>
      <t xml:space="preserve">13.9     Cross-financing between charging zones </t>
    </r>
    <r>
      <rPr>
        <i/>
        <sz val="8"/>
        <rFont val="Calibri"/>
        <family val="2"/>
      </rPr>
      <t>(Art. 25(2)(j))</t>
    </r>
  </si>
  <si>
    <r>
      <t xml:space="preserve">13.10   Difference in revenue from temporary application of unit rate </t>
    </r>
    <r>
      <rPr>
        <i/>
        <sz val="8"/>
        <rFont val="Calibri"/>
        <family val="2"/>
      </rPr>
      <t>(Art. 25(2)(k))</t>
    </r>
  </si>
  <si>
    <t>13.11  Grand total for the calculation of year n unit rate</t>
  </si>
  <si>
    <t>13.12  Forecast total service units for year n (performance plan)</t>
  </si>
  <si>
    <t xml:space="preserve">13.13  Unit rate for year n as per Art. 25(2) (in national currency) </t>
  </si>
  <si>
    <t>13.14  Reduction as per Art. 29(6), where applicable (in national currency)</t>
  </si>
  <si>
    <t>14        Applicable unit rate for year n</t>
  </si>
  <si>
    <t>Costs, revenues and other amounts  in '000  -  Service units in '000</t>
  </si>
  <si>
    <r>
      <t xml:space="preserve">(1) Including adjustments relating to previous reference periods </t>
    </r>
    <r>
      <rPr>
        <i/>
        <sz val="8"/>
        <rFont val="Calibri"/>
        <family val="2"/>
      </rPr>
      <t>(Art. 25(2)(l))</t>
    </r>
  </si>
  <si>
    <t xml:space="preserve">1.1       Determined costs in nominal terms - VFR excl. - Table 1 </t>
  </si>
  <si>
    <t xml:space="preserve">2.5       Inflation adjustment relating to year n </t>
  </si>
  <si>
    <t xml:space="preserve">3.1       New and existing investments </t>
  </si>
  <si>
    <t xml:space="preserve">3.3       Competent authorities and qualified entities costs </t>
  </si>
  <si>
    <t xml:space="preserve">3.4       Eurocontrol costs </t>
  </si>
  <si>
    <t xml:space="preserve">3.5       Pension costs </t>
  </si>
  <si>
    <t xml:space="preserve">3.6       Interest on loans </t>
  </si>
  <si>
    <r>
      <t>3.7       Changes in law</t>
    </r>
    <r>
      <rPr>
        <i/>
        <sz val="8"/>
        <rFont val="Calibri"/>
        <family val="2"/>
      </rPr>
      <t xml:space="preserve"> </t>
    </r>
  </si>
  <si>
    <t xml:space="preserve">3.8       Differences between determined and actual costs relating to year n </t>
  </si>
  <si>
    <t>Unit Rate</t>
  </si>
  <si>
    <t>Allowed Revenues</t>
  </si>
  <si>
    <t>DC</t>
  </si>
  <si>
    <t>Inflation</t>
  </si>
  <si>
    <t>TRS</t>
  </si>
  <si>
    <t>CSM</t>
  </si>
  <si>
    <t>Modulation</t>
  </si>
  <si>
    <t>Tvar</t>
  </si>
  <si>
    <t>Table 3 - Complementary information on adjustments</t>
  </si>
  <si>
    <t>FILTER</t>
  </si>
  <si>
    <t>Complementary information on adjustments</t>
  </si>
  <si>
    <t>Amounts</t>
  </si>
  <si>
    <t>After RP</t>
  </si>
  <si>
    <t>Inflation adjustment 2018</t>
  </si>
  <si>
    <t>Inflation adjustment 2019</t>
  </si>
  <si>
    <t>RP2</t>
  </si>
  <si>
    <t>Total inflation adjustment up to 2019</t>
  </si>
  <si>
    <t>Inflation adjustment 2020</t>
  </si>
  <si>
    <t>Inflation adjustment 2021</t>
  </si>
  <si>
    <t>Inflation adjustment 2022</t>
  </si>
  <si>
    <t>RP3</t>
  </si>
  <si>
    <t>Total inflation adjustment up to 2022</t>
  </si>
  <si>
    <t>Inflation adjustment 2023</t>
  </si>
  <si>
    <t>Inflation adjustment 2024</t>
  </si>
  <si>
    <t>Inflation adjustment 2025</t>
  </si>
  <si>
    <t>Inflation adjustment 2026</t>
  </si>
  <si>
    <t>Inflation adjustment 2027</t>
  </si>
  <si>
    <t>Total</t>
  </si>
  <si>
    <t>Total inflation Adjustment (Art. 26)*</t>
  </si>
  <si>
    <t>Traffic risk sharing up to 2017</t>
  </si>
  <si>
    <t>Traffic risk sharing 2018</t>
  </si>
  <si>
    <t>Traffic risk sharing 2019</t>
  </si>
  <si>
    <t>Total traffic risk sharing adjustements up to 2019</t>
  </si>
  <si>
    <t>Traffic risk sharing 2020</t>
  </si>
  <si>
    <t>Traffic risk sharing 2021</t>
  </si>
  <si>
    <t>Traffic risk sharing 2022</t>
  </si>
  <si>
    <t>Total traffic risk sharing adjustements up to 2022</t>
  </si>
  <si>
    <t>Traffic risk sharing 2023</t>
  </si>
  <si>
    <t>Traffic risk sharing 2024</t>
  </si>
  <si>
    <t>Traffic risk sharing 2025</t>
  </si>
  <si>
    <t>Traffic risk sharing 2026</t>
  </si>
  <si>
    <t>Traffic risk sharing 2027</t>
  </si>
  <si>
    <t>Total traffic risk sharing adjustment (Art. 27(2) to 27(5))*</t>
  </si>
  <si>
    <t>Difference in investment costs 2020</t>
  </si>
  <si>
    <t>Difference in investment costs 2021</t>
  </si>
  <si>
    <t>Difference in investment costs 2022</t>
  </si>
  <si>
    <t>Total difference in investment costs up to 2022</t>
  </si>
  <si>
    <t>Difference in investment costs 2023</t>
  </si>
  <si>
    <t>Difference in investment costs 2024</t>
  </si>
  <si>
    <t>Difference in investment costs 2025</t>
  </si>
  <si>
    <t>Difference in investment costs 2026</t>
  </si>
  <si>
    <t>Difference in investment costs 2027</t>
  </si>
  <si>
    <t>Total adjustment relating to investment costs (Art. 28(4))</t>
  </si>
  <si>
    <t>Difference in competent authorities and QEs costs 2020</t>
  </si>
  <si>
    <t>Difference in competent authorities and QEs costs 2021</t>
  </si>
  <si>
    <t>Difference in competent authorities and QEs costs 2022</t>
  </si>
  <si>
    <t>Total competent authorities and QEs adjustements up to 2022</t>
  </si>
  <si>
    <t>Difference in competent authorities and QEs costs 2023</t>
  </si>
  <si>
    <t>Difference in competent authorities and QEs costs 2024</t>
  </si>
  <si>
    <t>Difference in competent authorities and QEs costs 2025</t>
  </si>
  <si>
    <t>Difference in competent authorities and QEs costs 2026</t>
  </si>
  <si>
    <t>Difference in competent authorities and QEs costs 2027</t>
  </si>
  <si>
    <t>Total adjustment relating to competent authorities and QEs costs (Art. 28(5))</t>
  </si>
  <si>
    <t>Difference in Eurocontrol costs 2020</t>
  </si>
  <si>
    <t>Difference in Eurocontrol costs 2021</t>
  </si>
  <si>
    <t>Difference in Eurocontrol costs 2022</t>
  </si>
  <si>
    <t>Total Eurocontrol adjustments up to 2022</t>
  </si>
  <si>
    <t>Difference in Eurocontrol costs 2023</t>
  </si>
  <si>
    <t>Difference in Eurocontrol costs 2024</t>
  </si>
  <si>
    <t>Difference in Eurocontrol costs 2025</t>
  </si>
  <si>
    <t>Difference in Eurocontrol costs 2026</t>
  </si>
  <si>
    <t>Difference in Eurocontrol costs 2027</t>
  </si>
  <si>
    <t>Total adjustment relating to Eurocontrol costs (Art. 28(5))</t>
  </si>
  <si>
    <t>Difference in pension costs 2020</t>
  </si>
  <si>
    <t>Difference in pension costs 2021</t>
  </si>
  <si>
    <t>Difference in pension costs 2022</t>
  </si>
  <si>
    <t>Total pension cost adjustements up to 2022</t>
  </si>
  <si>
    <t>Difference in pension costs 2023</t>
  </si>
  <si>
    <t>Difference in pension costs 2024</t>
  </si>
  <si>
    <t>Difference in pension costs 2025</t>
  </si>
  <si>
    <t>Difference in pension costs 2026</t>
  </si>
  <si>
    <t>Difference in pension costs 2027</t>
  </si>
  <si>
    <t>Total adjustment relating to pension costs (Art. 28(6))</t>
  </si>
  <si>
    <t>Difference in interest on loans 2020</t>
  </si>
  <si>
    <t>Difference in interest on loans 2021</t>
  </si>
  <si>
    <t>Difference in interest on loans 2022</t>
  </si>
  <si>
    <t>Total interest on loans adjustement up to 2022</t>
  </si>
  <si>
    <t>Difference in interest on loans 2023</t>
  </si>
  <si>
    <t>Difference in interest on loans 2024</t>
  </si>
  <si>
    <t>Difference in interest on loans 2025</t>
  </si>
  <si>
    <t>Difference in interest on loans 2026</t>
  </si>
  <si>
    <t>Difference in interest on loans 2027</t>
  </si>
  <si>
    <t>Total adjustment relating to interest on loans (Art. 28(6))</t>
  </si>
  <si>
    <t>Costs relating to change in law 2020</t>
  </si>
  <si>
    <t>Costs relating to change in law 2021</t>
  </si>
  <si>
    <t>Costs relating to change in law 2022</t>
  </si>
  <si>
    <t>Costs relating to change in law 2023</t>
  </si>
  <si>
    <t>Costs relating to change in law 2024</t>
  </si>
  <si>
    <t>Costs relating to change in law 2025</t>
  </si>
  <si>
    <t>Costs relating to change in law 2026</t>
  </si>
  <si>
    <t>Costs relating to change in law 2027</t>
  </si>
  <si>
    <t>Total adjustment relating to change in law (Art. 28(6))</t>
  </si>
  <si>
    <t>Cost exempt from cost sharing up to 2017</t>
  </si>
  <si>
    <t>Cost exempt from cost sharing 2018</t>
  </si>
  <si>
    <t>Cost exempt from cost sharing from 2019</t>
  </si>
  <si>
    <t>Total adjustment relating to cost exempt up to 2019</t>
  </si>
  <si>
    <t>Cost exempt from cost sharing up to 2020</t>
  </si>
  <si>
    <t>Cost exempt from cost sharing 2021</t>
  </si>
  <si>
    <t>Cost exempt from cost sharing from 2022</t>
  </si>
  <si>
    <t>Total adjustment relating to cost exempt from previous RPs</t>
  </si>
  <si>
    <t>Financial incentives year up to 2017</t>
  </si>
  <si>
    <t>Financial incentives year 2018</t>
  </si>
  <si>
    <t>Financial incentives year 2019</t>
  </si>
  <si>
    <t>Total financial incentives up to 2019</t>
  </si>
  <si>
    <t>Financial incentives year 2020</t>
  </si>
  <si>
    <t>Financial incentives year 2021</t>
  </si>
  <si>
    <t>Financial incentives year 2022</t>
  </si>
  <si>
    <t>Total financial incentives adjustements up to 2022</t>
  </si>
  <si>
    <t>Financial incentives year 2023</t>
  </si>
  <si>
    <t>Financial incentives year 2024</t>
  </si>
  <si>
    <t>Financial incentives year 2025</t>
  </si>
  <si>
    <t>Financial incentives year 2026</t>
  </si>
  <si>
    <t>Financial incentives year 2027</t>
  </si>
  <si>
    <t>Total financial incentives (Art. 11(3) and 11(4))*</t>
  </si>
  <si>
    <t>Modulation of charges  up to 2017</t>
  </si>
  <si>
    <t>Modulation of charges  year 2018</t>
  </si>
  <si>
    <t>Modulation of charges  year 2019</t>
  </si>
  <si>
    <t>Total modulation of charges up 2019</t>
  </si>
  <si>
    <t>Modulation of charges 2020</t>
  </si>
  <si>
    <t>Modulation of charges 2021</t>
  </si>
  <si>
    <t>Modulation of charges 2022</t>
  </si>
  <si>
    <t>Total modulation of charges adjustement up to 2022</t>
  </si>
  <si>
    <t>Modulation of charges 2023</t>
  </si>
  <si>
    <t>Modulation of charges 2024</t>
  </si>
  <si>
    <t>Modulation of charges 2025</t>
  </si>
  <si>
    <t>Modulation of charges 2026</t>
  </si>
  <si>
    <t>Modulation of charges 2027</t>
  </si>
  <si>
    <t>Total adjustment relating to modulation of charges (Art. 32(1))*</t>
  </si>
  <si>
    <t>Traffic adjustment up to 2017</t>
  </si>
  <si>
    <t>Traffic adjustment 2018</t>
  </si>
  <si>
    <t>Traffic adjustment 2019</t>
  </si>
  <si>
    <t>Total traffic adjustments up to 2019</t>
  </si>
  <si>
    <t>Traffic adjustment on adjustments from previous RPs 2020</t>
  </si>
  <si>
    <t>Traffic adjustment on adjustments from previous RPs 2021</t>
  </si>
  <si>
    <t>Traffic adjustment on adjustments from previous RPs 2022</t>
  </si>
  <si>
    <t>Total traffic adjustments on adjustments from previous RPs up to 2022</t>
  </si>
  <si>
    <t>Traffic adjustment on adjustments from previous RPs 2023</t>
  </si>
  <si>
    <t>Traffic adjustment on adjustments from previous RPs 2024</t>
  </si>
  <si>
    <t>Traffic adjustment on adjustments from previous RPs 2025</t>
  </si>
  <si>
    <t>Traffic adjustment on adjustments from previous RPs 2026</t>
  </si>
  <si>
    <t>Traffic adjustment on adjustments from previous RPs 2027</t>
  </si>
  <si>
    <t>Total traffic adjustment on adjustments from previous reference periods</t>
  </si>
  <si>
    <t>Traffic adjustment 2020</t>
  </si>
  <si>
    <t>Traffic adjustment 2021</t>
  </si>
  <si>
    <t>Traffic adjustment 2022</t>
  </si>
  <si>
    <t>Total traffic adjustements up to 2022</t>
  </si>
  <si>
    <t>Traffic adjustment 2023</t>
  </si>
  <si>
    <t>Traffic adjustment 2024</t>
  </si>
  <si>
    <t>Traffic adjustment 2025</t>
  </si>
  <si>
    <t>Traffic adjustment 2026</t>
  </si>
  <si>
    <t>Traffic adjustment 2027</t>
  </si>
  <si>
    <t>Total traffic adjustment (Art. 27(8) and 27(9))*</t>
  </si>
  <si>
    <t>Revenues received from Union assistance programmes up to 2017</t>
  </si>
  <si>
    <t>Revenues received from Union assistance programmes in 2018</t>
  </si>
  <si>
    <t>Revenues received from Union assistance programmes in 2019</t>
  </si>
  <si>
    <t>Total revenues received from Union assistance programmes up to 2019</t>
  </si>
  <si>
    <t>Revenues received from Union assistance programmes in 2020</t>
  </si>
  <si>
    <t>Revenues received from Union assistance programmes in 2021</t>
  </si>
  <si>
    <t>Revenues received from Union assistance programmes in 2022</t>
  </si>
  <si>
    <t>Total revenues received from Union assistance programmes up to 2022</t>
  </si>
  <si>
    <t>Revenues received from Union assistance programmes in 2023</t>
  </si>
  <si>
    <t>Revenues received from Union assistance programmes in 2024</t>
  </si>
  <si>
    <t>Revenues received from Union assistance programmes in 2025</t>
  </si>
  <si>
    <t>Revenues received from Union assistance programmes in 2026</t>
  </si>
  <si>
    <t>Revenues received from Union assistance programmes in 2027</t>
  </si>
  <si>
    <t>Total revenues received from Union assistance programmes (Art. 25(3)(a))*</t>
  </si>
  <si>
    <t>Revenues received from national public funding up to 2017</t>
  </si>
  <si>
    <t>Revenues received from national public funding in 2018</t>
  </si>
  <si>
    <t>Revenues received from national public funding in 2019</t>
  </si>
  <si>
    <t>Total revenues received from national public funding up to 2019</t>
  </si>
  <si>
    <t>Revenues received from national public funding in 2020</t>
  </si>
  <si>
    <t>Revenues received from national public funding in 2021</t>
  </si>
  <si>
    <t>Revenues received from national public funding in 2022</t>
  </si>
  <si>
    <t>Total revenues received from national public funding up to 2022</t>
  </si>
  <si>
    <t>Revenues received from national public funding in 2023</t>
  </si>
  <si>
    <t>Revenues received from national public funding in 2024</t>
  </si>
  <si>
    <t>Revenues received from national public funding in 2025</t>
  </si>
  <si>
    <t>Revenues received from national public funding in 2026</t>
  </si>
  <si>
    <t>Revenues received from national public funding in 2027</t>
  </si>
  <si>
    <t>Total revenues received from national public funding (Art. 25(3)(a))*</t>
  </si>
  <si>
    <t>Revenues from commercial activities up to 2017</t>
  </si>
  <si>
    <t>Revenues from commercial activities in 2018</t>
  </si>
  <si>
    <t>Revenues from commercial activities in 2019</t>
  </si>
  <si>
    <t>Total revenues from commercial activities up to 2019</t>
  </si>
  <si>
    <t>Revenues from commercial activities in 2020</t>
  </si>
  <si>
    <t>Revenues from commercial activities in 2021</t>
  </si>
  <si>
    <t>Revenues from commercial activities in 2022</t>
  </si>
  <si>
    <t>Total revenues from commercial activities up to 2022</t>
  </si>
  <si>
    <t>Revenues from commercial activities in 2023</t>
  </si>
  <si>
    <t>Revenues from commercial activities in 2024</t>
  </si>
  <si>
    <t>Revenues from commercial activities in 2025</t>
  </si>
  <si>
    <t>Revenues from commercial activities in 2026</t>
  </si>
  <si>
    <t>Revenues from commercial activities in 2027</t>
  </si>
  <si>
    <t>Total revenues from commercial activities (Art. 25(3)(b))*</t>
  </si>
  <si>
    <t>Revenues from contracts with airport operators up to 2017</t>
  </si>
  <si>
    <t>Revenues from contracts with airport operators in 2018</t>
  </si>
  <si>
    <t>Revenues from contracts with airport operators in 2019</t>
  </si>
  <si>
    <t>Total revenues from contracts with airport operators up to 2019</t>
  </si>
  <si>
    <t>Revenues from contracts with airport operators in 2020</t>
  </si>
  <si>
    <t>Revenues from contracts with airport operators in 2021</t>
  </si>
  <si>
    <t>Revenues from contracts with airport operators in 2022</t>
  </si>
  <si>
    <t>Total revenues from contracts with airport operators up to 2022</t>
  </si>
  <si>
    <t>Revenues from contracts with airport operators in 2023</t>
  </si>
  <si>
    <t>Revenues from contracts with airport operators in 2024</t>
  </si>
  <si>
    <t>Revenues from contracts with airport operators in 2025</t>
  </si>
  <si>
    <t>Revenues from contracts with airport operators in 2026</t>
  </si>
  <si>
    <t>Revenues from contracts with airport operators in 2027</t>
  </si>
  <si>
    <t>Total revenues from contracts with airport operators (Art. 25(3)(c))*</t>
  </si>
  <si>
    <t>Revenue difference - revision of UR 2020</t>
  </si>
  <si>
    <t>Revenue difference - revision of UR 2021</t>
  </si>
  <si>
    <t>Revenue difference - revision of UR 2022</t>
  </si>
  <si>
    <t>Total revenues differences up to 2022</t>
  </si>
  <si>
    <t>Revenue difference - revision of UR 2023</t>
  </si>
  <si>
    <t>Revenue difference - revision of UR 2024</t>
  </si>
  <si>
    <t>Revenue difference - revision of UR 2025</t>
  </si>
  <si>
    <t>Revenue difference - revision of UR 2026</t>
  </si>
  <si>
    <t>Revenue difference - revision of UR 2027</t>
  </si>
  <si>
    <t>Total revenue differences from temporary application of UR (Art. 29(5))</t>
  </si>
  <si>
    <t>Cross-financing to (-) / from (+) other charging zone(s) relating to 2020</t>
  </si>
  <si>
    <t>Cross-financing to (-) / from (+) other charging zone(s) relating to 2021</t>
  </si>
  <si>
    <t>Cross-financing to (-) / from (+) other charging zone(s) relating to 2022</t>
  </si>
  <si>
    <t>Total cross financing up to 2022</t>
  </si>
  <si>
    <t>Cross-financing to (-) / from (+) other charging zone(s) relating to 2023</t>
  </si>
  <si>
    <t>Cross-financing to (-) / from (+) other charging zone(s) relating to 2024</t>
  </si>
  <si>
    <t>Cross-financing to (-) / from (+) other charging zone(s) relating to 2025</t>
  </si>
  <si>
    <t>Cross-financing to (-) / from (+) other charging zone(s) relating to 2026</t>
  </si>
  <si>
    <t>Cross-financing to (-) / from (+) other charging zone(s) relating to 2027</t>
  </si>
  <si>
    <t>Total cross-financing to (-) / from (+) other charging zone(s)</t>
  </si>
  <si>
    <t>Total adjustments</t>
  </si>
  <si>
    <t>Amounts  in '000  (national currency)</t>
  </si>
  <si>
    <t>* Including carry-overs relating to the previous reference period(s)</t>
  </si>
  <si>
    <t>Adjustments relating to the UK RAB rules</t>
  </si>
  <si>
    <t>RP3 traffic risk share</t>
  </si>
  <si>
    <t>Modulation (used for smoothing)</t>
  </si>
  <si>
    <t>RP2 cost reporting tables, RT2 MET K13</t>
  </si>
  <si>
    <t>RP2 cost reporting tables, RT2 MET L13</t>
  </si>
  <si>
    <t>RP2 cost reporting, RT2 MET, K50</t>
  </si>
  <si>
    <t>RP2 cost reporting, RT2 MET, L50</t>
  </si>
  <si>
    <t>The adjustments below have been taken from the RP2 2019 cost reporting exercise.</t>
  </si>
  <si>
    <t>Total adjustments relating to competent authorities and QEs costs (Art. 28(5))</t>
  </si>
  <si>
    <t>Total adjustments relating to Eurocontrol costs (Art. 28(5))</t>
  </si>
  <si>
    <t>Cost exempt from cost sharing 2019</t>
  </si>
  <si>
    <t xml:space="preserve"> Total revenues received from national public funding up to 2019</t>
  </si>
  <si>
    <t>RP2 cost reporting, RT2 NSA,K13</t>
  </si>
  <si>
    <t>RP2 cost reporting, RT2 NSA, L13</t>
  </si>
  <si>
    <t>RP2 cost reporting, RT1 NSA, SUM S50 to U50</t>
  </si>
  <si>
    <t>RP2 cost reporting, RT1 NSA, V50</t>
  </si>
  <si>
    <t>RP2 cost reporting, RT1 NSA, W50</t>
  </si>
  <si>
    <t>RP2 cost reporting, RT2 NSA, K50</t>
  </si>
  <si>
    <t>RP2 cost reporting, RT2 NSA, L50</t>
  </si>
  <si>
    <t>Table 4 - Complementary information on common projects and on revenues from Union assistance programmes allocated to the charging zone</t>
  </si>
  <si>
    <t>Amounts received</t>
  </si>
  <si>
    <t>Project reference
 (as per Grant Agreement)</t>
  </si>
  <si>
    <t>Project title</t>
  </si>
  <si>
    <t>Value of funded project 
in '000 Euro</t>
  </si>
  <si>
    <t>Amounts granted (as per GA)       in '000 Euro</t>
  </si>
  <si>
    <t>Common project y/n</t>
  </si>
  <si>
    <t>Actual amounts received (charging zone) in '000 Euro</t>
  </si>
  <si>
    <t>For the   charging zone</t>
  </si>
  <si>
    <t>Project y/n</t>
  </si>
  <si>
    <t>SESAR Deployment Manager-  Brussels coordination and support costs (included in determined costs)</t>
  </si>
  <si>
    <t>Coordination costs</t>
  </si>
  <si>
    <t>Costs included in determined costs</t>
  </si>
  <si>
    <t>n</t>
  </si>
  <si>
    <t>Coordination income</t>
  </si>
  <si>
    <t>Revenues included in determined costs</t>
  </si>
  <si>
    <t>Sub-total:</t>
  </si>
  <si>
    <t>INEA Implementation Projects</t>
  </si>
  <si>
    <t>Note: amounts stated 2020 - 2024 are estimates based on assumed progress of INEA financing</t>
  </si>
  <si>
    <t>INEA/CEF/TRAN/M2014/1037259 2014-EU-TM-0136-M</t>
  </si>
  <si>
    <t>DP Implementation - Call 2014 CEF</t>
  </si>
  <si>
    <t>y</t>
  </si>
  <si>
    <t>INEA/CEF/TRAN/M2015/1131871 2015-EU-TM-0193-M</t>
  </si>
  <si>
    <t>SESAR Deployment Programme implementation 2015 - Cluster 1</t>
  </si>
  <si>
    <t>INEA/CEF/TRAN/M2015/1132363 2015-EU-TM-0196-M</t>
  </si>
  <si>
    <t>SESAR Deployment Programme implementation 2015 - Cluster 2</t>
  </si>
  <si>
    <t>INEA/CEF/TRAN/M2015/1125694 2015-UK-TM-0010-W</t>
  </si>
  <si>
    <t>New NATS (En Route) pic (NERL) Operational Facilities Phase 1</t>
  </si>
  <si>
    <t>INEA/CEF/TRAN/M2015/1129117 2015-UK-TM-0012-W</t>
  </si>
  <si>
    <t>Enablers to Support SESAR Deployment</t>
  </si>
  <si>
    <t>INEA/CEF/TRAN/M2015/1126563 2015-UK-TM-0013-W</t>
  </si>
  <si>
    <t>CNS Rationalisation and Upgrade within the UK</t>
  </si>
  <si>
    <t>INEA/CEF/TRAN/M2015/1126607 2015-UK-TM-0047-S</t>
  </si>
  <si>
    <t>Design of New NATS Systems to support SESAR Implementation</t>
  </si>
  <si>
    <t>SESAR 2020 Wave 1</t>
  </si>
  <si>
    <t>Note: this refers to SESAR 2020 Wave 1 activity taking place in RP3, amounts stated are estimates based on assumed progress of H2020 financing.</t>
  </si>
  <si>
    <t>PJ02</t>
  </si>
  <si>
    <t>PJ17</t>
  </si>
  <si>
    <t>PJ18</t>
  </si>
  <si>
    <t>PJ31</t>
  </si>
  <si>
    <t>SESAR 2020 Wave 2 income</t>
  </si>
  <si>
    <t>Note: Amounts stated 2020 are pre-financing estimates relating to activity non-RP2 activity. Amounts stated 2021 - 2023 are estimates based on assumed progress of H2020 financing.</t>
  </si>
  <si>
    <t>PJ01-W2 EAD</t>
  </si>
  <si>
    <t xml:space="preserve">Dynamic E-TMA for Adv Continuous Climb and Descent Operations and improved Arr &amp; Dep Operations </t>
  </si>
  <si>
    <t>PJ02-W2 AART</t>
  </si>
  <si>
    <t>Evolution of separation minima for increased runway throughput</t>
  </si>
  <si>
    <t>PJ09-W2 DMNS</t>
  </si>
  <si>
    <t>PJ.09 W2 -  Digital Network Management Services</t>
  </si>
  <si>
    <t>PJ10-W2</t>
  </si>
  <si>
    <t>PJ.10 W2 – Separation Management &amp; Controller Tools</t>
  </si>
  <si>
    <t>PJ13-W2 ERICA</t>
  </si>
  <si>
    <t>Collision avoidance for IFR RPAS</t>
  </si>
  <si>
    <t>PJ14-W2 - I-CNSS</t>
  </si>
  <si>
    <t>PJ.14 W2 -  Integrated CNSS</t>
  </si>
  <si>
    <t>PJ18-W2 4D skyways</t>
  </si>
  <si>
    <t>PJ.18 W2 - 4D Skyways</t>
  </si>
  <si>
    <t>PJ19-W2 CI</t>
  </si>
  <si>
    <t>PJ.19 W2 - Content Integration</t>
  </si>
  <si>
    <t>PJ20-W2 AMPLE</t>
  </si>
  <si>
    <t>PJ.20 W2 - Master Plan Maintenance</t>
  </si>
  <si>
    <t>VLD3</t>
  </si>
  <si>
    <t xml:space="preserve">Improving Runway Throughput In One Airport </t>
  </si>
  <si>
    <t>SESAR 2020 Wave 3</t>
  </si>
  <si>
    <t>Note: Amounts stated 2021 are pre-financing for which retention is dependent on achievement of deliverables. Amounts stated 2022 - 2023 are estimates based on assemed progress of H2020 financing.</t>
  </si>
  <si>
    <t>PJ33-W3 FALCO</t>
  </si>
  <si>
    <t>Flexible ATCO Endorsement and LDACS Complement</t>
  </si>
  <si>
    <t>PJ34-W3 AURA</t>
  </si>
  <si>
    <t>PJ34-W3 AURA “ATM U-SPACE INTERFACE”</t>
  </si>
  <si>
    <t>PJ37-W3 ITARO</t>
  </si>
  <si>
    <t>INTEGRATED TMA, AIRPORT AND RUNWAY OPERATIONS</t>
  </si>
  <si>
    <t>PJ38-W3-ADSCENSIO</t>
  </si>
  <si>
    <t>ADS-C ENables and Supports Improved ATM Operations</t>
  </si>
  <si>
    <t>SESAR 2020 Open Call VLD2</t>
  </si>
  <si>
    <t>CORUS-XUAM</t>
  </si>
  <si>
    <t>CONCEPT OF OPERATIONS FOR EUROPEAN U-SPACE SERVICES - EXTENSION FOR URBAN AIR MOBILITY</t>
  </si>
  <si>
    <t>Total in '000 Euro</t>
  </si>
  <si>
    <t>Total in '000 national currency</t>
  </si>
  <si>
    <t>Assumption for conversion to national currency:</t>
  </si>
  <si>
    <t>Amounts reimbursed to airspace users through other revenues</t>
  </si>
  <si>
    <t>Amounts retained in respect of aministrative costs for the charging zone in '000 Euro</t>
  </si>
  <si>
    <t>Total to be reimbursed for the charging zone in '000 Euro</t>
  </si>
  <si>
    <t>Amounts reimbursed to users (charging zone) in '000 national currency</t>
  </si>
  <si>
    <t>SDM costs reimbursement outstanding less prior period</t>
  </si>
  <si>
    <t>Note: SDM costs are those relating to the NERL support to the SDM Brussels office. The outstanding amounts will reduce over time as the grant funding is received.</t>
  </si>
  <si>
    <t>Other : Interest; TSU/CSU adjustment</t>
  </si>
  <si>
    <t>Note: INEA funding deferred in 2021 will be returned in 2022.</t>
  </si>
  <si>
    <t>SESAR 2020 Wave 2</t>
  </si>
  <si>
    <t>Note: Amounts received in reaspect of work performed to end of 2019 have been included in NERL's determined costs for RP2. For new work commencing in 2020, amounts will be repaid through other revenues, commencing in the 2022 unit rates.</t>
  </si>
  <si>
    <t>SESAR 2020 VLD2 Open Call</t>
  </si>
  <si>
    <t>SESAR 2020 Other</t>
  </si>
  <si>
    <t>Other: membership fee; audit costs</t>
  </si>
  <si>
    <t>Note: amounts stated from 2022 are estimates</t>
  </si>
  <si>
    <t>NOTES</t>
  </si>
  <si>
    <t>SESAR Deployment manager costs assume continuation post BREXIT and that costs incurred will be reimbursed. These are included as per NERL's RBP.</t>
  </si>
  <si>
    <t xml:space="preserve">SESAR Wave 2 </t>
  </si>
  <si>
    <t>NERL's RBP assumed an estimate for costs related to NERL's participation in the Horizon Wave 2 programme. (the second tranche of funding)</t>
  </si>
  <si>
    <t>The estimate provided above relates to the R&amp;D activities for Horizon 2020 included in NERL's RBP. No receipts were assumed in the RBP, but actuals would be reimbursed when received on an N+2 basis.</t>
  </si>
  <si>
    <t>Income is subject to NATS being able to claim European grant funding or UK government grant funding post Brexit</t>
  </si>
  <si>
    <t>The income profile is based on acceptance of NERL costs by the European Commission as per the annual reporting requirement of the H2020 programme</t>
  </si>
  <si>
    <t>Income reimbursement is profiled on an N+2 basis</t>
  </si>
  <si>
    <t>INEA Implementation projects</t>
  </si>
  <si>
    <t xml:space="preserve">Return of INEA funding to air space users via the unit rate is subject to receipt of funds post BREXIT and after administrative costs have been reimbursed and in line with principles agreed with CAA </t>
  </si>
  <si>
    <t>INEA funding relates to capital programmes. These costs (other than some minor support costs) are not included in determined cost.</t>
  </si>
  <si>
    <t>Return of INEA funding is subject to SESAR Deployment Manager retentions for project related support costs</t>
  </si>
  <si>
    <t>Grants received may not match the grant awarded as some projects may underspend the budgeted amounts.</t>
  </si>
  <si>
    <t>RP3 Cost-efficiency targets</t>
  </si>
  <si>
    <t>a) Baseline value for the determined costs and the determined unit costs (in real terms and in national currency)</t>
  </si>
  <si>
    <t>2019 baseline value for the determined costs (in real terms and in national currency)</t>
  </si>
  <si>
    <t>2019 latest available service units forecast (actual route flown, see point 1.2 of Annex VIII)</t>
  </si>
  <si>
    <t>2019 baseline value for the determined unit costs (in real terms and in national currency)</t>
  </si>
  <si>
    <t>b) Cost-efficiency performance targets</t>
  </si>
  <si>
    <t>En route charging zone</t>
  </si>
  <si>
    <t>Baseline 2014</t>
  </si>
  <si>
    <t>Baseline 2019</t>
  </si>
  <si>
    <t>RP3 Performance Plan (determined 2020-2024)</t>
  </si>
  <si>
    <t>CAGR</t>
  </si>
  <si>
    <t>2014B</t>
  </si>
  <si>
    <t>2019 B</t>
  </si>
  <si>
    <t>2020 D</t>
  </si>
  <si>
    <t>2021 D</t>
  </si>
  <si>
    <t>2022 D</t>
  </si>
  <si>
    <t>2023 D</t>
  </si>
  <si>
    <t>2024 D</t>
  </si>
  <si>
    <t>2014A-2024D</t>
  </si>
  <si>
    <t>2019B-2024D</t>
  </si>
  <si>
    <r>
      <t xml:space="preserve">Total </t>
    </r>
    <r>
      <rPr>
        <sz val="10"/>
        <color indexed="8"/>
        <rFont val="Calibri"/>
        <family val="2"/>
      </rPr>
      <t>en route</t>
    </r>
    <r>
      <rPr>
        <sz val="10"/>
        <rFont val="Calibri"/>
        <family val="2"/>
      </rPr>
      <t xml:space="preserve"> costs in nominal terms (in national currency)</t>
    </r>
  </si>
  <si>
    <r>
      <t xml:space="preserve">Total </t>
    </r>
    <r>
      <rPr>
        <b/>
        <sz val="10"/>
        <color indexed="8"/>
        <rFont val="Calibri"/>
        <family val="2"/>
      </rPr>
      <t>en route</t>
    </r>
    <r>
      <rPr>
        <b/>
        <sz val="10"/>
        <rFont val="Calibri"/>
        <family val="2"/>
      </rPr>
      <t xml:space="preserve"> costs in real terms (in national currency at 2017 prices)</t>
    </r>
  </si>
  <si>
    <t>YoY variation</t>
  </si>
  <si>
    <r>
      <t xml:space="preserve">Total </t>
    </r>
    <r>
      <rPr>
        <sz val="10"/>
        <color indexed="8"/>
        <rFont val="Calibri"/>
        <family val="2"/>
      </rPr>
      <t>en route</t>
    </r>
    <r>
      <rPr>
        <sz val="10"/>
        <rFont val="Calibri"/>
        <family val="2"/>
      </rPr>
      <t xml:space="preserve"> Service Units (TSU)</t>
    </r>
  </si>
  <si>
    <t>Real en route unit costs (in national currency at 2017 prices)</t>
  </si>
  <si>
    <r>
      <t xml:space="preserve">Real en route unit costs (in EUR2017) </t>
    </r>
    <r>
      <rPr>
        <b/>
        <vertAlign val="superscript"/>
        <sz val="10"/>
        <rFont val="Calibri"/>
        <family val="2"/>
      </rPr>
      <t>1</t>
    </r>
  </si>
  <si>
    <t>National currency</t>
  </si>
  <si>
    <t>GBP</t>
  </si>
  <si>
    <r>
      <rPr>
        <vertAlign val="superscript"/>
        <sz val="10"/>
        <rFont val="Calibri"/>
        <family val="2"/>
        <scheme val="minor"/>
      </rPr>
      <t>1</t>
    </r>
    <r>
      <rPr>
        <sz val="10"/>
        <rFont val="Calibri"/>
        <family val="2"/>
        <scheme val="minor"/>
      </rPr>
      <t xml:space="preserve"> Average exchange rate 2017 (1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</si>
</sst>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0">
    <numFmt numFmtId="41" formatCode="_-* #,##0_-;\-* #,##0_-;_-* &quot;-&quot;_-;_-@_-"/>
    <numFmt numFmtId="44" formatCode="_-&quot;£&quot;* #,##0.00_-;\-&quot;£&quot;* #,##0.00_-;_-&quot;£&quot;* &quot;-&quot;??_-;_-@_-"/>
    <numFmt numFmtId="43" formatCode="_-* #,##0.00_-;\-* #,##0.00_-;_-* &quot;-&quot;??_-;_-@_-"/>
    <numFmt numFmtId="164" formatCode="_-* #,##0\ _€_-;\-* #,##0\ _€_-;_-* &quot;-&quot;\ _€_-;_-@_-"/>
    <numFmt numFmtId="165" formatCode="_-* #,##0.00\ _€_-;\-* #,##0.00\ _€_-;_-* &quot;-&quot;??\ _€_-;_-@_-"/>
    <numFmt numFmtId="166" formatCode="_-* #,##0.00\ _F_-;\-* #,##0.00\ _F_-;_-* &quot;-&quot;??\ _F_-;_-@_-"/>
    <numFmt numFmtId="167" formatCode="0.0%"/>
    <numFmt numFmtId="168" formatCode="#,##0.0"/>
    <numFmt numFmtId="169" formatCode="0.0"/>
    <numFmt numFmtId="170" formatCode="_-* #,##0_-;\-* #,##0_-;_-* &quot;-&quot;??_-;_-@_-"/>
    <numFmt numFmtId="171" formatCode="_(* #,##0.00_);_(* \(#,##0.00\);_(* &quot;-&quot;??_);_(@_)"/>
    <numFmt numFmtId="172" formatCode="_(&quot;£&quot;* #,##0.00_);_(&quot;£&quot;* \(#,##0.00\);_(&quot;£&quot;* &quot;-&quot;??_);_(@_)"/>
    <numFmt numFmtId="173" formatCode="_ * #,##0_ ;_ * \-#,##0_ ;_ * &quot;-&quot;_ ;_ @_ "/>
    <numFmt numFmtId="174" formatCode="_ * #,##0.00_ ;_ * \-#,##0.00_ ;_ * &quot;-&quot;??_ ;_ @_ "/>
    <numFmt numFmtId="175" formatCode="#,##0.00%;[Red]\(#,##0.00%\);&quot;-&quot;"/>
    <numFmt numFmtId="176" formatCode="#,##0;[Red]\(#,##0\);&quot;-&quot;"/>
    <numFmt numFmtId="177" formatCode="#,##0.00;[Red]\(#,##0.00\);&quot;-&quot;"/>
    <numFmt numFmtId="178" formatCode="_(* #,##0_);_(* \(#,##0\)"/>
    <numFmt numFmtId="179" formatCode="mmm\-yyyy"/>
    <numFmt numFmtId="180" formatCode="dd\ mmm\ yy"/>
    <numFmt numFmtId="181" formatCode="#,##0;\(#,##0\)"/>
    <numFmt numFmtId="182" formatCode="#,##0;\-#,##0;\-"/>
    <numFmt numFmtId="183" formatCode="#,##0_ ;[Red]\(#,##0\);\-\ "/>
    <numFmt numFmtId="184" formatCode="#,##0;\(#,##0\);\-"/>
    <numFmt numFmtId="185" formatCode="&quot;þ&quot;;&quot;ý&quot;;&quot;¨&quot;"/>
    <numFmt numFmtId="186" formatCode="&quot;þ&quot;;;&quot;o&quot;;"/>
    <numFmt numFmtId="187" formatCode="#,##0.00\ ;[Red]\(#,##0.00\)"/>
    <numFmt numFmtId="188" formatCode="#,##0_);\(#,##0\);&quot;- &quot;;&quot;  &quot;@"/>
    <numFmt numFmtId="189" formatCode="_-* #,##0\ _D_M_-;\-* #,##0\ _D_M_-;_-* &quot;-&quot;\ _D_M_-;_-@_-"/>
    <numFmt numFmtId="190" formatCode="_-* #,##0.00\ _D_M_-;\-* #,##0.00\ _D_M_-;_-* &quot;-&quot;??\ _D_M_-;_-@_-"/>
    <numFmt numFmtId="191" formatCode="[Green]&quot;é&quot;;[Red]&quot;ê&quot;;&quot;ù&quot;;"/>
    <numFmt numFmtId="192" formatCode="_-* #,##0.00\ [$€-1]_-;\-* #,##0.00\ [$€-1]_-;_-* &quot;-&quot;??\ [$€-1]_-"/>
    <numFmt numFmtId="193" formatCode="_-[$€-2]\ * #,##0.00_-;\-[$€-2]\ * #,##0.00_-;_-[$€-2]\ * &quot;-&quot;??_-"/>
    <numFmt numFmtId="194" formatCode="_-[$€-2]\ * #,##0.00_-;\-[$€-2]\ * #,##0.00_-;_-[$€-2]\ * &quot;-&quot;??_-;_-@_-"/>
    <numFmt numFmtId="195" formatCode="#,##0;\(#,##0\);0"/>
    <numFmt numFmtId="196" formatCode="_(* #,##0.0_%_);_(* \(#,##0.0_%\);_(* &quot; - &quot;_%_);_(@_)"/>
    <numFmt numFmtId="197" formatCode="_(* #,##0.0%_);_(* \(#,##0.0%\);_(* &quot; - &quot;\%_);_(@_)"/>
    <numFmt numFmtId="198" formatCode="_(* #,##0.0_);_(* \(#,##0.0\);_(* &quot; - &quot;_);_(@_)"/>
    <numFmt numFmtId="199" formatCode="_(* #,##0.00_);_(* \(#,##0.00\);_(* &quot; - &quot;_);_(@_)"/>
    <numFmt numFmtId="200" formatCode="_(* #,##0.000_);_(* \(#,##0.000\);_(* &quot; - &quot;_);_(@_)"/>
    <numFmt numFmtId="201" formatCode="#,##0;\(#,##0\);&quot;-&quot;"/>
    <numFmt numFmtId="202" formatCode="#,##0.0000_);\(#,##0.0000\);&quot;- &quot;;&quot;  &quot;@"/>
    <numFmt numFmtId="203" formatCode="#,##0\ ;[Red]\(#,##0\);\-\ "/>
    <numFmt numFmtId="204" formatCode="&quot;Lookup&quot;\ 0"/>
    <numFmt numFmtId="205" formatCode="###0_);\(###0\);&quot;- &quot;;&quot;  &quot;@"/>
    <numFmt numFmtId="206" formatCode="_-&quot;L.&quot;\ * #,##0_-;\-&quot;L.&quot;\ * #,##0_-;_-&quot;L.&quot;\ * &quot;-&quot;_-;_-@_-"/>
    <numFmt numFmtId="207" formatCode="_-&quot;€&quot;\ * #,##0.00_-;\-&quot;€&quot;\ * #,##0.00_-;_-&quot;€&quot;\ * &quot;-&quot;??_-;_-@_-"/>
    <numFmt numFmtId="208" formatCode="_-* #,##0\ &quot;DM&quot;_-;\-* #,##0\ &quot;DM&quot;_-;_-* &quot;-&quot;\ &quot;DM&quot;_-;_-@_-"/>
    <numFmt numFmtId="209" formatCode="_-* #,##0.00\ &quot;DM&quot;_-;\-* #,##0.00\ &quot;DM&quot;_-;_-* &quot;-&quot;??\ &quot;DM&quot;_-;_-@_-"/>
    <numFmt numFmtId="210" formatCode="_-* #,##0.00\ [$€]_-;\-* #,##0.00\ [$€]_-;_-* &quot;-&quot;??\ [$€]_-;_-@_-"/>
    <numFmt numFmtId="211" formatCode="_([$€-2]* #,##0.00_);_([$€-2]* \(#,##0.00\);_([$€-2]* &quot;-&quot;??_)"/>
    <numFmt numFmtId="212" formatCode="#,##0.000000"/>
    <numFmt numFmtId="213" formatCode="0.000"/>
    <numFmt numFmtId="214" formatCode="#,##0.000"/>
    <numFmt numFmtId="215" formatCode="0.000%"/>
    <numFmt numFmtId="216" formatCode="#,##0.00%_);[Red]\(#,##0.00%\);\-_);@"/>
    <numFmt numFmtId="217" formatCode="#,##0.0_);[Red]\(#,##0.0\);\-"/>
    <numFmt numFmtId="218" formatCode="_(* #,##0.0_);_(* \(#,##0.0\);_(* &quot;-&quot;??_);_(@_)"/>
    <numFmt numFmtId="219" formatCode="_(* #,##0.0000000_);_(* \(#,##0.0000000\);_(* &quot;-&quot;??_);_(@_)"/>
    <numFmt numFmtId="220" formatCode="_-\ #,##0.00_-;\-\ #,##0.00_-;_-\ &quot;-&quot;??_-;_-@_-"/>
    <numFmt numFmtId="221" formatCode="_-\ #,##0.0_-;\-\ #,##0.0_-;_-\ &quot;-&quot;??_-;_-@_-"/>
    <numFmt numFmtId="222" formatCode="_-* #,##0.0_-;\-* #,##0.0_-;_-* &quot;-&quot;??_-;_-@_-"/>
    <numFmt numFmtId="223" formatCode="_-* #,##0\ _€_-;\-* #,##0\ _€_-;_-* &quot;-&quot;??\ _€_-;_-@_-"/>
    <numFmt numFmtId="224" formatCode="0.00000"/>
    <numFmt numFmtId="225" formatCode="_-* #,##0.000_-;\-* #,##0.000_-;_-* &quot;-&quot;??_-;_-@_-"/>
    <numFmt numFmtId="226" formatCode="_-* #,##0.00000_-;\-* #,##0.00000_-;_-* &quot;-&quot;??_-;_-@_-"/>
    <numFmt numFmtId="227" formatCode="0.000000000000"/>
    <numFmt numFmtId="229" formatCode="_-* #,##0.00000000000_-;\-* #,##0.00000000000_-;_-* &quot;-&quot;??_-;_-@_-"/>
    <numFmt numFmtId="230" formatCode="#,##0.00000"/>
    <numFmt numFmtId="232" formatCode="#,##0.00_ ;\-#,##0.00\ "/>
  </numFmts>
  <fonts count="245">
    <font>
      <sz val="11"/>
      <color theme="1"/>
      <name val="Calibri"/>
      <family val="2"/>
      <scheme val="minor"/>
    </font>
    <font>
      <sz val="11"/>
      <color theme="1"/>
      <name val="Calibri"/>
      <family val="2"/>
      <scheme val="minor"/>
    </font>
    <font>
      <sz val="11"/>
      <color indexed="8"/>
      <name val="Calibri"/>
      <family val="2"/>
    </font>
    <font>
      <b/>
      <sz val="9"/>
      <name val="Calibri"/>
      <family val="2"/>
    </font>
    <font>
      <sz val="9"/>
      <name val="Calibri"/>
      <family val="2"/>
    </font>
    <font>
      <sz val="11"/>
      <name val="Arial"/>
      <family val="2"/>
    </font>
    <font>
      <b/>
      <sz val="8.5"/>
      <name val="Calibri"/>
      <family val="2"/>
    </font>
    <font>
      <sz val="10"/>
      <name val="Arial"/>
      <family val="2"/>
    </font>
    <font>
      <b/>
      <sz val="10"/>
      <name val="Arial"/>
      <family val="2"/>
    </font>
    <font>
      <sz val="8.5"/>
      <name val="Calibri"/>
      <family val="2"/>
    </font>
    <font>
      <i/>
      <sz val="9"/>
      <name val="Calibri"/>
      <family val="2"/>
    </font>
    <font>
      <sz val="11"/>
      <name val="Calibri"/>
      <family val="2"/>
    </font>
    <font>
      <b/>
      <sz val="11"/>
      <name val="Calibri"/>
      <family val="2"/>
    </font>
    <font>
      <u/>
      <sz val="11"/>
      <color indexed="12"/>
      <name val="Calibri"/>
      <family val="2"/>
    </font>
    <font>
      <sz val="11"/>
      <name val="Arial"/>
      <family val="2"/>
      <charset val="238"/>
    </font>
    <font>
      <b/>
      <sz val="10"/>
      <name val="Calibri"/>
      <family val="2"/>
    </font>
    <font>
      <strike/>
      <sz val="9"/>
      <name val="Calibri"/>
      <family val="2"/>
    </font>
    <font>
      <sz val="11"/>
      <color theme="0"/>
      <name val="Calibri"/>
      <family val="2"/>
      <scheme val="minor"/>
    </font>
    <font>
      <b/>
      <sz val="11"/>
      <name val="Arial"/>
      <family val="2"/>
    </font>
    <font>
      <b/>
      <sz val="11"/>
      <color indexed="9"/>
      <name val="Calibri"/>
      <family val="2"/>
    </font>
    <font>
      <sz val="11"/>
      <color indexed="9"/>
      <name val="Calibri"/>
      <family val="2"/>
    </font>
    <font>
      <b/>
      <sz val="11"/>
      <color indexed="8"/>
      <name val="Calibri"/>
      <family val="2"/>
    </font>
    <font>
      <sz val="11"/>
      <color rgb="FF9C6500"/>
      <name val="Calibri"/>
      <family val="2"/>
      <scheme val="minor"/>
    </font>
    <font>
      <sz val="11"/>
      <color theme="1"/>
      <name val="Calibri"/>
      <family val="2"/>
      <charset val="238"/>
      <scheme val="minor"/>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name val="Times New Roman"/>
      <family val="1"/>
    </font>
    <font>
      <sz val="10"/>
      <name val="Book Antiqua"/>
      <family val="1"/>
    </font>
    <font>
      <b/>
      <sz val="9"/>
      <name val="Helv"/>
    </font>
    <font>
      <sz val="10"/>
      <color indexed="12"/>
      <name val="Arial"/>
      <family val="2"/>
    </font>
    <font>
      <sz val="10"/>
      <name val="MS Sans Serif"/>
      <family val="2"/>
    </font>
    <font>
      <sz val="9"/>
      <color indexed="12"/>
      <name val="Arial"/>
      <family val="2"/>
    </font>
    <font>
      <sz val="10"/>
      <name val="Times New Roman"/>
      <family val="1"/>
    </font>
    <font>
      <sz val="10"/>
      <name val="ZapfDingbats"/>
      <family val="2"/>
    </font>
    <font>
      <sz val="10"/>
      <color indexed="9"/>
      <name val="Arial"/>
      <family val="2"/>
    </font>
    <font>
      <sz val="10"/>
      <color indexed="40"/>
      <name val="Arial"/>
      <family val="2"/>
    </font>
    <font>
      <sz val="14"/>
      <name val="Wingdings"/>
      <charset val="2"/>
    </font>
    <font>
      <sz val="22"/>
      <color indexed="12"/>
      <name val="Wingdings"/>
      <charset val="2"/>
    </font>
    <font>
      <sz val="22"/>
      <name val="Wingdings"/>
      <charset val="2"/>
    </font>
    <font>
      <b/>
      <u val="singleAccounting"/>
      <sz val="11"/>
      <name val="Arial"/>
      <family val="2"/>
    </font>
    <font>
      <b/>
      <sz val="8"/>
      <color indexed="10"/>
      <name val="Arial"/>
      <family val="2"/>
    </font>
    <font>
      <b/>
      <sz val="16"/>
      <color indexed="9"/>
      <name val="Arial"/>
      <family val="2"/>
    </font>
    <font>
      <b/>
      <sz val="16"/>
      <name val="Arial"/>
      <family val="2"/>
    </font>
    <font>
      <sz val="10"/>
      <name val="BERNHARD"/>
    </font>
    <font>
      <sz val="10"/>
      <color indexed="50"/>
      <name val="Arial"/>
      <family val="2"/>
    </font>
    <font>
      <sz val="16"/>
      <name val="Wingdings"/>
      <charset val="2"/>
    </font>
    <font>
      <b/>
      <sz val="32"/>
      <name val="Helvetica"/>
      <family val="2"/>
    </font>
    <font>
      <sz val="12"/>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sz val="10"/>
      <name val="Helvetica"/>
      <family val="2"/>
    </font>
    <font>
      <sz val="10"/>
      <color indexed="18"/>
      <name val="Arial"/>
      <family val="2"/>
    </font>
    <font>
      <sz val="10"/>
      <color indexed="23"/>
      <name val="Arial"/>
      <family val="2"/>
    </font>
    <font>
      <b/>
      <sz val="12"/>
      <name val="Arial"/>
      <family val="2"/>
    </font>
    <font>
      <b/>
      <u/>
      <sz val="16"/>
      <color indexed="10"/>
      <name val="Palatino"/>
      <family val="1"/>
    </font>
    <font>
      <b/>
      <sz val="10"/>
      <color indexed="18"/>
      <name val="Arial"/>
      <family val="2"/>
    </font>
    <font>
      <sz val="8"/>
      <color indexed="12"/>
      <name val="Helv"/>
    </font>
    <font>
      <u/>
      <sz val="10"/>
      <color indexed="12"/>
      <name val="MS Sans Serif"/>
      <family val="2"/>
    </font>
    <font>
      <b/>
      <sz val="8"/>
      <color indexed="12"/>
      <name val="Arial"/>
      <family val="2"/>
    </font>
    <font>
      <sz val="10"/>
      <color indexed="12"/>
      <name val="Times New Roman"/>
      <family val="1"/>
    </font>
    <font>
      <sz val="10"/>
      <color indexed="24"/>
      <name val="Arial"/>
      <family val="2"/>
    </font>
    <font>
      <b/>
      <sz val="10"/>
      <color indexed="14"/>
      <name val="Times New Roman"/>
      <family val="1"/>
    </font>
    <font>
      <sz val="8"/>
      <color indexed="17"/>
      <name val="Arial"/>
      <family val="2"/>
    </font>
    <font>
      <sz val="18"/>
      <name val="Times New Roman"/>
      <family val="1"/>
    </font>
    <font>
      <b/>
      <sz val="13"/>
      <name val="Times New Roman"/>
      <family val="1"/>
    </font>
    <font>
      <b/>
      <i/>
      <sz val="12"/>
      <name val="Times New Roman"/>
      <family val="1"/>
    </font>
    <font>
      <i/>
      <sz val="12"/>
      <name val="Times New Roman"/>
      <family val="1"/>
    </font>
    <font>
      <b/>
      <sz val="18"/>
      <name val="Helvetica"/>
      <family val="2"/>
    </font>
    <font>
      <sz val="8"/>
      <color indexed="47"/>
      <name val="Arial"/>
      <family val="2"/>
    </font>
    <font>
      <sz val="14"/>
      <name val="Helvetica"/>
      <family val="2"/>
    </font>
    <font>
      <sz val="8"/>
      <color indexed="40"/>
      <name val="Arial"/>
      <family val="2"/>
    </font>
    <font>
      <sz val="8"/>
      <color indexed="10"/>
      <name val="Arial"/>
      <family val="2"/>
    </font>
    <font>
      <sz val="11"/>
      <color indexed="8"/>
      <name val="Arial"/>
      <family val="2"/>
    </font>
    <font>
      <sz val="11"/>
      <color indexed="8"/>
      <name val="Czcionka tekstu podstawowego"/>
      <family val="2"/>
    </font>
    <font>
      <sz val="8"/>
      <name val="Times New Roman"/>
      <family val="1"/>
    </font>
    <font>
      <sz val="10"/>
      <color indexed="54"/>
      <name val="Arial"/>
      <family val="2"/>
    </font>
    <font>
      <sz val="9"/>
      <color indexed="8"/>
      <name val="Arial"/>
      <family val="2"/>
    </font>
    <font>
      <b/>
      <sz val="10"/>
      <color indexed="8"/>
      <name val="Arial"/>
      <family val="2"/>
    </font>
    <font>
      <sz val="10"/>
      <color indexed="8"/>
      <name val="Arial"/>
      <family val="2"/>
    </font>
    <font>
      <sz val="8"/>
      <name val="Arial"/>
      <family val="2"/>
    </font>
    <font>
      <b/>
      <sz val="18"/>
      <color indexed="62"/>
      <name val="Cambria"/>
      <family val="2"/>
    </font>
    <font>
      <sz val="10"/>
      <color indexed="39"/>
      <name val="Arial"/>
      <family val="2"/>
    </font>
    <font>
      <b/>
      <sz val="12"/>
      <color indexed="8"/>
      <name val="Arial"/>
      <family val="2"/>
    </font>
    <font>
      <b/>
      <sz val="16"/>
      <color indexed="23"/>
      <name val="Arial"/>
      <family val="2"/>
    </font>
    <font>
      <sz val="10"/>
      <color indexed="10"/>
      <name val="Arial"/>
      <family val="2"/>
    </font>
    <font>
      <sz val="8"/>
      <name val="Helvetica"/>
      <family val="2"/>
    </font>
    <font>
      <b/>
      <u/>
      <sz val="10"/>
      <name val="Helv"/>
    </font>
    <font>
      <sz val="8"/>
      <name val="Helv"/>
    </font>
    <font>
      <sz val="10"/>
      <name val="Century Gothic"/>
      <family val="2"/>
    </font>
    <font>
      <sz val="10"/>
      <color indexed="19"/>
      <name val="Arial"/>
      <family val="2"/>
    </font>
    <font>
      <sz val="12"/>
      <name val="Arial MT"/>
    </font>
    <font>
      <b/>
      <sz val="16"/>
      <color indexed="24"/>
      <name val="Univers 45 Light"/>
      <family val="2"/>
    </font>
    <font>
      <b/>
      <sz val="14"/>
      <name val="Arial"/>
      <family val="2"/>
    </font>
    <font>
      <b/>
      <sz val="10"/>
      <name val="Helv"/>
    </font>
    <font>
      <b/>
      <sz val="10"/>
      <color indexed="57"/>
      <name val="Arial"/>
      <family val="2"/>
    </font>
    <font>
      <b/>
      <sz val="24"/>
      <name val="Helvetica"/>
      <family val="2"/>
    </font>
    <font>
      <sz val="10"/>
      <color indexed="64"/>
      <name val="Arial"/>
      <family val="2"/>
      <charset val="204"/>
    </font>
    <font>
      <sz val="11"/>
      <color theme="1"/>
      <name val="Arial"/>
      <family val="2"/>
    </font>
    <font>
      <sz val="11"/>
      <color indexed="8"/>
      <name val="Calibri"/>
      <family val="2"/>
      <charset val="238"/>
    </font>
    <font>
      <sz val="11"/>
      <color indexed="8"/>
      <name val="Calibri"/>
      <family val="2"/>
      <charset val="186"/>
    </font>
    <font>
      <sz val="11"/>
      <color indexed="9"/>
      <name val="Calibri"/>
      <family val="2"/>
      <charset val="238"/>
    </font>
    <font>
      <sz val="11"/>
      <color indexed="9"/>
      <name val="Calibri"/>
      <family val="2"/>
      <charset val="186"/>
    </font>
    <font>
      <b/>
      <sz val="11"/>
      <color indexed="52"/>
      <name val="Calibri"/>
      <family val="2"/>
      <charset val="186"/>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Times New Roman"/>
      <family val="1"/>
      <charset val="204"/>
    </font>
    <font>
      <b/>
      <sz val="11"/>
      <color indexed="9"/>
      <name val="Calibri"/>
      <family val="2"/>
      <charset val="238"/>
    </font>
    <font>
      <sz val="11"/>
      <color indexed="10"/>
      <name val="Calibri"/>
      <family val="2"/>
      <charset val="238"/>
    </font>
    <font>
      <sz val="11"/>
      <color indexed="20"/>
      <name val="Calibri"/>
      <family val="2"/>
      <charset val="186"/>
    </font>
    <font>
      <sz val="11"/>
      <color indexed="17"/>
      <name val="Calibri"/>
      <family val="2"/>
      <charset val="186"/>
    </font>
    <font>
      <sz val="11"/>
      <color indexed="52"/>
      <name val="Calibri"/>
      <family val="2"/>
      <charset val="238"/>
    </font>
    <font>
      <sz val="11"/>
      <color indexed="10"/>
      <name val="Calibri"/>
      <family val="2"/>
      <charset val="186"/>
    </font>
    <font>
      <sz val="10"/>
      <name val="Arial CE"/>
      <charset val="238"/>
    </font>
    <font>
      <sz val="11"/>
      <color indexed="17"/>
      <name val="Calibri"/>
      <family val="2"/>
      <charset val="238"/>
    </font>
    <font>
      <b/>
      <sz val="11"/>
      <color indexed="63"/>
      <name val="Calibri"/>
      <family val="2"/>
      <charset val="238"/>
    </font>
    <font>
      <b/>
      <sz val="11"/>
      <color indexed="8"/>
      <name val="Calibri"/>
      <family val="2"/>
      <charset val="186"/>
    </font>
    <font>
      <b/>
      <sz val="11"/>
      <color indexed="9"/>
      <name val="Calibri"/>
      <family val="2"/>
      <charset val="186"/>
    </font>
    <font>
      <sz val="11"/>
      <color indexed="52"/>
      <name val="Calibri"/>
      <family val="2"/>
      <charset val="186"/>
    </font>
    <font>
      <i/>
      <sz val="11"/>
      <color indexed="23"/>
      <name val="Calibri"/>
      <family val="2"/>
      <charset val="238"/>
    </font>
    <font>
      <sz val="10"/>
      <name val="Times New Roman"/>
      <family val="1"/>
      <charset val="186"/>
    </font>
    <font>
      <sz val="11"/>
      <color indexed="60"/>
      <name val="Calibri"/>
      <family val="2"/>
      <charset val="186"/>
    </font>
    <font>
      <sz val="10"/>
      <name val="Times New Roman"/>
      <family val="1"/>
      <charset val="238"/>
    </font>
    <font>
      <b/>
      <sz val="11"/>
      <color indexed="8"/>
      <name val="Calibri"/>
      <family val="2"/>
      <charset val="238"/>
    </font>
    <font>
      <b/>
      <sz val="15"/>
      <color indexed="56"/>
      <name val="Calibri"/>
      <family val="2"/>
      <charset val="186"/>
    </font>
    <font>
      <b/>
      <sz val="13"/>
      <color indexed="56"/>
      <name val="Calibri"/>
      <family val="2"/>
      <charset val="186"/>
    </font>
    <font>
      <b/>
      <sz val="11"/>
      <color indexed="56"/>
      <name val="Calibri"/>
      <family val="2"/>
      <charset val="186"/>
    </font>
    <font>
      <b/>
      <sz val="18"/>
      <color indexed="56"/>
      <name val="Cambria"/>
      <family val="2"/>
      <charset val="186"/>
    </font>
    <font>
      <sz val="11"/>
      <color indexed="20"/>
      <name val="Calibri"/>
      <family val="2"/>
      <charset val="238"/>
    </font>
    <font>
      <i/>
      <sz val="11"/>
      <color indexed="23"/>
      <name val="Calibri"/>
      <family val="2"/>
      <charset val="186"/>
    </font>
    <font>
      <sz val="11"/>
      <color indexed="60"/>
      <name val="Calibri"/>
      <family val="2"/>
      <charset val="238"/>
    </font>
    <font>
      <sz val="11"/>
      <color indexed="62"/>
      <name val="Calibri"/>
      <family val="2"/>
      <charset val="186"/>
    </font>
    <font>
      <b/>
      <sz val="11"/>
      <color indexed="52"/>
      <name val="Calibri"/>
      <family val="2"/>
      <charset val="238"/>
    </font>
    <font>
      <b/>
      <sz val="11"/>
      <color indexed="63"/>
      <name val="Calibri"/>
      <family val="2"/>
      <charset val="186"/>
    </font>
    <font>
      <sz val="11"/>
      <color rgb="FF9C0006"/>
      <name val="Calibri"/>
      <family val="2"/>
      <scheme val="minor"/>
    </font>
    <font>
      <b/>
      <sz val="11"/>
      <name val="Calibri"/>
      <family val="2"/>
      <charset val="238"/>
      <scheme val="minor"/>
    </font>
    <font>
      <sz val="9"/>
      <name val="Calibri"/>
      <family val="2"/>
      <charset val="238"/>
      <scheme val="minor"/>
    </font>
    <font>
      <sz val="11"/>
      <name val="Calibri"/>
      <family val="2"/>
      <charset val="238"/>
      <scheme val="minor"/>
    </font>
    <font>
      <sz val="11"/>
      <color rgb="FF006600"/>
      <name val="Calibri"/>
      <family val="2"/>
      <charset val="238"/>
      <scheme val="minor"/>
    </font>
    <font>
      <sz val="11"/>
      <color rgb="FF808080"/>
      <name val="Calibri"/>
      <family val="2"/>
      <charset val="238"/>
      <scheme val="minor"/>
    </font>
    <font>
      <sz val="11"/>
      <color rgb="FFFF0000"/>
      <name val="Calibri"/>
      <family val="2"/>
      <charset val="238"/>
      <scheme val="minor"/>
    </font>
    <font>
      <b/>
      <sz val="9"/>
      <name val="Calibri"/>
      <family val="2"/>
      <charset val="238"/>
      <scheme val="minor"/>
    </font>
    <font>
      <b/>
      <sz val="16"/>
      <name val="Calibri"/>
      <family val="2"/>
      <charset val="238"/>
      <scheme val="minor"/>
    </font>
    <font>
      <b/>
      <sz val="14"/>
      <name val="Calibri"/>
      <family val="2"/>
      <charset val="238"/>
      <scheme val="minor"/>
    </font>
    <font>
      <i/>
      <sz val="11"/>
      <name val="Calibri"/>
      <family val="2"/>
      <charset val="238"/>
      <scheme val="minor"/>
    </font>
    <font>
      <i/>
      <sz val="9"/>
      <name val="Calibri"/>
      <family val="2"/>
      <charset val="238"/>
      <scheme val="minor"/>
    </font>
    <font>
      <sz val="14"/>
      <name val="Calibri"/>
      <family val="2"/>
      <charset val="238"/>
      <scheme val="minor"/>
    </font>
    <font>
      <i/>
      <sz val="11"/>
      <color theme="1"/>
      <name val="Calibri"/>
      <family val="2"/>
      <charset val="238"/>
      <scheme val="minor"/>
    </font>
    <font>
      <i/>
      <sz val="11"/>
      <color rgb="FFFF0000"/>
      <name val="Calibri"/>
      <family val="2"/>
      <charset val="238"/>
      <scheme val="minor"/>
    </font>
    <font>
      <b/>
      <i/>
      <sz val="9"/>
      <name val="Calibri"/>
      <family val="2"/>
    </font>
    <font>
      <i/>
      <strike/>
      <sz val="9"/>
      <name val="Calibri"/>
      <family val="2"/>
    </font>
    <font>
      <sz val="10"/>
      <color theme="1"/>
      <name val="Calibri"/>
      <family val="2"/>
      <scheme val="minor"/>
    </font>
    <font>
      <sz val="11"/>
      <color theme="1"/>
      <name val="Roboto Light"/>
      <family val="2"/>
    </font>
    <font>
      <sz val="8"/>
      <color theme="1"/>
      <name val="Calibri"/>
      <family val="2"/>
      <scheme val="minor"/>
    </font>
    <font>
      <u/>
      <sz val="10"/>
      <color indexed="12"/>
      <name val="Arial"/>
      <family val="2"/>
    </font>
    <font>
      <b/>
      <sz val="10"/>
      <color theme="6" tint="-0.499984740745262"/>
      <name val="Calibri"/>
      <family val="2"/>
      <scheme val="minor"/>
    </font>
    <font>
      <sz val="10"/>
      <name val="Calibri"/>
      <family val="2"/>
      <scheme val="minor"/>
    </font>
    <font>
      <sz val="10"/>
      <name val="Calibri"/>
      <family val="2"/>
    </font>
    <font>
      <b/>
      <sz val="10"/>
      <name val="Calibri"/>
      <family val="2"/>
      <charset val="238"/>
    </font>
    <font>
      <b/>
      <i/>
      <sz val="8"/>
      <name val="Calibri"/>
      <family val="2"/>
    </font>
    <font>
      <i/>
      <sz val="8"/>
      <name val="Calibri"/>
      <family val="2"/>
    </font>
    <font>
      <sz val="10"/>
      <color rgb="FF0070C0"/>
      <name val="Calibri"/>
      <family val="2"/>
    </font>
    <font>
      <b/>
      <sz val="10"/>
      <color theme="1"/>
      <name val="Calibri"/>
      <family val="2"/>
      <scheme val="minor"/>
    </font>
    <font>
      <sz val="8"/>
      <name val="Calibri"/>
      <family val="2"/>
    </font>
    <font>
      <b/>
      <sz val="10"/>
      <color rgb="FF0070C0"/>
      <name val="Calibri"/>
      <family val="2"/>
    </font>
    <font>
      <b/>
      <sz val="10"/>
      <color rgb="FF00B050"/>
      <name val="Calibri"/>
      <family val="2"/>
    </font>
    <font>
      <i/>
      <sz val="10"/>
      <name val="Calibri"/>
      <family val="2"/>
    </font>
    <font>
      <sz val="10"/>
      <color theme="4"/>
      <name val="Calibri"/>
      <family val="2"/>
    </font>
    <font>
      <sz val="10"/>
      <color rgb="FF00B050"/>
      <name val="Calibri"/>
      <family val="2"/>
    </font>
    <font>
      <sz val="10"/>
      <color rgb="FFFF0000"/>
      <name val="Calibri"/>
      <family val="2"/>
    </font>
    <font>
      <b/>
      <sz val="10"/>
      <color rgb="FFFF0000"/>
      <name val="Calibri"/>
      <family val="2"/>
    </font>
    <font>
      <sz val="9"/>
      <color rgb="FFFF0000"/>
      <name val="Calibri"/>
      <family val="2"/>
    </font>
    <font>
      <sz val="11"/>
      <color theme="0"/>
      <name val="Calibri"/>
      <family val="2"/>
    </font>
    <font>
      <u/>
      <sz val="9"/>
      <name val="Calibri"/>
      <family val="2"/>
    </font>
    <font>
      <sz val="9"/>
      <name val="Calibri"/>
      <family val="2"/>
      <scheme val="minor"/>
    </font>
    <font>
      <sz val="9"/>
      <color theme="4"/>
      <name val="Calibri"/>
      <family val="2"/>
    </font>
    <font>
      <sz val="9"/>
      <color rgb="FF0070C0"/>
      <name val="Calibri"/>
      <family val="2"/>
    </font>
    <font>
      <sz val="9"/>
      <color theme="1"/>
      <name val="Calibri"/>
      <family val="2"/>
      <scheme val="minor"/>
    </font>
    <font>
      <sz val="9"/>
      <color rgb="FF00B050"/>
      <name val="Calibri"/>
      <family val="2"/>
    </font>
    <font>
      <b/>
      <sz val="9"/>
      <color theme="1"/>
      <name val="Calibri"/>
      <family val="2"/>
      <scheme val="minor"/>
    </font>
    <font>
      <sz val="9"/>
      <color rgb="FF0070C0"/>
      <name val="Calibri"/>
      <family val="2"/>
      <scheme val="minor"/>
    </font>
    <font>
      <sz val="9"/>
      <color theme="4"/>
      <name val="Calibri"/>
      <family val="2"/>
      <scheme val="minor"/>
    </font>
    <font>
      <b/>
      <sz val="9"/>
      <color rgb="FF0070C0"/>
      <name val="Calibri"/>
      <family val="2"/>
      <scheme val="minor"/>
    </font>
    <font>
      <b/>
      <sz val="9"/>
      <name val="Calibri"/>
      <family val="2"/>
      <scheme val="minor"/>
    </font>
    <font>
      <sz val="10"/>
      <color theme="0"/>
      <name val="Calibri"/>
      <family val="2"/>
      <scheme val="minor"/>
    </font>
    <font>
      <b/>
      <sz val="10"/>
      <color rgb="FF0070C0"/>
      <name val="Calibri"/>
      <family val="2"/>
      <scheme val="minor"/>
    </font>
    <font>
      <b/>
      <sz val="10"/>
      <color theme="4"/>
      <name val="Calibri"/>
      <family val="2"/>
      <scheme val="minor"/>
    </font>
    <font>
      <sz val="10"/>
      <color rgb="FFFF0000"/>
      <name val="Calibri"/>
      <family val="2"/>
      <scheme val="minor"/>
    </font>
    <font>
      <sz val="10"/>
      <color indexed="8"/>
      <name val="Calibri"/>
      <family val="2"/>
    </font>
    <font>
      <i/>
      <sz val="10"/>
      <color theme="1"/>
      <name val="Calibri"/>
      <family val="2"/>
      <scheme val="minor"/>
    </font>
    <font>
      <b/>
      <i/>
      <sz val="10"/>
      <name val="Arial"/>
      <family val="2"/>
    </font>
    <font>
      <b/>
      <sz val="10"/>
      <color indexed="8"/>
      <name val="Calibri"/>
      <family val="2"/>
    </font>
    <font>
      <b/>
      <vertAlign val="superscript"/>
      <sz val="10"/>
      <name val="Calibri"/>
      <family val="2"/>
    </font>
    <font>
      <i/>
      <sz val="10"/>
      <color rgb="FFFF0000"/>
      <name val="Calibri"/>
      <family val="2"/>
      <scheme val="minor"/>
    </font>
    <font>
      <vertAlign val="superscript"/>
      <sz val="10"/>
      <name val="Calibri"/>
      <family val="2"/>
      <scheme val="minor"/>
    </font>
    <font>
      <strike/>
      <sz val="9"/>
      <color rgb="FF00B050"/>
      <name val="Calibri"/>
      <family val="2"/>
    </font>
    <font>
      <sz val="11"/>
      <color rgb="FF00B050"/>
      <name val="Arial"/>
      <family val="2"/>
    </font>
    <font>
      <b/>
      <sz val="9"/>
      <color theme="4"/>
      <name val="Calibri"/>
      <family val="2"/>
    </font>
    <font>
      <b/>
      <sz val="9"/>
      <color rgb="FF00B050"/>
      <name val="Calibri"/>
      <family val="2"/>
    </font>
    <font>
      <i/>
      <sz val="9"/>
      <color rgb="FF00B050"/>
      <name val="Calibri"/>
      <family val="2"/>
    </font>
    <font>
      <i/>
      <sz val="9"/>
      <color theme="4"/>
      <name val="Calibri"/>
      <family val="2"/>
    </font>
    <font>
      <i/>
      <sz val="9"/>
      <color rgb="FF0070C0"/>
      <name val="Calibri"/>
      <family val="2"/>
    </font>
    <font>
      <b/>
      <sz val="10"/>
      <name val="Calibri"/>
      <family val="2"/>
      <scheme val="minor"/>
    </font>
    <font>
      <b/>
      <sz val="9"/>
      <color rgb="FFFF0000"/>
      <name val="Calibri"/>
      <family val="2"/>
    </font>
    <font>
      <sz val="9"/>
      <color indexed="81"/>
      <name val="Tahoma"/>
      <family val="2"/>
    </font>
    <font>
      <b/>
      <sz val="9"/>
      <color indexed="81"/>
      <name val="Tahoma"/>
      <family val="2"/>
    </font>
    <font>
      <sz val="11"/>
      <color indexed="8"/>
      <name val="Calibri"/>
      <family val="2"/>
      <charset val="238"/>
      <scheme val="minor"/>
    </font>
    <font>
      <sz val="9"/>
      <color indexed="8"/>
      <name val="Calibri"/>
      <family val="2"/>
      <charset val="238"/>
      <scheme val="minor"/>
    </font>
    <font>
      <i/>
      <sz val="9"/>
      <color indexed="8"/>
      <name val="Calibri"/>
      <family val="2"/>
      <charset val="238"/>
      <scheme val="minor"/>
    </font>
    <font>
      <b/>
      <i/>
      <sz val="9"/>
      <color rgb="FFFF0000"/>
      <name val="Calibri"/>
      <family val="2"/>
    </font>
    <font>
      <sz val="11"/>
      <color rgb="FFFF0000"/>
      <name val="Calibri"/>
      <family val="2"/>
      <scheme val="minor"/>
    </font>
    <font>
      <sz val="9"/>
      <color rgb="FFFF0000"/>
      <name val="Calibri"/>
      <family val="2"/>
      <scheme val="minor"/>
    </font>
    <font>
      <b/>
      <sz val="9"/>
      <color theme="4"/>
      <name val="Calibri"/>
      <family val="2"/>
      <scheme val="minor"/>
    </font>
    <font>
      <sz val="9"/>
      <color rgb="FF0000FF"/>
      <name val="Calibri"/>
      <family val="2"/>
    </font>
    <font>
      <sz val="10"/>
      <color theme="3" tint="0.39997558519241921"/>
      <name val="Calibri"/>
      <family val="2"/>
    </font>
    <font>
      <sz val="9"/>
      <color theme="3" tint="0.39997558519241921"/>
      <name val="Calibri"/>
      <family val="2"/>
    </font>
    <font>
      <sz val="10"/>
      <name val="MS Sans Serif"/>
      <family val="2"/>
      <charset val="204"/>
    </font>
    <font>
      <sz val="9"/>
      <name val="Arial"/>
      <family val="2"/>
    </font>
    <font>
      <sz val="11"/>
      <color rgb="FFFF0000"/>
      <name val="Calibri"/>
      <family val="2"/>
    </font>
    <font>
      <b/>
      <sz val="9"/>
      <color theme="4" tint="-0.249977111117893"/>
      <name val="Calibri"/>
      <family val="2"/>
      <scheme val="minor"/>
    </font>
    <font>
      <sz val="8"/>
      <name val="Calibri"/>
      <family val="2"/>
      <scheme val="minor"/>
    </font>
    <font>
      <b/>
      <sz val="9"/>
      <color rgb="FF0000FF"/>
      <name val="Calibri"/>
      <family val="2"/>
    </font>
    <font>
      <sz val="10"/>
      <color rgb="FF0000FF"/>
      <name val="Calibri"/>
      <family val="2"/>
    </font>
    <font>
      <i/>
      <sz val="9"/>
      <color rgb="FF0000FF"/>
      <name val="Calibri"/>
      <family val="2"/>
    </font>
    <font>
      <b/>
      <sz val="10"/>
      <color rgb="FFFF0000"/>
      <name val="Calibri"/>
      <family val="2"/>
      <scheme val="minor"/>
    </font>
    <font>
      <sz val="10"/>
      <name val="Calibri"/>
      <family val="2"/>
    </font>
    <font>
      <sz val="10"/>
      <color theme="4"/>
      <name val="Calibri"/>
      <family val="2"/>
    </font>
    <font>
      <b/>
      <sz val="10"/>
      <name val="Calibri"/>
      <family val="2"/>
    </font>
  </fonts>
  <fills count="92">
    <fill>
      <patternFill patternType="none"/>
    </fill>
    <fill>
      <patternFill patternType="gray125"/>
    </fill>
    <fill>
      <patternFill patternType="solid">
        <fgColor indexed="26"/>
        <bgColor indexed="64"/>
      </patternFill>
    </fill>
    <fill>
      <patternFill patternType="gray0625">
        <fgColor indexed="9"/>
        <bgColor indexed="47"/>
      </patternFill>
    </fill>
    <fill>
      <patternFill patternType="solid">
        <fgColor theme="0" tint="-0.14999847407452621"/>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4"/>
      </patternFill>
    </fill>
    <fill>
      <patternFill patternType="solid">
        <fgColor indexed="44"/>
        <bgColor indexed="64"/>
      </patternFill>
    </fill>
    <fill>
      <patternFill patternType="solid">
        <fgColor rgb="FFFFEB9C"/>
      </patternFill>
    </fill>
    <fill>
      <patternFill patternType="solid">
        <fgColor theme="4" tint="0.39997558519241921"/>
        <bgColor indexed="65"/>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62"/>
        <bgColor indexed="64"/>
      </patternFill>
    </fill>
    <fill>
      <patternFill patternType="solid">
        <fgColor indexed="27"/>
        <bgColor indexed="64"/>
      </patternFill>
    </fill>
    <fill>
      <patternFill patternType="solid">
        <fgColor indexed="28"/>
        <bgColor indexed="64"/>
      </patternFill>
    </fill>
    <fill>
      <patternFill patternType="solid">
        <fgColor indexed="22"/>
        <bgColor indexed="22"/>
      </patternFill>
    </fill>
    <fill>
      <patternFill patternType="solid">
        <fgColor indexed="31"/>
        <bgColor indexed="64"/>
      </patternFill>
    </fill>
    <fill>
      <patternFill patternType="solid">
        <fgColor indexed="55"/>
      </patternFill>
    </fill>
    <fill>
      <patternFill patternType="solid">
        <fgColor indexed="29"/>
        <bgColor indexed="64"/>
      </patternFill>
    </fill>
    <fill>
      <patternFill patternType="solid">
        <fgColor indexed="14"/>
        <bgColor indexed="64"/>
      </patternFill>
    </fill>
    <fill>
      <patternFill patternType="solid">
        <fgColor indexed="51"/>
        <bgColor indexed="64"/>
      </patternFill>
    </fill>
    <fill>
      <patternFill patternType="gray0625">
        <fgColor indexed="23"/>
        <bgColor indexed="9"/>
      </patternFill>
    </fill>
    <fill>
      <patternFill patternType="solid">
        <fgColor indexed="40"/>
        <bgColor indexed="64"/>
      </patternFill>
    </fill>
    <fill>
      <patternFill patternType="solid">
        <fgColor indexed="30"/>
        <bgColor indexed="64"/>
      </patternFill>
    </fill>
    <fill>
      <patternFill patternType="solid">
        <fgColor indexed="43"/>
      </patternFill>
    </fill>
    <fill>
      <patternFill patternType="mediumGray">
        <fgColor indexed="11"/>
      </patternFill>
    </fill>
    <fill>
      <patternFill patternType="solid">
        <fgColor indexed="45"/>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61"/>
        <bgColor indexed="64"/>
      </patternFill>
    </fill>
    <fill>
      <patternFill patternType="solid">
        <fgColor indexed="9"/>
      </patternFill>
    </fill>
    <fill>
      <patternFill patternType="solid">
        <fgColor indexed="24"/>
        <bgColor indexed="64"/>
      </patternFill>
    </fill>
    <fill>
      <patternFill patternType="darkUp">
        <fgColor indexed="8"/>
        <bgColor indexed="13"/>
      </patternFill>
    </fill>
    <fill>
      <patternFill patternType="solid">
        <fgColor rgb="FFFFC7CE"/>
      </patternFill>
    </fill>
    <fill>
      <patternFill patternType="solid">
        <fgColor theme="5"/>
      </patternFill>
    </fill>
    <fill>
      <patternFill patternType="solid">
        <fgColor theme="9"/>
      </patternFill>
    </fill>
    <fill>
      <patternFill patternType="solid">
        <fgColor theme="0" tint="-0.249977111117893"/>
        <bgColor indexed="64"/>
      </patternFill>
    </fill>
    <fill>
      <patternFill patternType="solid">
        <fgColor rgb="FFCCFFCC"/>
        <bgColor indexed="64"/>
      </patternFill>
    </fill>
    <fill>
      <patternFill patternType="solid">
        <fgColor theme="0" tint="-0.34998626667073579"/>
        <bgColor indexed="64"/>
      </patternFill>
    </fill>
    <fill>
      <patternFill patternType="solid">
        <fgColor rgb="FF99FF99"/>
        <bgColor indexed="64"/>
      </patternFill>
    </fill>
    <fill>
      <patternFill patternType="solid">
        <fgColor indexed="65"/>
        <bgColor indexed="64"/>
      </patternFill>
    </fill>
    <fill>
      <patternFill patternType="solid">
        <fgColor rgb="FFFFFF99"/>
        <bgColor indexed="64"/>
      </patternFill>
    </fill>
    <fill>
      <patternFill patternType="solid">
        <fgColor rgb="FFFF9999"/>
        <bgColor indexed="64"/>
      </patternFill>
    </fill>
    <fill>
      <patternFill patternType="solid">
        <fgColor theme="3"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B4"/>
        <bgColor indexed="64"/>
      </patternFill>
    </fill>
    <fill>
      <patternFill patternType="solid">
        <fgColor theme="9" tint="0.59996337778862885"/>
        <bgColor indexed="64"/>
      </patternFill>
    </fill>
    <fill>
      <patternFill patternType="solid">
        <fgColor indexed="9"/>
        <bgColor indexed="64"/>
      </patternFill>
    </fill>
    <fill>
      <patternFill patternType="darkUp">
        <fgColor indexed="55"/>
        <bgColor indexed="22"/>
      </patternFill>
    </fill>
    <fill>
      <patternFill patternType="solid">
        <fgColor rgb="FFFFFF0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8DB4E2"/>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ashed">
        <color indexed="63"/>
      </left>
      <right style="dashed">
        <color indexed="63"/>
      </right>
      <top style="dashed">
        <color indexed="63"/>
      </top>
      <bottom style="dashed">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ashed">
        <color indexed="28"/>
      </left>
      <right style="dashed">
        <color indexed="28"/>
      </right>
      <top style="dashed">
        <color indexed="28"/>
      </top>
      <bottom style="dashed">
        <color indexed="28"/>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style="dotted">
        <color indexed="28"/>
      </left>
      <right style="dotted">
        <color indexed="28"/>
      </right>
      <top style="dotted">
        <color indexed="28"/>
      </top>
      <bottom style="dotted">
        <color indexed="28"/>
      </bottom>
      <diagonal/>
    </border>
    <border>
      <left style="dashed">
        <color indexed="55"/>
      </left>
      <right style="dashed">
        <color indexed="55"/>
      </right>
      <top style="dashed">
        <color indexed="55"/>
      </top>
      <bottom style="dashed">
        <color indexed="55"/>
      </bottom>
      <diagonal/>
    </border>
    <border>
      <left style="hair">
        <color indexed="12"/>
      </left>
      <right style="hair">
        <color indexed="12"/>
      </right>
      <top style="hair">
        <color indexed="12"/>
      </top>
      <bottom style="hair">
        <color indexed="12"/>
      </bottom>
      <diagonal/>
    </border>
    <border>
      <left style="thin">
        <color indexed="54"/>
      </left>
      <right style="thin">
        <color indexed="54"/>
      </right>
      <top style="thin">
        <color indexed="54"/>
      </top>
      <bottom style="thin">
        <color indexed="54"/>
      </bottom>
      <diagonal/>
    </border>
    <border>
      <left style="dotted">
        <color indexed="10"/>
      </left>
      <right style="dotted">
        <color indexed="10"/>
      </right>
      <top style="dotted">
        <color indexed="10"/>
      </top>
      <bottom style="dotted">
        <color indexed="1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ck">
        <color indexed="64"/>
      </top>
      <bottom style="hair">
        <color indexed="64"/>
      </bottom>
      <diagonal/>
    </border>
    <border>
      <left style="thin">
        <color indexed="63"/>
      </left>
      <right style="thin">
        <color indexed="63"/>
      </right>
      <top style="thin">
        <color indexed="64"/>
      </top>
      <bottom style="thin">
        <color indexed="63"/>
      </bottom>
      <diagonal/>
    </border>
    <border>
      <left/>
      <right/>
      <top style="thin">
        <color indexed="19"/>
      </top>
      <bottom/>
      <diagonal/>
    </border>
    <border>
      <left style="thin">
        <color indexed="64"/>
      </left>
      <right style="thin">
        <color indexed="64"/>
      </right>
      <top style="hair">
        <color indexed="64"/>
      </top>
      <bottom style="hair">
        <color indexed="64"/>
      </bottom>
      <diagonal/>
    </border>
    <border>
      <left/>
      <right/>
      <top style="thin">
        <color indexed="19"/>
      </top>
      <bottom style="double">
        <color indexed="19"/>
      </bottom>
      <diagonal/>
    </border>
    <border>
      <left/>
      <right/>
      <top style="thin">
        <color indexed="64"/>
      </top>
      <bottom style="double">
        <color indexed="64"/>
      </bottom>
      <diagonal/>
    </border>
    <border>
      <left/>
      <right style="hair">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3" tint="0.59996337778862885"/>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bottom style="thin">
        <color theme="3" tint="0.59996337778862885"/>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3" tint="0.59996337778862885"/>
      </bottom>
      <diagonal/>
    </border>
  </borders>
  <cellStyleXfs count="1606">
    <xf numFmtId="0" fontId="0" fillId="0" borderId="0"/>
    <xf numFmtId="43" fontId="1" fillId="0" borderId="0" applyFont="0" applyFill="0" applyBorder="0" applyAlignment="0" applyProtection="0"/>
    <xf numFmtId="0" fontId="2" fillId="0" borderId="0"/>
    <xf numFmtId="0" fontId="7" fillId="0" borderId="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xf numFmtId="9" fontId="5" fillId="0" borderId="0" applyFont="0" applyFill="0" applyBorder="0" applyAlignment="0" applyProtection="0"/>
    <xf numFmtId="0" fontId="5" fillId="0" borderId="0"/>
    <xf numFmtId="0" fontId="13" fillId="0" borderId="0" applyNumberFormat="0" applyFill="0" applyBorder="0" applyAlignment="0" applyProtection="0">
      <alignment vertical="top"/>
      <protection locked="0"/>
    </xf>
    <xf numFmtId="0" fontId="14" fillId="0" borderId="0"/>
    <xf numFmtId="0" fontId="5" fillId="0" borderId="0"/>
    <xf numFmtId="9" fontId="5" fillId="0" borderId="0" applyFont="0" applyFill="0" applyBorder="0" applyAlignment="0" applyProtection="0"/>
    <xf numFmtId="9" fontId="1" fillId="0" borderId="0" applyFont="0" applyFill="0" applyBorder="0" applyAlignment="0" applyProtection="0"/>
    <xf numFmtId="0" fontId="1" fillId="0" borderId="0"/>
    <xf numFmtId="171" fontId="5" fillId="0" borderId="0" applyFont="0" applyFill="0" applyBorder="0" applyAlignment="0" applyProtection="0"/>
    <xf numFmtId="0" fontId="5" fillId="0" borderId="0"/>
    <xf numFmtId="0" fontId="17" fillId="10" borderId="0" applyNumberFormat="0" applyBorder="0" applyAlignment="0" applyProtection="0"/>
    <xf numFmtId="171" fontId="5" fillId="0" borderId="0" applyFont="0" applyFill="0" applyBorder="0" applyAlignment="0" applyProtection="0"/>
    <xf numFmtId="175" fontId="37" fillId="14" borderId="0" applyBorder="0">
      <alignment horizontal="center"/>
      <protection locked="0"/>
    </xf>
    <xf numFmtId="175" fontId="37" fillId="0" borderId="0" applyFill="0" applyBorder="0">
      <alignment horizontal="center"/>
    </xf>
    <xf numFmtId="0" fontId="7" fillId="0" borderId="0" applyNumberFormat="0" applyFill="0" applyBorder="0" applyAlignment="0" applyProtection="0"/>
    <xf numFmtId="0" fontId="38" fillId="0" borderId="0" applyFont="0" applyFill="0" applyBorder="0" applyAlignment="0" applyProtection="0"/>
    <xf numFmtId="0" fontId="7" fillId="0" borderId="0" applyFont="0" applyFill="0" applyBorder="0" applyAlignment="0" applyProtection="0"/>
    <xf numFmtId="176" fontId="37" fillId="14" borderId="0" applyBorder="0">
      <alignment horizontal="center"/>
      <protection locked="0"/>
    </xf>
    <xf numFmtId="176" fontId="37" fillId="0" borderId="0" applyFill="0" applyBorder="0">
      <alignment horizontal="center"/>
    </xf>
    <xf numFmtId="0" fontId="28" fillId="0" borderId="34" applyNumberFormat="0" applyFill="0" applyAlignment="0" applyProtection="0"/>
    <xf numFmtId="0" fontId="29" fillId="0" borderId="35" applyNumberFormat="0" applyFill="0" applyAlignment="0" applyProtection="0"/>
    <xf numFmtId="177" fontId="37" fillId="14" borderId="0" applyBorder="0">
      <alignment horizontal="center"/>
      <protection locked="0"/>
    </xf>
    <xf numFmtId="177" fontId="37" fillId="0" borderId="0" applyFill="0" applyBorder="0">
      <alignment horizontal="center"/>
    </xf>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30" fillId="0" borderId="36" applyNumberFormat="0" applyFill="0" applyAlignment="0" applyProtection="0"/>
    <xf numFmtId="0" fontId="30" fillId="0" borderId="0" applyNumberFormat="0" applyFill="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5" borderId="0" applyNumberFormat="0" applyBorder="0" applyAlignment="0" applyProtection="0"/>
    <xf numFmtId="0" fontId="17" fillId="13"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7" fillId="0" borderId="0"/>
    <xf numFmtId="0" fontId="17" fillId="10"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2" borderId="0" applyNumberFormat="0" applyBorder="0" applyAlignment="0" applyProtection="0"/>
    <xf numFmtId="0" fontId="36" fillId="0" borderId="0" applyNumberFormat="0" applyFill="0" applyBorder="0" applyAlignment="0" applyProtection="0"/>
    <xf numFmtId="0" fontId="26" fillId="0" borderId="0" applyNumberFormat="0" applyFill="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2"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2" borderId="0" applyNumberFormat="0" applyBorder="0" applyAlignment="0" applyProtection="0"/>
    <xf numFmtId="0" fontId="39" fillId="0" borderId="37">
      <alignment horizontal="center" vertical="center"/>
    </xf>
    <xf numFmtId="0" fontId="7" fillId="33" borderId="38" applyNumberFormat="0" applyFont="0" applyAlignment="0" applyProtection="0"/>
    <xf numFmtId="0" fontId="25" fillId="34" borderId="39" applyNumberFormat="0" applyAlignment="0" applyProtection="0"/>
    <xf numFmtId="0" fontId="40" fillId="35" borderId="37"/>
    <xf numFmtId="0" fontId="41" fillId="0" borderId="0" applyFont="0" applyFill="0" applyBorder="0" applyAlignment="0" applyProtection="0"/>
    <xf numFmtId="178" fontId="42" fillId="35" borderId="37" applyBorder="0"/>
    <xf numFmtId="0" fontId="40" fillId="35" borderId="37">
      <alignment horizontal="center"/>
      <protection locked="0"/>
    </xf>
    <xf numFmtId="0" fontId="34" fillId="34" borderId="40" applyNumberFormat="0" applyAlignment="0" applyProtection="0"/>
    <xf numFmtId="0" fontId="36" fillId="0" borderId="0" applyNumberFormat="0" applyFill="0" applyBorder="0" applyAlignment="0" applyProtection="0"/>
    <xf numFmtId="0" fontId="24" fillId="16" borderId="0" applyNumberFormat="0" applyBorder="0" applyAlignment="0" applyProtection="0"/>
    <xf numFmtId="0" fontId="43" fillId="33" borderId="38" applyNumberFormat="0" applyFont="0" applyAlignment="0" applyProtection="0"/>
    <xf numFmtId="0" fontId="25" fillId="34" borderId="39" applyNumberFormat="0" applyAlignment="0" applyProtection="0"/>
    <xf numFmtId="0" fontId="25" fillId="34" borderId="39" applyNumberFormat="0" applyAlignment="0" applyProtection="0"/>
    <xf numFmtId="0" fontId="25" fillId="34" borderId="39" applyNumberFormat="0" applyAlignment="0" applyProtection="0"/>
    <xf numFmtId="179" fontId="18" fillId="0" borderId="0" applyNumberFormat="0" applyFont="0" applyAlignment="0">
      <alignment vertical="top"/>
    </xf>
    <xf numFmtId="0" fontId="24"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44" fillId="0" borderId="0"/>
    <xf numFmtId="180" fontId="45" fillId="36" borderId="22">
      <alignment horizontal="center"/>
    </xf>
    <xf numFmtId="181" fontId="7" fillId="37" borderId="41" applyNumberFormat="0">
      <alignment vertical="center"/>
    </xf>
    <xf numFmtId="182" fontId="7" fillId="2" borderId="41" applyNumberFormat="0">
      <alignment vertical="center"/>
    </xf>
    <xf numFmtId="1" fontId="7" fillId="38" borderId="41" applyNumberFormat="0">
      <alignment vertical="center"/>
    </xf>
    <xf numFmtId="181" fontId="7" fillId="38" borderId="41" applyNumberFormat="0">
      <alignment vertical="center"/>
    </xf>
    <xf numFmtId="181" fontId="7" fillId="5" borderId="41" applyNumberFormat="0">
      <alignment vertical="center"/>
    </xf>
    <xf numFmtId="183" fontId="46" fillId="0" borderId="0"/>
    <xf numFmtId="3" fontId="7" fillId="0" borderId="41" applyNumberFormat="0">
      <alignment vertical="center"/>
    </xf>
    <xf numFmtId="184" fontId="5" fillId="39" borderId="41" applyNumberFormat="0" applyFont="0" applyAlignment="0">
      <alignment vertical="center"/>
    </xf>
    <xf numFmtId="181" fontId="5" fillId="40" borderId="41" applyNumberFormat="0">
      <alignment vertical="center"/>
    </xf>
    <xf numFmtId="0" fontId="25" fillId="34" borderId="39" applyNumberFormat="0" applyAlignment="0" applyProtection="0"/>
    <xf numFmtId="0" fontId="25" fillId="34" borderId="39" applyNumberFormat="0" applyAlignment="0" applyProtection="0"/>
    <xf numFmtId="0" fontId="25" fillId="34" borderId="39" applyNumberFormat="0" applyAlignment="0" applyProtection="0"/>
    <xf numFmtId="0" fontId="19" fillId="41" borderId="42" applyNumberFormat="0" applyAlignment="0" applyProtection="0"/>
    <xf numFmtId="0" fontId="32" fillId="0" borderId="43" applyNumberFormat="0" applyFill="0" applyAlignment="0" applyProtection="0"/>
    <xf numFmtId="0" fontId="32" fillId="0" borderId="43" applyNumberFormat="0" applyFill="0" applyAlignment="0" applyProtection="0"/>
    <xf numFmtId="185" fontId="47" fillId="0" borderId="0" applyFill="0" applyBorder="0" applyProtection="0">
      <alignment horizontal="center" vertical="center"/>
    </xf>
    <xf numFmtId="186" fontId="48" fillId="14" borderId="44">
      <alignment horizontal="center" vertical="center"/>
      <protection locked="0"/>
    </xf>
    <xf numFmtId="186" fontId="49" fillId="0" borderId="0" applyFill="0" applyBorder="0">
      <alignment horizontal="center" vertical="center"/>
    </xf>
    <xf numFmtId="0" fontId="19" fillId="41" borderId="42" applyNumberFormat="0" applyAlignment="0" applyProtection="0"/>
    <xf numFmtId="0" fontId="50" fillId="0" borderId="0" applyNumberFormat="0">
      <alignment horizontal="center" wrapText="1"/>
    </xf>
    <xf numFmtId="165" fontId="5" fillId="0" borderId="0" applyFont="0" applyFill="0" applyBorder="0" applyAlignment="0" applyProtection="0"/>
    <xf numFmtId="187"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0" fontId="7" fillId="0" borderId="45" applyFont="0" applyFill="0" applyBorder="0" applyAlignment="0" applyProtection="0">
      <alignment horizontal="right"/>
    </xf>
    <xf numFmtId="0" fontId="43" fillId="33" borderId="38" applyNumberFormat="0" applyFont="0" applyAlignment="0" applyProtection="0"/>
    <xf numFmtId="0" fontId="43" fillId="33" borderId="38" applyNumberFormat="0" applyFont="0" applyAlignment="0" applyProtection="0"/>
    <xf numFmtId="0" fontId="51" fillId="0" borderId="0" applyFill="0" applyBorder="0"/>
    <xf numFmtId="181" fontId="52" fillId="42" borderId="0" applyFont="0" applyAlignment="0">
      <alignment vertical="center" wrapText="1"/>
    </xf>
    <xf numFmtId="181" fontId="53" fillId="42" borderId="22" applyNumberFormat="0" applyBorder="0" applyAlignment="0">
      <alignment vertical="center" wrapText="1"/>
    </xf>
    <xf numFmtId="0" fontId="54" fillId="0" borderId="0"/>
    <xf numFmtId="0" fontId="54" fillId="0" borderId="0"/>
    <xf numFmtId="172" fontId="43" fillId="0" borderId="0" applyFont="0" applyFill="0" applyBorder="0" applyAlignment="0" applyProtection="0"/>
    <xf numFmtId="0" fontId="24" fillId="16" borderId="0" applyNumberFormat="0" applyBorder="0" applyAlignment="0" applyProtection="0"/>
    <xf numFmtId="38" fontId="55" fillId="35" borderId="46"/>
    <xf numFmtId="0" fontId="7" fillId="0" borderId="0" applyFont="0" applyFill="0" applyBorder="0" applyAlignment="0" applyProtection="0"/>
    <xf numFmtId="188" fontId="7" fillId="43" borderId="0" applyNumberFormat="0" applyFont="0" applyBorder="0" applyAlignment="0" applyProtection="0"/>
    <xf numFmtId="189" fontId="43" fillId="0" borderId="0" applyFont="0" applyFill="0" applyBorder="0" applyAlignment="0" applyProtection="0"/>
    <xf numFmtId="190" fontId="43" fillId="0" borderId="0" applyFont="0" applyFill="0" applyBorder="0" applyAlignment="0" applyProtection="0"/>
    <xf numFmtId="191" fontId="56" fillId="0" borderId="0" applyFill="0" applyBorder="0">
      <alignment horizontal="center" vertical="center"/>
    </xf>
    <xf numFmtId="0" fontId="31" fillId="20" borderId="39" applyNumberFormat="0" applyAlignment="0" applyProtection="0"/>
    <xf numFmtId="0" fontId="30" fillId="0" borderId="0" applyNumberFormat="0" applyFill="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2" borderId="0" applyNumberFormat="0" applyBorder="0" applyAlignment="0" applyProtection="0"/>
    <xf numFmtId="0" fontId="31" fillId="20" borderId="39" applyNumberFormat="0" applyAlignment="0" applyProtection="0"/>
    <xf numFmtId="0" fontId="31" fillId="20" borderId="39" applyNumberFormat="0" applyAlignment="0" applyProtection="0"/>
    <xf numFmtId="0" fontId="21" fillId="0" borderId="47" applyNumberFormat="0" applyFill="0" applyAlignment="0" applyProtection="0"/>
    <xf numFmtId="0" fontId="26" fillId="0" borderId="0" applyNumberFormat="0" applyFill="0" applyBorder="0" applyAlignment="0" applyProtection="0"/>
    <xf numFmtId="192" fontId="7" fillId="0" borderId="0" applyFont="0" applyFill="0" applyBorder="0" applyAlignment="0" applyProtection="0"/>
    <xf numFmtId="193" fontId="7" fillId="0" borderId="0" applyFont="0" applyFill="0" applyBorder="0" applyAlignment="0" applyProtection="0"/>
    <xf numFmtId="193" fontId="7" fillId="0" borderId="0" applyFont="0" applyFill="0" applyBorder="0" applyAlignment="0" applyProtection="0"/>
    <xf numFmtId="193" fontId="7" fillId="0" borderId="0" applyFont="0" applyFill="0" applyBorder="0" applyAlignment="0" applyProtection="0"/>
    <xf numFmtId="193"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44" borderId="48" applyNumberFormat="0">
      <alignment vertical="center"/>
    </xf>
    <xf numFmtId="0" fontId="26" fillId="0" borderId="0" applyNumberFormat="0" applyFill="0" applyBorder="0" applyAlignment="0" applyProtection="0"/>
    <xf numFmtId="195" fontId="7" fillId="6" borderId="0" applyNumberFormat="0" applyFont="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196" fontId="59" fillId="0" borderId="0">
      <alignment horizontal="right" vertical="top"/>
    </xf>
    <xf numFmtId="197" fontId="60" fillId="0" borderId="0">
      <alignment horizontal="right" vertical="top"/>
    </xf>
    <xf numFmtId="0" fontId="59" fillId="0" borderId="0">
      <alignment horizontal="right" vertical="top"/>
    </xf>
    <xf numFmtId="0" fontId="60" fillId="0" borderId="0" applyFill="0" applyBorder="0">
      <alignment horizontal="right" vertical="top"/>
    </xf>
    <xf numFmtId="198" fontId="60" fillId="0" borderId="0" applyFill="0" applyBorder="0">
      <alignment horizontal="right" vertical="top"/>
    </xf>
    <xf numFmtId="199" fontId="60" fillId="0" borderId="0" applyFill="0" applyBorder="0">
      <alignment horizontal="right" vertical="top"/>
    </xf>
    <xf numFmtId="200" fontId="60" fillId="0" borderId="0" applyFill="0" applyBorder="0">
      <alignment horizontal="right" vertical="top"/>
    </xf>
    <xf numFmtId="0" fontId="61" fillId="0" borderId="0">
      <alignment horizontal="center" wrapText="1"/>
    </xf>
    <xf numFmtId="201" fontId="62" fillId="0" borderId="0" applyFill="0" applyBorder="0">
      <alignment vertical="top"/>
    </xf>
    <xf numFmtId="201" fontId="63" fillId="0" borderId="0" applyFill="0" applyBorder="0" applyProtection="0">
      <alignment vertical="top"/>
    </xf>
    <xf numFmtId="201" fontId="64" fillId="0" borderId="0">
      <alignment vertical="top"/>
    </xf>
    <xf numFmtId="173" fontId="60" fillId="0" borderId="0" applyFill="0" applyBorder="0" applyAlignment="0" applyProtection="0">
      <alignment horizontal="right" vertical="top"/>
    </xf>
    <xf numFmtId="201" fontId="53" fillId="0" borderId="0"/>
    <xf numFmtId="0" fontId="60" fillId="0" borderId="0" applyFill="0" applyBorder="0">
      <alignment horizontal="left" vertical="top"/>
    </xf>
    <xf numFmtId="202" fontId="7" fillId="0" borderId="0" applyFont="0" applyFill="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2" borderId="0" applyNumberFormat="0" applyBorder="0" applyAlignment="0" applyProtection="0"/>
    <xf numFmtId="184" fontId="8" fillId="0" borderId="0">
      <alignment vertical="top"/>
    </xf>
    <xf numFmtId="0" fontId="7" fillId="5" borderId="40" applyNumberFormat="0">
      <alignment vertical="center"/>
    </xf>
    <xf numFmtId="0" fontId="65" fillId="0" borderId="0" applyNumberFormat="0" applyFill="0" applyBorder="0" applyAlignment="0" applyProtection="0"/>
    <xf numFmtId="0" fontId="54" fillId="0" borderId="0"/>
    <xf numFmtId="0" fontId="26" fillId="0" borderId="0" applyNumberFormat="0" applyFill="0" applyBorder="0" applyAlignment="0" applyProtection="0"/>
    <xf numFmtId="0" fontId="26" fillId="0" borderId="0" applyNumberFormat="0" applyFill="0" applyBorder="0" applyAlignment="0" applyProtection="0"/>
    <xf numFmtId="188" fontId="66" fillId="0" borderId="0" applyNumberFormat="0" applyFill="0" applyBorder="0" applyAlignment="0" applyProtection="0"/>
    <xf numFmtId="0" fontId="5" fillId="0" borderId="0"/>
    <xf numFmtId="183" fontId="5" fillId="0" borderId="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67" fillId="5" borderId="49" applyNumberFormat="0">
      <alignment vertical="center"/>
    </xf>
    <xf numFmtId="0" fontId="27" fillId="17" borderId="0" applyNumberFormat="0" applyBorder="0" applyAlignment="0" applyProtection="0"/>
    <xf numFmtId="0" fontId="24" fillId="16" borderId="0" applyNumberFormat="0" applyBorder="0" applyAlignment="0" applyProtection="0"/>
    <xf numFmtId="0" fontId="27" fillId="17" borderId="0" applyNumberFormat="0" applyBorder="0" applyAlignment="0" applyProtection="0"/>
    <xf numFmtId="195" fontId="68" fillId="0" borderId="0" applyNumberFormat="0" applyFill="0" applyBorder="0" applyAlignment="0" applyProtection="0"/>
    <xf numFmtId="0" fontId="69" fillId="45" borderId="0"/>
    <xf numFmtId="0" fontId="18" fillId="46" borderId="0" applyNumberFormat="0" applyFill="0" applyBorder="0" applyAlignment="0" applyProtection="0"/>
    <xf numFmtId="0" fontId="70" fillId="11" borderId="0" applyNumberFormat="0" applyFill="0" applyBorder="0" applyAlignment="0" applyProtection="0"/>
    <xf numFmtId="0" fontId="30" fillId="0" borderId="36" applyNumberFormat="0" applyFill="0" applyAlignment="0" applyProtection="0"/>
    <xf numFmtId="0" fontId="7" fillId="0" borderId="0" applyFill="0" applyBorder="0"/>
    <xf numFmtId="0" fontId="71" fillId="0" borderId="0" applyFill="0" applyBorder="0" applyProtection="0">
      <alignment horizontal="right"/>
    </xf>
    <xf numFmtId="0" fontId="36" fillId="0" borderId="0" applyNumberFormat="0" applyFill="0" applyBorder="0" applyAlignment="0" applyProtection="0"/>
    <xf numFmtId="0" fontId="43" fillId="33" borderId="38" applyNumberFormat="0" applyFont="0" applyAlignment="0" applyProtection="0"/>
    <xf numFmtId="0" fontId="43" fillId="33" borderId="38" applyNumberFormat="0" applyFont="0" applyAlignment="0" applyProtection="0"/>
    <xf numFmtId="0" fontId="24" fillId="16" borderId="0" applyNumberFormat="0" applyBorder="0" applyAlignment="0" applyProtection="0"/>
    <xf numFmtId="203" fontId="58" fillId="0" borderId="0" applyFont="0" applyBorder="0" applyAlignment="0"/>
    <xf numFmtId="0" fontId="72" fillId="0" borderId="0" applyNumberFormat="0" applyFill="0" applyBorder="0" applyAlignment="0" applyProtection="0"/>
    <xf numFmtId="0" fontId="27" fillId="17" borderId="0" applyNumberFormat="0" applyBorder="0" applyAlignment="0" applyProtection="0"/>
    <xf numFmtId="0" fontId="24" fillId="16" borderId="0" applyNumberFormat="0" applyBorder="0" applyAlignment="0" applyProtection="0"/>
    <xf numFmtId="0" fontId="31" fillId="20" borderId="39" applyNumberFormat="0" applyAlignment="0" applyProtection="0"/>
    <xf numFmtId="184" fontId="73" fillId="0" borderId="0">
      <alignment vertical="top"/>
    </xf>
    <xf numFmtId="0" fontId="74" fillId="35" borderId="50"/>
    <xf numFmtId="181" fontId="75" fillId="35" borderId="44" applyNumberFormat="0">
      <alignment vertical="center"/>
      <protection locked="0"/>
    </xf>
    <xf numFmtId="0" fontId="75" fillId="47" borderId="44" applyNumberFormat="0">
      <alignment vertical="center"/>
      <protection locked="0"/>
    </xf>
    <xf numFmtId="0" fontId="76" fillId="2" borderId="46" applyNumberFormat="0" applyAlignment="0">
      <alignment horizontal="left"/>
      <protection locked="0"/>
    </xf>
    <xf numFmtId="0" fontId="76" fillId="2" borderId="46" applyNumberFormat="0" applyAlignment="0">
      <alignment horizontal="left"/>
      <protection locked="0"/>
    </xf>
    <xf numFmtId="0" fontId="76" fillId="2" borderId="46" applyNumberFormat="0" applyAlignment="0">
      <alignment horizontal="left"/>
      <protection locked="0"/>
    </xf>
    <xf numFmtId="0" fontId="76" fillId="2" borderId="46" applyNumberFormat="0" applyAlignment="0">
      <alignment horizontal="left"/>
      <protection locked="0"/>
    </xf>
    <xf numFmtId="0" fontId="7" fillId="35" borderId="51" applyNumberFormat="0" applyAlignment="0">
      <protection locked="0"/>
    </xf>
    <xf numFmtId="0" fontId="24" fillId="16" borderId="0" applyNumberFormat="0" applyBorder="0" applyAlignment="0" applyProtection="0"/>
    <xf numFmtId="0" fontId="77" fillId="0" borderId="0" applyNumberFormat="0" applyFill="0" applyBorder="0" applyProtection="0">
      <alignment horizontal="centerContinuous" wrapText="1"/>
    </xf>
    <xf numFmtId="0" fontId="36" fillId="0" borderId="0" applyNumberFormat="0" applyFill="0" applyBorder="0" applyAlignment="0" applyProtection="0"/>
    <xf numFmtId="0" fontId="34" fillId="34" borderId="40" applyNumberFormat="0" applyAlignment="0" applyProtection="0"/>
    <xf numFmtId="0" fontId="31" fillId="20" borderId="39" applyNumberFormat="0" applyAlignment="0" applyProtection="0"/>
    <xf numFmtId="0" fontId="21" fillId="0" borderId="47" applyNumberFormat="0" applyFill="0" applyAlignment="0" applyProtection="0"/>
    <xf numFmtId="165" fontId="2" fillId="0" borderId="0" applyFont="0" applyFill="0" applyBorder="0" applyAlignment="0" applyProtection="0"/>
    <xf numFmtId="165" fontId="43" fillId="0" borderId="0" applyFont="0" applyFill="0" applyBorder="0" applyAlignment="0" applyProtection="0"/>
    <xf numFmtId="165" fontId="2" fillId="0" borderId="0" applyFont="0" applyFill="0" applyBorder="0" applyAlignment="0" applyProtection="0"/>
    <xf numFmtId="0" fontId="19" fillId="41" borderId="42" applyNumberFormat="0" applyAlignment="0" applyProtection="0"/>
    <xf numFmtId="0" fontId="19" fillId="41" borderId="42" applyNumberFormat="0" applyAlignment="0" applyProtection="0"/>
    <xf numFmtId="0" fontId="19" fillId="41" borderId="42" applyNumberFormat="0" applyAlignment="0" applyProtection="0"/>
    <xf numFmtId="38" fontId="78" fillId="0" borderId="0"/>
    <xf numFmtId="38" fontId="79" fillId="0" borderId="0"/>
    <xf numFmtId="38" fontId="80" fillId="0" borderId="0"/>
    <xf numFmtId="38" fontId="81" fillId="0" borderId="0"/>
    <xf numFmtId="0" fontId="37" fillId="0" borderId="0"/>
    <xf numFmtId="0" fontId="37" fillId="0" borderId="0"/>
    <xf numFmtId="184" fontId="70" fillId="0" borderId="0" applyFont="0">
      <alignment vertical="top"/>
    </xf>
    <xf numFmtId="0" fontId="32" fillId="0" borderId="43" applyNumberFormat="0" applyFill="0" applyAlignment="0" applyProtection="0"/>
    <xf numFmtId="0" fontId="82" fillId="0" borderId="0" applyNumberFormat="0" applyFill="0" applyBorder="0" applyAlignment="0" applyProtection="0"/>
    <xf numFmtId="0" fontId="25" fillId="34" borderId="39" applyNumberFormat="0" applyAlignment="0" applyProtection="0"/>
    <xf numFmtId="0" fontId="32" fillId="0" borderId="43" applyNumberFormat="0" applyFill="0" applyAlignment="0" applyProtection="0"/>
    <xf numFmtId="0" fontId="32" fillId="0" borderId="43" applyNumberFormat="0" applyFill="0" applyAlignment="0" applyProtection="0"/>
    <xf numFmtId="0" fontId="32" fillId="0" borderId="43" applyNumberFormat="0" applyFill="0" applyAlignment="0" applyProtection="0"/>
    <xf numFmtId="204" fontId="83" fillId="0" borderId="0" applyFill="0">
      <alignment horizontal="center"/>
    </xf>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2" borderId="0" applyNumberFormat="0" applyBorder="0" applyAlignment="0" applyProtection="0"/>
    <xf numFmtId="0" fontId="43" fillId="33" borderId="38" applyNumberFormat="0" applyFont="0" applyAlignment="0" applyProtection="0"/>
    <xf numFmtId="0" fontId="84" fillId="0" borderId="0" applyNumberFormat="0" applyFill="0" applyBorder="0" applyAlignment="0" applyProtection="0"/>
    <xf numFmtId="164" fontId="58" fillId="0" borderId="0" applyFont="0" applyFill="0" applyBorder="0" applyAlignment="0" applyProtection="0"/>
    <xf numFmtId="164" fontId="7" fillId="0" borderId="0" applyFont="0" applyFill="0" applyBorder="0" applyAlignment="0" applyProtection="0"/>
    <xf numFmtId="164" fontId="4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4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3"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3" fontId="7" fillId="0" borderId="0" applyFont="0" applyFill="0" applyBorder="0" applyAlignment="0" applyProtection="0"/>
    <xf numFmtId="174" fontId="7" fillId="0" borderId="0" applyFont="0" applyFill="0" applyBorder="0" applyAlignment="0" applyProtection="0"/>
    <xf numFmtId="0" fontId="85" fillId="0" borderId="0" applyNumberFormat="0" applyFill="0">
      <alignment vertical="center"/>
    </xf>
    <xf numFmtId="0" fontId="7" fillId="0" borderId="0" applyFont="0" applyFill="0" applyBorder="0" applyAlignment="0" applyProtection="0"/>
    <xf numFmtId="0" fontId="7" fillId="0" borderId="0" applyFont="0" applyFill="0" applyBorder="0" applyAlignment="0" applyProtection="0"/>
    <xf numFmtId="0" fontId="75" fillId="37" borderId="52" applyNumberFormat="0" applyFont="0" applyFill="0" applyAlignment="0" applyProtection="0">
      <alignment vertical="center"/>
      <protection locked="0"/>
    </xf>
    <xf numFmtId="0" fontId="86" fillId="0" borderId="0" applyNumberFormat="0" applyBorder="0">
      <alignment horizontal="left" vertical="top"/>
    </xf>
    <xf numFmtId="0" fontId="75" fillId="37" borderId="52" applyNumberFormat="0" applyFont="0" applyFill="0" applyAlignment="0" applyProtection="0">
      <alignment vertical="center"/>
      <protection locked="0"/>
    </xf>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43" fillId="0" borderId="0"/>
    <xf numFmtId="0" fontId="43" fillId="0" borderId="0"/>
    <xf numFmtId="166" fontId="58" fillId="0" borderId="0"/>
    <xf numFmtId="0" fontId="5" fillId="0" borderId="0"/>
    <xf numFmtId="0" fontId="5" fillId="0" borderId="0"/>
    <xf numFmtId="0" fontId="5" fillId="0" borderId="0"/>
    <xf numFmtId="0" fontId="1" fillId="0" borderId="0"/>
    <xf numFmtId="0" fontId="5" fillId="0" borderId="0"/>
    <xf numFmtId="0" fontId="43" fillId="0" borderId="0"/>
    <xf numFmtId="0" fontId="43" fillId="0" borderId="0"/>
    <xf numFmtId="0" fontId="5" fillId="0" borderId="0"/>
    <xf numFmtId="0" fontId="5" fillId="0" borderId="0"/>
    <xf numFmtId="0" fontId="5" fillId="0" borderId="0"/>
    <xf numFmtId="0" fontId="5" fillId="0" borderId="0"/>
    <xf numFmtId="0" fontId="5" fillId="0" borderId="0"/>
    <xf numFmtId="0" fontId="5" fillId="0" borderId="0"/>
    <xf numFmtId="0" fontId="111" fillId="0" borderId="0"/>
    <xf numFmtId="0" fontId="7" fillId="0" borderId="0"/>
    <xf numFmtId="0" fontId="43" fillId="0" borderId="0"/>
    <xf numFmtId="0" fontId="43" fillId="0" borderId="0"/>
    <xf numFmtId="0" fontId="43" fillId="0" borderId="0"/>
    <xf numFmtId="0" fontId="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xf numFmtId="0" fontId="1" fillId="0" borderId="0"/>
    <xf numFmtId="0" fontId="43" fillId="0" borderId="0"/>
    <xf numFmtId="0" fontId="1" fillId="0" borderId="0"/>
    <xf numFmtId="0" fontId="43" fillId="0" borderId="0"/>
    <xf numFmtId="0" fontId="1" fillId="0" borderId="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1" fillId="0" borderId="0"/>
    <xf numFmtId="0" fontId="87" fillId="0" borderId="0"/>
    <xf numFmtId="0" fontId="112" fillId="0" borderId="0"/>
    <xf numFmtId="0" fontId="7" fillId="0" borderId="0"/>
    <xf numFmtId="0" fontId="7" fillId="0" borderId="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87" fillId="0" borderId="0"/>
    <xf numFmtId="0" fontId="43" fillId="0" borderId="0"/>
    <xf numFmtId="0" fontId="7" fillId="0" borderId="0" applyBorder="0"/>
    <xf numFmtId="0" fontId="7" fillId="0" borderId="0" applyBorder="0"/>
    <xf numFmtId="0" fontId="7" fillId="0" borderId="0" applyBorder="0"/>
    <xf numFmtId="0" fontId="7" fillId="0" borderId="0" applyBorder="0"/>
    <xf numFmtId="0" fontId="7" fillId="0" borderId="0" applyBorder="0"/>
    <xf numFmtId="0" fontId="7" fillId="0" borderId="0"/>
    <xf numFmtId="0" fontId="88" fillId="0" borderId="0"/>
    <xf numFmtId="0" fontId="88" fillId="0" borderId="0"/>
    <xf numFmtId="0" fontId="88" fillId="0" borderId="0"/>
    <xf numFmtId="0" fontId="7" fillId="0" borderId="0"/>
    <xf numFmtId="0" fontId="89" fillId="0" borderId="0"/>
    <xf numFmtId="0" fontId="7" fillId="33" borderId="38" applyNumberFormat="0" applyFont="0" applyAlignment="0" applyProtection="0"/>
    <xf numFmtId="0" fontId="7" fillId="33" borderId="38" applyNumberFormat="0" applyFont="0" applyAlignment="0" applyProtection="0"/>
    <xf numFmtId="195" fontId="90" fillId="0" borderId="0" applyNumberFormat="0" applyFill="0" applyBorder="0" applyAlignment="0" applyProtection="0"/>
    <xf numFmtId="0" fontId="2" fillId="33" borderId="38" applyNumberFormat="0" applyFont="0" applyAlignment="0" applyProtection="0"/>
    <xf numFmtId="205" fontId="7" fillId="0" borderId="0" applyFont="0" applyFill="0" applyBorder="0" applyAlignment="0" applyProtection="0"/>
    <xf numFmtId="0" fontId="7" fillId="0" borderId="37"/>
    <xf numFmtId="0" fontId="7" fillId="0" borderId="0" applyFont="0" applyFill="0" applyBorder="0" applyAlignment="0" applyProtection="0"/>
    <xf numFmtId="14" fontId="7" fillId="0" borderId="0" applyFont="0" applyFill="0" applyBorder="0" applyAlignment="0" applyProtection="0"/>
    <xf numFmtId="0" fontId="7" fillId="0" borderId="0" applyFont="0" applyFill="0" applyBorder="0" applyAlignment="0" applyProtection="0"/>
    <xf numFmtId="178" fontId="91" fillId="0" borderId="37" applyBorder="0"/>
    <xf numFmtId="1" fontId="7" fillId="0" borderId="0" applyFont="0" applyFill="0" applyBorder="0" applyAlignment="0" applyProtection="0"/>
    <xf numFmtId="0" fontId="35" fillId="0" borderId="0" applyNumberFormat="0" applyFill="0" applyBorder="0" applyAlignment="0" applyProtection="0"/>
    <xf numFmtId="0" fontId="28" fillId="0" borderId="34" applyNumberFormat="0" applyFill="0" applyAlignment="0" applyProtection="0"/>
    <xf numFmtId="0" fontId="29" fillId="0" borderId="35" applyNumberFormat="0" applyFill="0" applyAlignment="0" applyProtection="0"/>
    <xf numFmtId="0" fontId="30" fillId="0" borderId="36" applyNumberFormat="0" applyFill="0" applyAlignment="0" applyProtection="0"/>
    <xf numFmtId="0" fontId="30" fillId="0" borderId="0" applyNumberFormat="0" applyFill="0" applyBorder="0" applyAlignment="0" applyProtection="0"/>
    <xf numFmtId="0" fontId="34" fillId="34" borderId="40" applyNumberFormat="0" applyAlignment="0" applyProtection="0"/>
    <xf numFmtId="0" fontId="28" fillId="0" borderId="34" applyNumberFormat="0" applyFill="0" applyAlignment="0" applyProtection="0"/>
    <xf numFmtId="0" fontId="29" fillId="0" borderId="35" applyNumberFormat="0" applyFill="0" applyAlignment="0" applyProtection="0"/>
    <xf numFmtId="0" fontId="30" fillId="0" borderId="36" applyNumberFormat="0" applyFill="0" applyAlignment="0" applyProtection="0"/>
    <xf numFmtId="0" fontId="30" fillId="0" borderId="0" applyNumberFormat="0" applyFill="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2" borderId="0" applyNumberFormat="0" applyBorder="0" applyAlignment="0" applyProtection="0"/>
    <xf numFmtId="0" fontId="43" fillId="33" borderId="38" applyNumberFormat="0" applyFon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8" fillId="0" borderId="34" applyNumberFormat="0" applyFill="0" applyAlignment="0" applyProtection="0"/>
    <xf numFmtId="0" fontId="29" fillId="0" borderId="35" applyNumberFormat="0" applyFill="0" applyAlignment="0" applyProtection="0"/>
    <xf numFmtId="0" fontId="30" fillId="0" borderId="36" applyNumberFormat="0" applyFill="0" applyAlignment="0" applyProtection="0"/>
    <xf numFmtId="0" fontId="30" fillId="0" borderId="0" applyNumberFormat="0" applyFill="0" applyBorder="0" applyAlignment="0" applyProtection="0"/>
    <xf numFmtId="0" fontId="54" fillId="0" borderId="0"/>
    <xf numFmtId="9" fontId="43" fillId="0" borderId="0" applyFont="0" applyFill="0" applyBorder="0" applyAlignment="0" applyProtection="0"/>
    <xf numFmtId="10" fontId="4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4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7" fillId="0" borderId="0" applyFont="0" applyFill="0" applyBorder="0" applyAlignment="0" applyProtection="0"/>
    <xf numFmtId="0" fontId="92" fillId="0" borderId="53">
      <alignment horizontal="center"/>
    </xf>
    <xf numFmtId="0" fontId="70" fillId="0" borderId="12" applyFont="0">
      <alignment horizontal="right"/>
    </xf>
    <xf numFmtId="0" fontId="93" fillId="0" borderId="54">
      <alignment horizontal="center"/>
    </xf>
    <xf numFmtId="0" fontId="93" fillId="0" borderId="54">
      <alignment horizontal="center"/>
    </xf>
    <xf numFmtId="0" fontId="93" fillId="0" borderId="54">
      <alignment horizontal="center"/>
    </xf>
    <xf numFmtId="9" fontId="43"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43" fillId="0" borderId="0" applyFont="0" applyFill="0" applyBorder="0" applyAlignment="0" applyProtection="0"/>
    <xf numFmtId="9" fontId="7" fillId="0" borderId="0" applyFont="0" applyFill="0" applyBorder="0" applyAlignment="0" applyProtection="0"/>
    <xf numFmtId="0" fontId="94" fillId="49" borderId="55" applyNumberFormat="0" applyFont="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0" borderId="0" applyFill="0" applyBorder="0" applyProtection="0">
      <alignment vertical="center"/>
    </xf>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2" borderId="0" applyNumberFormat="0" applyBorder="0" applyAlignment="0" applyProtection="0"/>
    <xf numFmtId="0" fontId="35" fillId="0" borderId="0" applyNumberFormat="0" applyFill="0" applyBorder="0" applyAlignment="0" applyProtection="0"/>
    <xf numFmtId="0" fontId="28" fillId="0" borderId="34" applyNumberFormat="0" applyFill="0" applyAlignment="0" applyProtection="0"/>
    <xf numFmtId="0" fontId="29" fillId="0" borderId="35" applyNumberFormat="0" applyFill="0" applyAlignment="0" applyProtection="0"/>
    <xf numFmtId="0" fontId="30" fillId="0" borderId="36" applyNumberFormat="0" applyFill="0" applyAlignment="0" applyProtection="0"/>
    <xf numFmtId="0" fontId="30" fillId="0" borderId="0" applyNumberFormat="0" applyFill="0" applyBorder="0" applyAlignment="0" applyProtection="0"/>
    <xf numFmtId="0" fontId="95" fillId="0" borderId="0" applyNumberFormat="0" applyFill="0" applyBorder="0" applyAlignment="0" applyProtection="0"/>
    <xf numFmtId="0" fontId="34" fillId="34" borderId="40" applyNumberFormat="0" applyAlignment="0" applyProtection="0"/>
    <xf numFmtId="0" fontId="32" fillId="0" borderId="43" applyNumberFormat="0" applyFill="0" applyAlignment="0" applyProtection="0"/>
    <xf numFmtId="4" fontId="93" fillId="35" borderId="40" applyNumberFormat="0" applyProtection="0">
      <alignment vertical="center"/>
    </xf>
    <xf numFmtId="4" fontId="96" fillId="35" borderId="40" applyNumberFormat="0" applyProtection="0">
      <alignment vertical="center"/>
    </xf>
    <xf numFmtId="4" fontId="93" fillId="35" borderId="40" applyNumberFormat="0" applyProtection="0">
      <alignment horizontal="left" vertical="center" indent="1"/>
    </xf>
    <xf numFmtId="4" fontId="93" fillId="35" borderId="40" applyNumberFormat="0" applyProtection="0">
      <alignment horizontal="left" vertical="center" indent="1"/>
    </xf>
    <xf numFmtId="0" fontId="7" fillId="40" borderId="40" applyNumberFormat="0" applyProtection="0">
      <alignment horizontal="left" vertical="center" indent="1"/>
    </xf>
    <xf numFmtId="4" fontId="93" fillId="50" borderId="40" applyNumberFormat="0" applyProtection="0">
      <alignment horizontal="right" vertical="center"/>
    </xf>
    <xf numFmtId="4" fontId="93" fillId="42" borderId="40" applyNumberFormat="0" applyProtection="0">
      <alignment horizontal="right" vertical="center"/>
    </xf>
    <xf numFmtId="4" fontId="93" fillId="51" borderId="40" applyNumberFormat="0" applyProtection="0">
      <alignment horizontal="right" vertical="center"/>
    </xf>
    <xf numFmtId="4" fontId="93" fillId="44" borderId="40" applyNumberFormat="0" applyProtection="0">
      <alignment horizontal="right" vertical="center"/>
    </xf>
    <xf numFmtId="4" fontId="93" fillId="52" borderId="40" applyNumberFormat="0" applyProtection="0">
      <alignment horizontal="right" vertical="center"/>
    </xf>
    <xf numFmtId="4" fontId="93" fillId="53" borderId="40" applyNumberFormat="0" applyProtection="0">
      <alignment horizontal="right" vertical="center"/>
    </xf>
    <xf numFmtId="4" fontId="93" fillId="54" borderId="40" applyNumberFormat="0" applyProtection="0">
      <alignment horizontal="right" vertical="center"/>
    </xf>
    <xf numFmtId="4" fontId="93" fillId="55" borderId="40" applyNumberFormat="0" applyProtection="0">
      <alignment horizontal="right" vertical="center"/>
    </xf>
    <xf numFmtId="4" fontId="93" fillId="56" borderId="40" applyNumberFormat="0" applyProtection="0">
      <alignment horizontal="right" vertical="center"/>
    </xf>
    <xf numFmtId="4" fontId="92" fillId="57" borderId="40" applyNumberFormat="0" applyProtection="0">
      <alignment horizontal="left" vertical="center" indent="1"/>
    </xf>
    <xf numFmtId="4" fontId="93" fillId="58" borderId="56" applyNumberFormat="0" applyProtection="0">
      <alignment horizontal="left" vertical="center" indent="1"/>
    </xf>
    <xf numFmtId="4" fontId="97" fillId="59" borderId="0" applyNumberFormat="0" applyProtection="0">
      <alignment horizontal="left" vertical="center" indent="1"/>
    </xf>
    <xf numFmtId="0" fontId="7" fillId="40" borderId="40" applyNumberFormat="0" applyProtection="0">
      <alignment horizontal="left" vertical="center" indent="1"/>
    </xf>
    <xf numFmtId="4" fontId="93" fillId="58" borderId="40" applyNumberFormat="0" applyProtection="0">
      <alignment horizontal="left" vertical="center" indent="1"/>
    </xf>
    <xf numFmtId="4" fontId="93" fillId="60" borderId="40" applyNumberFormat="0" applyProtection="0">
      <alignment horizontal="left" vertical="center" indent="1"/>
    </xf>
    <xf numFmtId="0" fontId="7" fillId="60" borderId="40" applyNumberFormat="0" applyProtection="0">
      <alignment horizontal="left" vertical="center" indent="1"/>
    </xf>
    <xf numFmtId="0" fontId="7" fillId="60" borderId="40" applyNumberFormat="0" applyProtection="0">
      <alignment horizontal="left" vertical="center" indent="1"/>
    </xf>
    <xf numFmtId="0" fontId="7" fillId="61" borderId="40" applyNumberFormat="0" applyProtection="0">
      <alignment horizontal="left" vertical="center" indent="1"/>
    </xf>
    <xf numFmtId="0" fontId="7" fillId="61" borderId="40" applyNumberFormat="0" applyProtection="0">
      <alignment horizontal="left" vertical="center" indent="1"/>
    </xf>
    <xf numFmtId="0" fontId="7" fillId="5" borderId="40" applyNumberFormat="0" applyProtection="0">
      <alignment horizontal="left" vertical="center" indent="1"/>
    </xf>
    <xf numFmtId="0" fontId="7" fillId="5" borderId="40" applyNumberFormat="0" applyProtection="0">
      <alignment horizontal="left" vertical="center" indent="1"/>
    </xf>
    <xf numFmtId="0" fontId="7" fillId="40" borderId="40" applyNumberFormat="0" applyProtection="0">
      <alignment horizontal="left" vertical="center" indent="1"/>
    </xf>
    <xf numFmtId="0" fontId="7" fillId="40" borderId="40" applyNumberFormat="0" applyProtection="0">
      <alignment horizontal="left" vertical="center" indent="1"/>
    </xf>
    <xf numFmtId="4" fontId="93" fillId="2" borderId="40" applyNumberFormat="0" applyProtection="0">
      <alignment vertical="center"/>
    </xf>
    <xf numFmtId="4" fontId="96" fillId="2" borderId="40" applyNumberFormat="0" applyProtection="0">
      <alignment vertical="center"/>
    </xf>
    <xf numFmtId="4" fontId="93" fillId="2" borderId="40" applyNumberFormat="0" applyProtection="0">
      <alignment horizontal="left" vertical="center" indent="1"/>
    </xf>
    <xf numFmtId="4" fontId="93" fillId="2" borderId="40" applyNumberFormat="0" applyProtection="0">
      <alignment horizontal="left" vertical="center" indent="1"/>
    </xf>
    <xf numFmtId="4" fontId="93" fillId="58" borderId="40" applyNumberFormat="0" applyProtection="0">
      <alignment horizontal="right" vertical="center"/>
    </xf>
    <xf numFmtId="4" fontId="96" fillId="58" borderId="40" applyNumberFormat="0" applyProtection="0">
      <alignment horizontal="right" vertical="center"/>
    </xf>
    <xf numFmtId="0" fontId="7" fillId="40" borderId="40" applyNumberFormat="0" applyProtection="0">
      <alignment horizontal="left" vertical="center" indent="1"/>
    </xf>
    <xf numFmtId="0" fontId="7" fillId="40" borderId="40" applyNumberFormat="0" applyProtection="0">
      <alignment horizontal="left" vertical="center" indent="1"/>
    </xf>
    <xf numFmtId="0" fontId="98" fillId="0" borderId="0"/>
    <xf numFmtId="4" fontId="99" fillId="58" borderId="40" applyNumberFormat="0" applyProtection="0">
      <alignment horizontal="right" vertical="center"/>
    </xf>
    <xf numFmtId="0" fontId="27" fillId="17" borderId="0" applyNumberFormat="0" applyBorder="0" applyAlignment="0" applyProtection="0"/>
    <xf numFmtId="0" fontId="24" fillId="16" borderId="0" applyNumberFormat="0" applyBorder="0" applyAlignment="0" applyProtection="0"/>
    <xf numFmtId="181" fontId="52" fillId="42" borderId="0">
      <alignment vertical="center"/>
    </xf>
    <xf numFmtId="0" fontId="26" fillId="0" borderId="0" applyNumberFormat="0" applyFill="0" applyBorder="0" applyAlignment="0" applyProtection="0"/>
    <xf numFmtId="0" fontId="26" fillId="0" borderId="0" applyNumberFormat="0" applyFill="0" applyBorder="0" applyAlignment="0" applyProtection="0"/>
    <xf numFmtId="181" fontId="18" fillId="62" borderId="0"/>
    <xf numFmtId="0" fontId="31" fillId="20" borderId="39" applyNumberFormat="0" applyAlignment="0" applyProtection="0"/>
    <xf numFmtId="0" fontId="25" fillId="34" borderId="39" applyNumberFormat="0" applyAlignment="0" applyProtection="0"/>
    <xf numFmtId="0" fontId="100" fillId="0" borderId="0" applyNumberFormat="0" applyFill="0" applyBorder="0" applyAlignment="0" applyProtection="0"/>
    <xf numFmtId="0" fontId="34" fillId="34" borderId="40" applyNumberFormat="0" applyAlignment="0" applyProtection="0"/>
    <xf numFmtId="0" fontId="5" fillId="56" borderId="41" applyNumberFormat="0">
      <alignment horizontal="center" vertical="center"/>
      <protection locked="0"/>
    </xf>
    <xf numFmtId="0" fontId="43" fillId="0" borderId="0"/>
    <xf numFmtId="0" fontId="43" fillId="0" borderId="0"/>
    <xf numFmtId="0" fontId="1" fillId="0" borderId="0"/>
    <xf numFmtId="0" fontId="101" fillId="0" borderId="33" applyNumberFormat="0" applyFill="0" applyBorder="0" applyAlignment="0" applyProtection="0">
      <alignment horizontal="left"/>
    </xf>
    <xf numFmtId="14" fontId="102" fillId="0" borderId="17" applyNumberFormat="0" applyFill="0" applyBorder="0" applyAlignment="0" applyProtection="0">
      <alignment horizontal="center"/>
    </xf>
    <xf numFmtId="0" fontId="7" fillId="0" borderId="0"/>
    <xf numFmtId="0" fontId="103" fillId="0" borderId="0">
      <alignment horizontal="center" vertical="center"/>
    </xf>
    <xf numFmtId="0" fontId="7" fillId="0" borderId="0" applyNumberFormat="0" applyFill="0" applyBorder="0" applyAlignment="0" applyProtection="0"/>
    <xf numFmtId="0" fontId="58" fillId="0" borderId="32" applyFont="0" applyFill="0" applyAlignment="0" applyProtection="0"/>
    <xf numFmtId="195" fontId="104" fillId="0" borderId="57" applyNumberFormat="0" applyFont="0" applyFill="0" applyAlignment="0" applyProtection="0"/>
    <xf numFmtId="0" fontId="21" fillId="0" borderId="47" applyNumberFormat="0" applyFill="0" applyAlignment="0" applyProtection="0"/>
    <xf numFmtId="0" fontId="21" fillId="0" borderId="47" applyNumberFormat="0" applyFill="0" applyAlignment="0" applyProtection="0"/>
    <xf numFmtId="0" fontId="32" fillId="0" borderId="43" applyNumberFormat="0" applyFill="0" applyAlignment="0" applyProtection="0"/>
    <xf numFmtId="0" fontId="31" fillId="20" borderId="39" applyNumberFormat="0" applyAlignment="0" applyProtection="0"/>
    <xf numFmtId="0" fontId="94" fillId="0" borderId="58" applyNumberFormat="0" applyFont="0" applyFill="0" applyAlignment="0" applyProtection="0">
      <alignment horizontal="right"/>
    </xf>
    <xf numFmtId="0" fontId="19" fillId="41" borderId="42" applyNumberFormat="0" applyAlignment="0" applyProtection="0"/>
    <xf numFmtId="0" fontId="26" fillId="0" borderId="0" applyNumberFormat="0" applyFill="0" applyBorder="0" applyAlignment="0" applyProtection="0"/>
    <xf numFmtId="0" fontId="36" fillId="0" borderId="0" applyNumberFormat="0" applyFill="0" applyBorder="0" applyAlignment="0" applyProtection="0"/>
    <xf numFmtId="0" fontId="26" fillId="0" borderId="0" applyNumberFormat="0" applyFill="0" applyBorder="0" applyAlignment="0" applyProtection="0"/>
    <xf numFmtId="0" fontId="58" fillId="0" borderId="0" applyFont="0" applyFill="0" applyBorder="0" applyAlignment="0" applyProtection="0"/>
    <xf numFmtId="0" fontId="19" fillId="41" borderId="42" applyNumberFormat="0" applyAlignment="0" applyProtection="0"/>
    <xf numFmtId="0" fontId="105" fillId="63" borderId="0"/>
    <xf numFmtId="0" fontId="35" fillId="0" borderId="0" applyNumberFormat="0" applyFill="0" applyBorder="0" applyAlignment="0" applyProtection="0"/>
    <xf numFmtId="181" fontId="52" fillId="64" borderId="0" applyNumberFormat="0">
      <alignment vertical="center"/>
    </xf>
    <xf numFmtId="181" fontId="106" fillId="37" borderId="0" applyNumberFormat="0">
      <alignment vertical="center"/>
    </xf>
    <xf numFmtId="181" fontId="107" fillId="0" borderId="0" applyNumberFormat="0">
      <alignment vertical="center"/>
    </xf>
    <xf numFmtId="181" fontId="18" fillId="0" borderId="0" applyNumberFormat="0">
      <alignment vertical="center"/>
    </xf>
    <xf numFmtId="0" fontId="35" fillId="0" borderId="0" applyNumberFormat="0" applyFill="0" applyBorder="0" applyAlignment="0" applyProtection="0"/>
    <xf numFmtId="0" fontId="35" fillId="0" borderId="0" applyNumberFormat="0" applyFill="0" applyBorder="0" applyAlignment="0" applyProtection="0"/>
    <xf numFmtId="0" fontId="28" fillId="0" borderId="34" applyNumberFormat="0" applyFill="0" applyAlignment="0" applyProtection="0"/>
    <xf numFmtId="0" fontId="29" fillId="0" borderId="35" applyNumberFormat="0" applyFill="0" applyAlignment="0" applyProtection="0"/>
    <xf numFmtId="0" fontId="30" fillId="0" borderId="36" applyNumberFormat="0" applyFill="0" applyAlignment="0" applyProtection="0"/>
    <xf numFmtId="0" fontId="30" fillId="0" borderId="0" applyNumberFormat="0" applyFill="0" applyBorder="0" applyAlignment="0" applyProtection="0"/>
    <xf numFmtId="0" fontId="35" fillId="0" borderId="0" applyNumberFormat="0" applyFill="0" applyBorder="0" applyAlignment="0" applyProtection="0"/>
    <xf numFmtId="0" fontId="108" fillId="0" borderId="0">
      <alignment vertical="center"/>
    </xf>
    <xf numFmtId="0" fontId="35" fillId="0" borderId="0" applyNumberFormat="0" applyFill="0" applyBorder="0" applyAlignment="0" applyProtection="0"/>
    <xf numFmtId="0" fontId="28" fillId="0" borderId="34" applyNumberFormat="0" applyFill="0" applyAlignment="0" applyProtection="0"/>
    <xf numFmtId="0" fontId="29" fillId="0" borderId="35" applyNumberFormat="0" applyFill="0" applyAlignment="0" applyProtection="0"/>
    <xf numFmtId="0" fontId="30" fillId="0" borderId="36" applyNumberFormat="0" applyFill="0" applyAlignment="0" applyProtection="0"/>
    <xf numFmtId="188" fontId="99" fillId="0" borderId="0" applyNumberFormat="0" applyFill="0" applyBorder="0" applyAlignment="0" applyProtection="0"/>
    <xf numFmtId="195" fontId="104" fillId="0" borderId="59" applyNumberFormat="0" applyFont="0" applyFill="0" applyAlignment="0" applyProtection="0"/>
    <xf numFmtId="0" fontId="21" fillId="0" borderId="47" applyNumberFormat="0" applyFill="0" applyAlignment="0" applyProtection="0"/>
    <xf numFmtId="0" fontId="21" fillId="0" borderId="47" applyNumberFormat="0" applyFill="0" applyAlignment="0" applyProtection="0"/>
    <xf numFmtId="0" fontId="21" fillId="0" borderId="47" applyNumberFormat="0" applyFill="0" applyAlignment="0" applyProtection="0"/>
    <xf numFmtId="0" fontId="21" fillId="0" borderId="47" applyNumberFormat="0" applyFill="0" applyAlignment="0" applyProtection="0"/>
    <xf numFmtId="0" fontId="58" fillId="0" borderId="60" applyFont="0" applyFill="0" applyAlignment="0" applyProtection="0"/>
    <xf numFmtId="0" fontId="105" fillId="63" borderId="0"/>
    <xf numFmtId="0" fontId="34" fillId="34" borderId="40" applyNumberFormat="0" applyAlignment="0" applyProtection="0"/>
    <xf numFmtId="0" fontId="35" fillId="0" borderId="0" applyNumberFormat="0" applyFill="0" applyBorder="0" applyAlignment="0" applyProtection="0"/>
    <xf numFmtId="0" fontId="28" fillId="0" borderId="34" applyNumberFormat="0" applyFill="0" applyAlignment="0" applyProtection="0"/>
    <xf numFmtId="0" fontId="29" fillId="0" borderId="35" applyNumberFormat="0" applyFill="0" applyAlignment="0" applyProtection="0"/>
    <xf numFmtId="0" fontId="30" fillId="0" borderId="36" applyNumberFormat="0" applyFill="0" applyAlignment="0" applyProtection="0"/>
    <xf numFmtId="0" fontId="30" fillId="0" borderId="0" applyNumberFormat="0" applyFill="0" applyBorder="0" applyAlignment="0" applyProtection="0"/>
    <xf numFmtId="0" fontId="35" fillId="0" borderId="0" applyNumberFormat="0" applyFill="0" applyBorder="0" applyAlignment="0" applyProtection="0"/>
    <xf numFmtId="0" fontId="24" fillId="16" borderId="0" applyNumberFormat="0" applyBorder="0" applyAlignment="0" applyProtection="0"/>
    <xf numFmtId="181" fontId="5" fillId="65" borderId="0" applyNumberFormat="0" applyFont="0" applyBorder="0" applyAlignment="0" applyProtection="0"/>
    <xf numFmtId="0" fontId="109" fillId="0" borderId="0">
      <alignment vertical="center"/>
    </xf>
    <xf numFmtId="0" fontId="34" fillId="34" borderId="40" applyNumberFormat="0" applyAlignment="0" applyProtection="0"/>
    <xf numFmtId="0" fontId="34" fillId="34" borderId="40" applyNumberFormat="0" applyAlignment="0" applyProtection="0"/>
    <xf numFmtId="206" fontId="58" fillId="0" borderId="0" applyFont="0" applyFill="0" applyBorder="0" applyAlignment="0" applyProtection="0"/>
    <xf numFmtId="207" fontId="43"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9" fillId="41" borderId="42" applyNumberFormat="0" applyAlignment="0" applyProtection="0"/>
    <xf numFmtId="0" fontId="32" fillId="0" borderId="43" applyNumberFormat="0" applyFill="0" applyAlignment="0" applyProtection="0"/>
    <xf numFmtId="0" fontId="110" fillId="0" borderId="0" applyNumberFormat="0" applyFill="0" applyBorder="0" applyAlignment="0" applyProtection="0"/>
    <xf numFmtId="208" fontId="43" fillId="0" borderId="0" applyFont="0" applyFill="0" applyBorder="0" applyAlignment="0" applyProtection="0"/>
    <xf numFmtId="209" fontId="43"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41" fillId="0" borderId="0"/>
    <xf numFmtId="0" fontId="7" fillId="23" borderId="0" applyNumberFormat="0" applyFont="0" applyBorder="0" applyAlignment="0" applyProtection="0"/>
    <xf numFmtId="0" fontId="19" fillId="41" borderId="42"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4" fillId="0" borderId="0"/>
    <xf numFmtId="0" fontId="22" fillId="12" borderId="0" applyNumberFormat="0" applyBorder="0" applyAlignment="0" applyProtection="0"/>
    <xf numFmtId="0" fontId="5" fillId="0" borderId="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184" fontId="5" fillId="39" borderId="41" applyNumberFormat="0" applyFont="0" applyAlignment="0">
      <alignment vertical="center"/>
    </xf>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4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3"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43" fillId="0" borderId="0" applyFont="0" applyFill="0" applyBorder="0" applyAlignment="0" applyProtection="0"/>
    <xf numFmtId="183" fontId="5" fillId="0" borderId="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1" fontId="7" fillId="0" borderId="0" applyFont="0" applyFill="0" applyBorder="0" applyAlignment="0" applyProtection="0"/>
    <xf numFmtId="41" fontId="43"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14" fillId="0" borderId="0"/>
    <xf numFmtId="0" fontId="14" fillId="0" borderId="0"/>
    <xf numFmtId="0" fontId="5" fillId="0" borderId="0"/>
    <xf numFmtId="0" fontId="5" fillId="0" borderId="0"/>
    <xf numFmtId="0" fontId="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56" borderId="41" applyNumberFormat="0">
      <alignment horizontal="center" vertical="center"/>
      <protection locked="0"/>
    </xf>
    <xf numFmtId="0" fontId="1" fillId="0" borderId="0"/>
    <xf numFmtId="43" fontId="2" fillId="0" borderId="0" applyFont="0" applyFill="0" applyBorder="0" applyAlignment="0" applyProtection="0"/>
    <xf numFmtId="181" fontId="5" fillId="65" borderId="0" applyNumberFormat="0" applyFont="0" applyBorder="0" applyAlignment="0" applyProtection="0"/>
    <xf numFmtId="0" fontId="1" fillId="0" borderId="0"/>
    <xf numFmtId="17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3" fillId="15" borderId="0" applyNumberFormat="0" applyBorder="0" applyAlignment="0" applyProtection="0"/>
    <xf numFmtId="0" fontId="113" fillId="16" borderId="0" applyNumberFormat="0" applyBorder="0" applyAlignment="0" applyProtection="0"/>
    <xf numFmtId="0" fontId="113" fillId="17"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4" fillId="15" borderId="0" applyNumberFormat="0" applyBorder="0" applyAlignment="0" applyProtection="0"/>
    <xf numFmtId="0" fontId="114" fillId="16" borderId="0" applyNumberFormat="0" applyBorder="0" applyAlignment="0" applyProtection="0"/>
    <xf numFmtId="0" fontId="114" fillId="17" borderId="0" applyNumberFormat="0" applyBorder="0" applyAlignment="0" applyProtection="0"/>
    <xf numFmtId="0" fontId="114" fillId="18" borderId="0" applyNumberFormat="0" applyBorder="0" applyAlignment="0" applyProtection="0"/>
    <xf numFmtId="0" fontId="114" fillId="19" borderId="0" applyNumberFormat="0" applyBorder="0" applyAlignment="0" applyProtection="0"/>
    <xf numFmtId="0" fontId="114" fillId="20" borderId="0" applyNumberFormat="0" applyBorder="0" applyAlignment="0" applyProtection="0"/>
    <xf numFmtId="0" fontId="113" fillId="21" borderId="0" applyNumberFormat="0" applyBorder="0" applyAlignment="0" applyProtection="0"/>
    <xf numFmtId="0" fontId="113" fillId="22" borderId="0" applyNumberFormat="0" applyBorder="0" applyAlignment="0" applyProtection="0"/>
    <xf numFmtId="0" fontId="113" fillId="23" borderId="0" applyNumberFormat="0" applyBorder="0" applyAlignment="0" applyProtection="0"/>
    <xf numFmtId="0" fontId="113" fillId="18" borderId="0" applyNumberFormat="0" applyBorder="0" applyAlignment="0" applyProtection="0"/>
    <xf numFmtId="0" fontId="113" fillId="21" borderId="0" applyNumberFormat="0" applyBorder="0" applyAlignment="0" applyProtection="0"/>
    <xf numFmtId="0" fontId="113" fillId="24" borderId="0" applyNumberFormat="0" applyBorder="0" applyAlignment="0" applyProtection="0"/>
    <xf numFmtId="0" fontId="114" fillId="21" borderId="0" applyNumberFormat="0" applyBorder="0" applyAlignment="0" applyProtection="0"/>
    <xf numFmtId="0" fontId="114" fillId="22" borderId="0" applyNumberFormat="0" applyBorder="0" applyAlignment="0" applyProtection="0"/>
    <xf numFmtId="0" fontId="114" fillId="23" borderId="0" applyNumberFormat="0" applyBorder="0" applyAlignment="0" applyProtection="0"/>
    <xf numFmtId="0" fontId="114" fillId="18" borderId="0" applyNumberFormat="0" applyBorder="0" applyAlignment="0" applyProtection="0"/>
    <xf numFmtId="0" fontId="114" fillId="21" borderId="0" applyNumberFormat="0" applyBorder="0" applyAlignment="0" applyProtection="0"/>
    <xf numFmtId="0" fontId="114" fillId="24" borderId="0" applyNumberFormat="0" applyBorder="0" applyAlignment="0" applyProtection="0"/>
    <xf numFmtId="0" fontId="20" fillId="2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115" fillId="25" borderId="0" applyNumberFormat="0" applyBorder="0" applyAlignment="0" applyProtection="0"/>
    <xf numFmtId="0" fontId="115" fillId="22" borderId="0" applyNumberFormat="0" applyBorder="0" applyAlignment="0" applyProtection="0"/>
    <xf numFmtId="0" fontId="115" fillId="23" borderId="0" applyNumberFormat="0" applyBorder="0" applyAlignment="0" applyProtection="0"/>
    <xf numFmtId="0" fontId="115" fillId="26" borderId="0" applyNumberFormat="0" applyBorder="0" applyAlignment="0" applyProtection="0"/>
    <xf numFmtId="0" fontId="115" fillId="27" borderId="0" applyNumberFormat="0" applyBorder="0" applyAlignment="0" applyProtection="0"/>
    <xf numFmtId="0" fontId="115" fillId="28" borderId="0" applyNumberFormat="0" applyBorder="0" applyAlignment="0" applyProtection="0"/>
    <xf numFmtId="0" fontId="20" fillId="25" borderId="0" applyNumberFormat="0" applyBorder="0" applyAlignment="0" applyProtection="0"/>
    <xf numFmtId="0" fontId="116" fillId="25" borderId="0" applyNumberFormat="0" applyBorder="0" applyAlignment="0" applyProtection="0"/>
    <xf numFmtId="0" fontId="20" fillId="22" borderId="0" applyNumberFormat="0" applyBorder="0" applyAlignment="0" applyProtection="0"/>
    <xf numFmtId="0" fontId="116" fillId="22" borderId="0" applyNumberFormat="0" applyBorder="0" applyAlignment="0" applyProtection="0"/>
    <xf numFmtId="0" fontId="20" fillId="23" borderId="0" applyNumberFormat="0" applyBorder="0" applyAlignment="0" applyProtection="0"/>
    <xf numFmtId="0" fontId="116" fillId="23" borderId="0" applyNumberFormat="0" applyBorder="0" applyAlignment="0" applyProtection="0"/>
    <xf numFmtId="0" fontId="20" fillId="26" borderId="0" applyNumberFormat="0" applyBorder="0" applyAlignment="0" applyProtection="0"/>
    <xf numFmtId="0" fontId="116" fillId="26" borderId="0" applyNumberFormat="0" applyBorder="0" applyAlignment="0" applyProtection="0"/>
    <xf numFmtId="0" fontId="20" fillId="27" borderId="0" applyNumberFormat="0" applyBorder="0" applyAlignment="0" applyProtection="0"/>
    <xf numFmtId="0" fontId="116" fillId="27" borderId="0" applyNumberFormat="0" applyBorder="0" applyAlignment="0" applyProtection="0"/>
    <xf numFmtId="0" fontId="20" fillId="28" borderId="0" applyNumberFormat="0" applyBorder="0" applyAlignment="0" applyProtection="0"/>
    <xf numFmtId="0" fontId="116" fillId="28"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25" fillId="34" borderId="39" applyNumberFormat="0" applyAlignment="0" applyProtection="0"/>
    <xf numFmtId="0" fontId="117" fillId="34" borderId="39" applyNumberFormat="0" applyAlignment="0" applyProtection="0"/>
    <xf numFmtId="0" fontId="36" fillId="0" borderId="0" applyNumberFormat="0" applyFill="0" applyBorder="0" applyAlignment="0" applyProtection="0"/>
    <xf numFmtId="0" fontId="118" fillId="20" borderId="39" applyNumberFormat="0" applyAlignment="0" applyProtection="0"/>
    <xf numFmtId="0" fontId="25" fillId="34" borderId="39" applyNumberFormat="0" applyAlignment="0" applyProtection="0"/>
    <xf numFmtId="0" fontId="32" fillId="0" borderId="43" applyNumberFormat="0" applyFill="0" applyAlignment="0" applyProtection="0"/>
    <xf numFmtId="0" fontId="119" fillId="0" borderId="0" applyNumberFormat="0" applyFill="0" applyBorder="0" applyAlignment="0" applyProtection="0"/>
    <xf numFmtId="0" fontId="120" fillId="0" borderId="34" applyNumberFormat="0" applyFill="0" applyAlignment="0" applyProtection="0"/>
    <xf numFmtId="0" fontId="121" fillId="0" borderId="35" applyNumberFormat="0" applyFill="0" applyAlignment="0" applyProtection="0"/>
    <xf numFmtId="0" fontId="122" fillId="0" borderId="36" applyNumberFormat="0" applyFill="0" applyAlignment="0" applyProtection="0"/>
    <xf numFmtId="0" fontId="122" fillId="0" borderId="0" applyNumberForma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4" fillId="0" borderId="0" applyFont="0" applyFill="0" applyBorder="0" applyAlignment="0" applyProtection="0"/>
    <xf numFmtId="0" fontId="123" fillId="33" borderId="38" applyNumberFormat="0" applyFont="0" applyAlignment="0" applyProtection="0"/>
    <xf numFmtId="0" fontId="124" fillId="41" borderId="42" applyNumberFormat="0" applyAlignment="0" applyProtection="0"/>
    <xf numFmtId="0" fontId="31" fillId="20" borderId="39" applyNumberFormat="0" applyAlignment="0" applyProtection="0"/>
    <xf numFmtId="210" fontId="7" fillId="0" borderId="0" applyFont="0" applyFill="0" applyBorder="0" applyAlignment="0" applyProtection="0"/>
    <xf numFmtId="192" fontId="7" fillId="0" borderId="0" applyFont="0" applyFill="0" applyBorder="0" applyAlignment="0" applyProtection="0"/>
    <xf numFmtId="211" fontId="7" fillId="0" borderId="0" applyFont="0" applyFill="0" applyBorder="0" applyAlignment="0" applyProtection="0"/>
    <xf numFmtId="0" fontId="125" fillId="0" borderId="0" applyNumberFormat="0" applyFill="0" applyBorder="0" applyAlignment="0" applyProtection="0"/>
    <xf numFmtId="0" fontId="24" fillId="16" borderId="0" applyNumberFormat="0" applyBorder="0" applyAlignment="0" applyProtection="0"/>
    <xf numFmtId="0" fontId="126" fillId="16" borderId="0" applyNumberFormat="0" applyBorder="0" applyAlignment="0" applyProtection="0"/>
    <xf numFmtId="0" fontId="27" fillId="17" borderId="0" applyNumberFormat="0" applyBorder="0" applyAlignment="0" applyProtection="0"/>
    <xf numFmtId="0" fontId="127" fillId="17" borderId="0" applyNumberFormat="0" applyBorder="0" applyAlignment="0" applyProtection="0"/>
    <xf numFmtId="0" fontId="128" fillId="0" borderId="43" applyNumberFormat="0" applyFill="0" applyAlignment="0" applyProtection="0"/>
    <xf numFmtId="0" fontId="36" fillId="0" borderId="0" applyNumberFormat="0" applyFill="0" applyBorder="0" applyAlignment="0" applyProtection="0"/>
    <xf numFmtId="0" fontId="129" fillId="0" borderId="0" applyNumberFormat="0" applyFill="0" applyBorder="0" applyAlignment="0" applyProtection="0"/>
    <xf numFmtId="0" fontId="24" fillId="16" borderId="0" applyNumberFormat="0" applyBorder="0" applyAlignment="0" applyProtection="0"/>
    <xf numFmtId="0" fontId="130" fillId="33" borderId="38" applyNumberFormat="0" applyFont="0" applyAlignment="0" applyProtection="0"/>
    <xf numFmtId="0" fontId="115" fillId="29" borderId="0" applyNumberFormat="0" applyBorder="0" applyAlignment="0" applyProtection="0"/>
    <xf numFmtId="0" fontId="115" fillId="30" borderId="0" applyNumberFormat="0" applyBorder="0" applyAlignment="0" applyProtection="0"/>
    <xf numFmtId="0" fontId="115" fillId="31" borderId="0" applyNumberFormat="0" applyBorder="0" applyAlignment="0" applyProtection="0"/>
    <xf numFmtId="0" fontId="115" fillId="26" borderId="0" applyNumberFormat="0" applyBorder="0" applyAlignment="0" applyProtection="0"/>
    <xf numFmtId="0" fontId="115" fillId="27" borderId="0" applyNumberFormat="0" applyBorder="0" applyAlignment="0" applyProtection="0"/>
    <xf numFmtId="0" fontId="115" fillId="32" borderId="0" applyNumberFormat="0" applyBorder="0" applyAlignment="0" applyProtection="0"/>
    <xf numFmtId="0" fontId="131" fillId="17" borderId="0" applyNumberFormat="0" applyBorder="0" applyAlignment="0" applyProtection="0"/>
    <xf numFmtId="0" fontId="132" fillId="34" borderId="40" applyNumberFormat="0" applyAlignment="0" applyProtection="0"/>
    <xf numFmtId="0" fontId="21" fillId="0" borderId="47" applyNumberFormat="0" applyFill="0" applyAlignment="0" applyProtection="0"/>
    <xf numFmtId="0" fontId="133" fillId="0" borderId="47" applyNumberFormat="0" applyFill="0" applyAlignment="0" applyProtection="0"/>
    <xf numFmtId="0" fontId="19" fillId="41" borderId="42" applyNumberFormat="0" applyAlignment="0" applyProtection="0"/>
    <xf numFmtId="0" fontId="134" fillId="41" borderId="42" applyNumberFormat="0" applyAlignment="0" applyProtection="0"/>
    <xf numFmtId="0" fontId="32" fillId="0" borderId="43" applyNumberFormat="0" applyFill="0" applyAlignment="0" applyProtection="0"/>
    <xf numFmtId="0" fontId="135" fillId="0" borderId="43" applyNumberFormat="0" applyFill="0" applyAlignment="0" applyProtection="0"/>
    <xf numFmtId="0" fontId="136" fillId="0" borderId="0" applyNumberFormat="0" applyFill="0" applyBorder="0" applyAlignment="0" applyProtection="0"/>
    <xf numFmtId="0" fontId="43" fillId="33" borderId="38" applyNumberFormat="0" applyFont="0" applyAlignment="0" applyProtection="0"/>
    <xf numFmtId="0" fontId="137" fillId="33" borderId="38" applyNumberFormat="0" applyFont="0" applyAlignment="0" applyProtection="0"/>
    <xf numFmtId="165" fontId="5" fillId="0" borderId="0" applyFont="0" applyFill="0" applyBorder="0" applyAlignment="0" applyProtection="0"/>
    <xf numFmtId="166" fontId="7" fillId="0" borderId="0" applyFont="0" applyFill="0" applyBorder="0" applyAlignment="0" applyProtection="0"/>
    <xf numFmtId="0" fontId="33" fillId="48" borderId="0" applyNumberFormat="0" applyBorder="0" applyAlignment="0" applyProtection="0"/>
    <xf numFmtId="0" fontId="138" fillId="48" borderId="0" applyNumberFormat="0" applyBorder="0" applyAlignment="0" applyProtection="0"/>
    <xf numFmtId="0" fontId="33" fillId="48" borderId="0" applyNumberFormat="0" applyBorder="0" applyAlignment="0" applyProtection="0"/>
    <xf numFmtId="0" fontId="130" fillId="0" borderId="0"/>
    <xf numFmtId="0" fontId="43" fillId="0" borderId="0"/>
    <xf numFmtId="0" fontId="7" fillId="0" borderId="0"/>
    <xf numFmtId="0" fontId="14" fillId="0" borderId="0"/>
    <xf numFmtId="0" fontId="14" fillId="0" borderId="0"/>
    <xf numFmtId="0" fontId="14" fillId="0" borderId="0"/>
    <xf numFmtId="0" fontId="14" fillId="0" borderId="0"/>
    <xf numFmtId="0" fontId="14" fillId="0" borderId="0"/>
    <xf numFmtId="0" fontId="23" fillId="0" borderId="0"/>
    <xf numFmtId="0" fontId="23" fillId="0" borderId="0"/>
    <xf numFmtId="0" fontId="23" fillId="0" borderId="0"/>
    <xf numFmtId="0" fontId="23" fillId="0" borderId="0"/>
    <xf numFmtId="0" fontId="23" fillId="0" borderId="0"/>
    <xf numFmtId="0" fontId="23" fillId="0" borderId="0"/>
    <xf numFmtId="0" fontId="5" fillId="0" borderId="0"/>
    <xf numFmtId="0" fontId="139" fillId="0" borderId="0"/>
    <xf numFmtId="0" fontId="2" fillId="0" borderId="0"/>
    <xf numFmtId="0" fontId="5" fillId="0" borderId="0"/>
    <xf numFmtId="0" fontId="14" fillId="0" borderId="0"/>
    <xf numFmtId="0" fontId="140" fillId="0" borderId="47" applyNumberFormat="0" applyFill="0" applyAlignment="0" applyProtection="0"/>
    <xf numFmtId="0" fontId="43" fillId="33" borderId="38" applyNumberFormat="0" applyFont="0" applyAlignment="0" applyProtection="0"/>
    <xf numFmtId="0" fontId="137" fillId="33" borderId="38" applyNumberFormat="0" applyFont="0" applyAlignment="0" applyProtection="0"/>
    <xf numFmtId="0" fontId="28" fillId="0" borderId="34" applyNumberFormat="0" applyFill="0" applyAlignment="0" applyProtection="0"/>
    <xf numFmtId="0" fontId="141" fillId="0" borderId="34" applyNumberFormat="0" applyFill="0" applyAlignment="0" applyProtection="0"/>
    <xf numFmtId="0" fontId="29" fillId="0" borderId="35" applyNumberFormat="0" applyFill="0" applyAlignment="0" applyProtection="0"/>
    <xf numFmtId="0" fontId="142" fillId="0" borderId="35" applyNumberFormat="0" applyFill="0" applyAlignment="0" applyProtection="0"/>
    <xf numFmtId="0" fontId="30" fillId="0" borderId="36" applyNumberFormat="0" applyFill="0" applyAlignment="0" applyProtection="0"/>
    <xf numFmtId="0" fontId="143" fillId="0" borderId="36" applyNumberFormat="0" applyFill="0" applyAlignment="0" applyProtection="0"/>
    <xf numFmtId="0" fontId="30" fillId="0" borderId="0" applyNumberFormat="0" applyFill="0" applyBorder="0" applyAlignment="0" applyProtection="0"/>
    <xf numFmtId="0" fontId="143" fillId="0" borderId="0" applyNumberFormat="0" applyFill="0" applyBorder="0" applyAlignment="0" applyProtection="0"/>
    <xf numFmtId="0" fontId="35" fillId="0" borderId="0" applyNumberFormat="0" applyFill="0" applyBorder="0" applyAlignment="0" applyProtection="0"/>
    <xf numFmtId="0" fontId="144"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20" fillId="29" borderId="0" applyNumberFormat="0" applyBorder="0" applyAlignment="0" applyProtection="0"/>
    <xf numFmtId="0" fontId="116" fillId="29" borderId="0" applyNumberFormat="0" applyBorder="0" applyAlignment="0" applyProtection="0"/>
    <xf numFmtId="0" fontId="20" fillId="30" borderId="0" applyNumberFormat="0" applyBorder="0" applyAlignment="0" applyProtection="0"/>
    <xf numFmtId="0" fontId="116" fillId="30" borderId="0" applyNumberFormat="0" applyBorder="0" applyAlignment="0" applyProtection="0"/>
    <xf numFmtId="0" fontId="20" fillId="31" borderId="0" applyNumberFormat="0" applyBorder="0" applyAlignment="0" applyProtection="0"/>
    <xf numFmtId="0" fontId="116" fillId="31" borderId="0" applyNumberFormat="0" applyBorder="0" applyAlignment="0" applyProtection="0"/>
    <xf numFmtId="0" fontId="20" fillId="26" borderId="0" applyNumberFormat="0" applyBorder="0" applyAlignment="0" applyProtection="0"/>
    <xf numFmtId="0" fontId="116" fillId="26" borderId="0" applyNumberFormat="0" applyBorder="0" applyAlignment="0" applyProtection="0"/>
    <xf numFmtId="0" fontId="20" fillId="27" borderId="0" applyNumberFormat="0" applyBorder="0" applyAlignment="0" applyProtection="0"/>
    <xf numFmtId="0" fontId="116" fillId="27" borderId="0" applyNumberFormat="0" applyBorder="0" applyAlignment="0" applyProtection="0"/>
    <xf numFmtId="0" fontId="20" fillId="32" borderId="0" applyNumberFormat="0" applyBorder="0" applyAlignment="0" applyProtection="0"/>
    <xf numFmtId="0" fontId="116" fillId="32" borderId="0" applyNumberFormat="0" applyBorder="0" applyAlignment="0" applyProtection="0"/>
    <xf numFmtId="0" fontId="145" fillId="16" borderId="0" applyNumberFormat="0" applyBorder="0" applyAlignment="0" applyProtection="0"/>
    <xf numFmtId="0" fontId="27" fillId="17" borderId="0" applyNumberFormat="0" applyBorder="0" applyAlignment="0" applyProtection="0"/>
    <xf numFmtId="0" fontId="26" fillId="0" borderId="0" applyNumberFormat="0" applyFill="0" applyBorder="0" applyAlignment="0" applyProtection="0"/>
    <xf numFmtId="0" fontId="146" fillId="0" borderId="0" applyNumberFormat="0" applyFill="0" applyBorder="0" applyAlignment="0" applyProtection="0"/>
    <xf numFmtId="0" fontId="147" fillId="48" borderId="0" applyNumberFormat="0" applyBorder="0" applyAlignment="0" applyProtection="0"/>
    <xf numFmtId="0" fontId="31" fillId="20" borderId="39" applyNumberFormat="0" applyAlignment="0" applyProtection="0"/>
    <xf numFmtId="0" fontId="148" fillId="20" borderId="39" applyNumberFormat="0" applyAlignment="0" applyProtection="0"/>
    <xf numFmtId="0" fontId="34" fillId="34" borderId="40" applyNumberFormat="0" applyAlignment="0" applyProtection="0"/>
    <xf numFmtId="0" fontId="7" fillId="0" borderId="0"/>
    <xf numFmtId="0" fontId="149" fillId="34" borderId="39" applyNumberFormat="0" applyAlignment="0" applyProtection="0"/>
    <xf numFmtId="9" fontId="2" fillId="0" borderId="0" applyFont="0" applyFill="0" applyBorder="0" applyAlignment="0" applyProtection="0"/>
    <xf numFmtId="9" fontId="130" fillId="0" borderId="0" applyFont="0" applyFill="0" applyBorder="0" applyAlignment="0" applyProtection="0"/>
    <xf numFmtId="0" fontId="26" fillId="0" borderId="0" applyNumberFormat="0" applyFill="0" applyBorder="0" applyAlignment="0" applyProtection="0"/>
    <xf numFmtId="0" fontId="35" fillId="0" borderId="0" applyNumberFormat="0" applyFill="0" applyBorder="0" applyAlignment="0" applyProtection="0"/>
    <xf numFmtId="0" fontId="28" fillId="0" borderId="34" applyNumberFormat="0" applyFill="0" applyAlignment="0" applyProtection="0"/>
    <xf numFmtId="0" fontId="29" fillId="0" borderId="35" applyNumberFormat="0" applyFill="0" applyAlignment="0" applyProtection="0"/>
    <xf numFmtId="0" fontId="30" fillId="0" borderId="36" applyNumberFormat="0" applyFill="0" applyAlignment="0" applyProtection="0"/>
    <xf numFmtId="0" fontId="30" fillId="0" borderId="0" applyNumberFormat="0" applyFill="0" applyBorder="0" applyAlignment="0" applyProtection="0"/>
    <xf numFmtId="0" fontId="34" fillId="34" borderId="40" applyNumberFormat="0" applyAlignment="0" applyProtection="0"/>
    <xf numFmtId="0" fontId="150" fillId="34" borderId="40" applyNumberFormat="0" applyAlignment="0" applyProtection="0"/>
    <xf numFmtId="0" fontId="19" fillId="41" borderId="42" applyNumberFormat="0" applyAlignment="0" applyProtection="0"/>
    <xf numFmtId="0" fontId="23" fillId="0" borderId="0"/>
    <xf numFmtId="0" fontId="23" fillId="0" borderId="0"/>
    <xf numFmtId="0" fontId="23" fillId="0" borderId="0"/>
    <xf numFmtId="0" fontId="23" fillId="0" borderId="0"/>
    <xf numFmtId="0" fontId="151" fillId="66" borderId="0" applyNumberFormat="0" applyBorder="0" applyAlignment="0" applyProtection="0"/>
    <xf numFmtId="0" fontId="17" fillId="67" borderId="0" applyNumberFormat="0" applyBorder="0" applyAlignment="0" applyProtection="0"/>
    <xf numFmtId="0" fontId="17" fillId="68" borderId="0" applyNumberFormat="0" applyBorder="0" applyAlignment="0" applyProtection="0"/>
    <xf numFmtId="0" fontId="2" fillId="0" borderId="0"/>
    <xf numFmtId="43" fontId="1" fillId="0" borderId="0" applyFont="0" applyFill="0" applyBorder="0" applyAlignment="0" applyProtection="0"/>
    <xf numFmtId="216" fontId="168" fillId="0" borderId="62" applyAlignment="0">
      <alignment vertical="center"/>
    </xf>
    <xf numFmtId="0" fontId="169" fillId="0" borderId="0"/>
    <xf numFmtId="9" fontId="169" fillId="0" borderId="0" applyFont="0" applyFill="0" applyBorder="0" applyAlignment="0" applyProtection="0"/>
    <xf numFmtId="43" fontId="169" fillId="0" borderId="0" applyFont="0" applyFill="0" applyBorder="0" applyAlignment="0" applyProtection="0"/>
    <xf numFmtId="217" fontId="168" fillId="0" borderId="62" applyAlignment="0">
      <alignment vertical="center"/>
    </xf>
    <xf numFmtId="0" fontId="1" fillId="0" borderId="0"/>
    <xf numFmtId="180" fontId="170" fillId="79" borderId="62">
      <alignment horizontal="center" vertical="center"/>
    </xf>
    <xf numFmtId="0" fontId="169" fillId="0" borderId="0"/>
    <xf numFmtId="0" fontId="171" fillId="0" borderId="0" applyNumberFormat="0" applyFill="0" applyBorder="0" applyAlignment="0" applyProtection="0">
      <alignment vertical="top"/>
      <protection locked="0"/>
    </xf>
    <xf numFmtId="0" fontId="7" fillId="0" borderId="0"/>
    <xf numFmtId="0" fontId="172" fillId="0" borderId="0">
      <alignment vertical="center"/>
    </xf>
    <xf numFmtId="217" fontId="173" fillId="81" borderId="62" applyAlignment="0">
      <alignment vertical="center"/>
      <protection locked="0"/>
    </xf>
    <xf numFmtId="0" fontId="173" fillId="82" borderId="62" applyNumberFormat="0" applyAlignment="0">
      <alignment vertical="center"/>
    </xf>
    <xf numFmtId="0" fontId="7"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4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3"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1" fontId="7" fillId="0" borderId="0" applyFont="0" applyFill="0" applyBorder="0" applyAlignment="0" applyProtection="0"/>
    <xf numFmtId="41" fontId="43"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9"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4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3"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1" fontId="7" fillId="0" borderId="0" applyFont="0" applyFill="0" applyBorder="0" applyAlignment="0" applyProtection="0"/>
    <xf numFmtId="41" fontId="43"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69" fillId="0" borderId="0" applyFont="0" applyFill="0" applyBorder="0" applyAlignment="0" applyProtection="0"/>
    <xf numFmtId="0" fontId="1" fillId="0" borderId="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0" fontId="7" fillId="0" borderId="0"/>
    <xf numFmtId="0" fontId="5" fillId="0" borderId="0"/>
    <xf numFmtId="0" fontId="139" fillId="0" borderId="0"/>
    <xf numFmtId="0" fontId="2" fillId="0" borderId="0"/>
    <xf numFmtId="0" fontId="233" fillId="0" borderId="0"/>
    <xf numFmtId="9" fontId="2" fillId="0" borderId="0" applyFont="0" applyFill="0" applyBorder="0" applyAlignment="0" applyProtection="0"/>
    <xf numFmtId="0" fontId="7" fillId="33" borderId="38" applyNumberFormat="0" applyFont="0" applyAlignment="0" applyProtection="0"/>
    <xf numFmtId="0" fontId="43" fillId="33" borderId="38" applyNumberFormat="0" applyFont="0" applyAlignment="0" applyProtection="0"/>
    <xf numFmtId="0" fontId="25" fillId="34" borderId="39" applyNumberFormat="0" applyAlignment="0" applyProtection="0"/>
    <xf numFmtId="0" fontId="25" fillId="34" borderId="39" applyNumberFormat="0" applyAlignment="0" applyProtection="0"/>
    <xf numFmtId="0" fontId="25" fillId="34" borderId="39" applyNumberFormat="0" applyAlignment="0" applyProtection="0"/>
    <xf numFmtId="0" fontId="31" fillId="20" borderId="39" applyNumberFormat="0" applyAlignment="0" applyProtection="0"/>
    <xf numFmtId="0" fontId="31" fillId="20" borderId="39" applyNumberFormat="0" applyAlignment="0" applyProtection="0"/>
    <xf numFmtId="0" fontId="7" fillId="33" borderId="38" applyNumberFormat="0" applyFont="0" applyAlignment="0" applyProtection="0"/>
    <xf numFmtId="0" fontId="117" fillId="34" borderId="39" applyNumberFormat="0" applyAlignment="0" applyProtection="0"/>
    <xf numFmtId="0" fontId="43" fillId="33" borderId="38" applyNumberFormat="0" applyFont="0" applyAlignment="0" applyProtection="0"/>
    <xf numFmtId="0" fontId="25" fillId="34" borderId="39" applyNumberFormat="0" applyAlignment="0" applyProtection="0"/>
    <xf numFmtId="0" fontId="25" fillId="34" borderId="39" applyNumberFormat="0" applyAlignment="0" applyProtection="0"/>
    <xf numFmtId="0" fontId="7" fillId="5" borderId="40" applyNumberFormat="0">
      <alignment vertical="center"/>
    </xf>
    <xf numFmtId="0" fontId="25" fillId="34" borderId="39" applyNumberFormat="0" applyAlignment="0" applyProtection="0"/>
    <xf numFmtId="0" fontId="25" fillId="34" borderId="39" applyNumberFormat="0" applyAlignment="0" applyProtection="0"/>
    <xf numFmtId="0" fontId="43" fillId="33" borderId="38"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0" fontId="123" fillId="33" borderId="38" applyNumberFormat="0" applyFont="0" applyAlignment="0" applyProtection="0"/>
    <xf numFmtId="0" fontId="31" fillId="20" borderId="39" applyNumberFormat="0" applyAlignment="0" applyProtection="0"/>
    <xf numFmtId="0" fontId="74" fillId="35" borderId="50"/>
    <xf numFmtId="0" fontId="7" fillId="35" borderId="51" applyNumberFormat="0" applyAlignment="0">
      <protection locked="0"/>
    </xf>
    <xf numFmtId="0" fontId="34" fillId="34" borderId="40" applyNumberFormat="0" applyAlignment="0" applyProtection="0"/>
    <xf numFmtId="0" fontId="31" fillId="20" borderId="39" applyNumberFormat="0" applyAlignment="0" applyProtection="0"/>
    <xf numFmtId="0" fontId="31" fillId="20" borderId="39" applyNumberFormat="0" applyAlignment="0" applyProtection="0"/>
    <xf numFmtId="0" fontId="25" fillId="34" borderId="39" applyNumberFormat="0" applyAlignment="0" applyProtection="0"/>
    <xf numFmtId="181" fontId="53" fillId="42" borderId="22" applyNumberFormat="0" applyBorder="0" applyAlignment="0">
      <alignment vertical="center" wrapText="1"/>
    </xf>
    <xf numFmtId="0" fontId="7" fillId="5" borderId="40" applyNumberFormat="0">
      <alignment vertical="center"/>
    </xf>
    <xf numFmtId="0" fontId="31" fillId="20" borderId="39" applyNumberFormat="0" applyAlignment="0" applyProtection="0"/>
    <xf numFmtId="0" fontId="7" fillId="35" borderId="51" applyNumberFormat="0" applyAlignment="0">
      <protection locked="0"/>
    </xf>
    <xf numFmtId="0" fontId="7" fillId="33" borderId="38" applyNumberFormat="0" applyFont="0" applyAlignment="0" applyProtection="0"/>
    <xf numFmtId="0" fontId="34" fillId="34" borderId="40" applyNumberFormat="0" applyAlignment="0" applyProtection="0"/>
    <xf numFmtId="0" fontId="31" fillId="20" borderId="39" applyNumberFormat="0" applyAlignment="0" applyProtection="0"/>
    <xf numFmtId="0" fontId="133" fillId="0" borderId="47" applyNumberFormat="0" applyFill="0" applyAlignment="0" applyProtection="0"/>
    <xf numFmtId="0" fontId="7" fillId="33" borderId="38" applyNumberFormat="0" applyFont="0" applyAlignment="0" applyProtection="0"/>
    <xf numFmtId="0" fontId="25" fillId="34" borderId="39" applyNumberFormat="0" applyAlignment="0" applyProtection="0"/>
    <xf numFmtId="0" fontId="34" fillId="34" borderId="40" applyNumberFormat="0" applyAlignment="0" applyProtection="0"/>
    <xf numFmtId="0" fontId="137" fillId="33" borderId="38" applyNumberFormat="0" applyFont="0" applyAlignment="0" applyProtection="0"/>
    <xf numFmtId="0" fontId="7" fillId="33" borderId="38" applyNumberFormat="0" applyFont="0" applyAlignment="0" applyProtection="0"/>
    <xf numFmtId="0" fontId="7" fillId="33" borderId="38" applyNumberFormat="0" applyFont="0" applyAlignment="0" applyProtection="0"/>
    <xf numFmtId="0" fontId="34" fillId="34" borderId="40" applyNumberFormat="0" applyAlignment="0" applyProtection="0"/>
    <xf numFmtId="4" fontId="93" fillId="35" borderId="40" applyNumberFormat="0" applyProtection="0">
      <alignment vertical="center"/>
    </xf>
    <xf numFmtId="4" fontId="96" fillId="35" borderId="40" applyNumberFormat="0" applyProtection="0">
      <alignment vertical="center"/>
    </xf>
    <xf numFmtId="4" fontId="93" fillId="35" borderId="40" applyNumberFormat="0" applyProtection="0">
      <alignment horizontal="left" vertical="center" indent="1"/>
    </xf>
    <xf numFmtId="4" fontId="93" fillId="35" borderId="40" applyNumberFormat="0" applyProtection="0">
      <alignment horizontal="left" vertical="center" indent="1"/>
    </xf>
    <xf numFmtId="0" fontId="34" fillId="34" borderId="40" applyNumberFormat="0" applyAlignment="0" applyProtection="0"/>
    <xf numFmtId="0" fontId="7" fillId="40" borderId="40" applyNumberFormat="0" applyProtection="0">
      <alignment horizontal="left" vertical="center" indent="1"/>
    </xf>
    <xf numFmtId="4" fontId="93" fillId="50" borderId="40" applyNumberFormat="0" applyProtection="0">
      <alignment horizontal="right" vertical="center"/>
    </xf>
    <xf numFmtId="4" fontId="93" fillId="42" borderId="40" applyNumberFormat="0" applyProtection="0">
      <alignment horizontal="right" vertical="center"/>
    </xf>
    <xf numFmtId="4" fontId="93" fillId="51" borderId="40" applyNumberFormat="0" applyProtection="0">
      <alignment horizontal="right" vertical="center"/>
    </xf>
    <xf numFmtId="4" fontId="93" fillId="44" borderId="40" applyNumberFormat="0" applyProtection="0">
      <alignment horizontal="right" vertical="center"/>
    </xf>
    <xf numFmtId="4" fontId="93" fillId="52" borderId="40" applyNumberFormat="0" applyProtection="0">
      <alignment horizontal="right" vertical="center"/>
    </xf>
    <xf numFmtId="4" fontId="93" fillId="53" borderId="40" applyNumberFormat="0" applyProtection="0">
      <alignment horizontal="right" vertical="center"/>
    </xf>
    <xf numFmtId="4" fontId="93" fillId="54" borderId="40" applyNumberFormat="0" applyProtection="0">
      <alignment horizontal="right" vertical="center"/>
    </xf>
    <xf numFmtId="4" fontId="93" fillId="55" borderId="40" applyNumberFormat="0" applyProtection="0">
      <alignment horizontal="right" vertical="center"/>
    </xf>
    <xf numFmtId="4" fontId="93" fillId="56" borderId="40" applyNumberFormat="0" applyProtection="0">
      <alignment horizontal="right" vertical="center"/>
    </xf>
    <xf numFmtId="0" fontId="137" fillId="33" borderId="38" applyNumberFormat="0" applyFont="0" applyAlignment="0" applyProtection="0"/>
    <xf numFmtId="4" fontId="92" fillId="57" borderId="40" applyNumberFormat="0" applyProtection="0">
      <alignment horizontal="left" vertical="center" indent="1"/>
    </xf>
    <xf numFmtId="4" fontId="93" fillId="58" borderId="56" applyNumberFormat="0" applyProtection="0">
      <alignment horizontal="left" vertical="center" indent="1"/>
    </xf>
    <xf numFmtId="0" fontId="7" fillId="40" borderId="40" applyNumberFormat="0" applyProtection="0">
      <alignment horizontal="left" vertical="center" indent="1"/>
    </xf>
    <xf numFmtId="4" fontId="93" fillId="58" borderId="40" applyNumberFormat="0" applyProtection="0">
      <alignment horizontal="left" vertical="center" indent="1"/>
    </xf>
    <xf numFmtId="4" fontId="93" fillId="60" borderId="40" applyNumberFormat="0" applyProtection="0">
      <alignment horizontal="left" vertical="center" indent="1"/>
    </xf>
    <xf numFmtId="0" fontId="7" fillId="60" borderId="40" applyNumberFormat="0" applyProtection="0">
      <alignment horizontal="left" vertical="center" indent="1"/>
    </xf>
    <xf numFmtId="0" fontId="7" fillId="61" borderId="40" applyNumberFormat="0" applyProtection="0">
      <alignment horizontal="left" vertical="center" indent="1"/>
    </xf>
    <xf numFmtId="0" fontId="7" fillId="61" borderId="40" applyNumberFormat="0" applyProtection="0">
      <alignment horizontal="left" vertical="center" indent="1"/>
    </xf>
    <xf numFmtId="0" fontId="7" fillId="5" borderId="40" applyNumberFormat="0" applyProtection="0">
      <alignment horizontal="left" vertical="center" indent="1"/>
    </xf>
    <xf numFmtId="0" fontId="7" fillId="5" borderId="40" applyNumberFormat="0" applyProtection="0">
      <alignment horizontal="left" vertical="center" indent="1"/>
    </xf>
    <xf numFmtId="0" fontId="7" fillId="40" borderId="40" applyNumberFormat="0" applyProtection="0">
      <alignment horizontal="left" vertical="center" indent="1"/>
    </xf>
    <xf numFmtId="0" fontId="7" fillId="40" borderId="40" applyNumberFormat="0" applyProtection="0">
      <alignment horizontal="left" vertical="center" indent="1"/>
    </xf>
    <xf numFmtId="4" fontId="93" fillId="2" borderId="40" applyNumberFormat="0" applyProtection="0">
      <alignment vertical="center"/>
    </xf>
    <xf numFmtId="4" fontId="96" fillId="2" borderId="40" applyNumberFormat="0" applyProtection="0">
      <alignment vertical="center"/>
    </xf>
    <xf numFmtId="4" fontId="93" fillId="2" borderId="40" applyNumberFormat="0" applyProtection="0">
      <alignment horizontal="left" vertical="center" indent="1"/>
    </xf>
    <xf numFmtId="4" fontId="93" fillId="2" borderId="40" applyNumberFormat="0" applyProtection="0">
      <alignment horizontal="left" vertical="center" indent="1"/>
    </xf>
    <xf numFmtId="4" fontId="93" fillId="58" borderId="40" applyNumberFormat="0" applyProtection="0">
      <alignment horizontal="right" vertical="center"/>
    </xf>
    <xf numFmtId="4" fontId="96" fillId="58" borderId="40" applyNumberFormat="0" applyProtection="0">
      <alignment horizontal="right" vertical="center"/>
    </xf>
    <xf numFmtId="0" fontId="7" fillId="40" borderId="40" applyNumberFormat="0" applyProtection="0">
      <alignment horizontal="left" vertical="center" indent="1"/>
    </xf>
    <xf numFmtId="0" fontId="7" fillId="40" borderId="40" applyNumberFormat="0" applyProtection="0">
      <alignment horizontal="left" vertical="center" indent="1"/>
    </xf>
    <xf numFmtId="4" fontId="99" fillId="58" borderId="40" applyNumberFormat="0" applyProtection="0">
      <alignment horizontal="right" vertical="center"/>
    </xf>
    <xf numFmtId="0" fontId="25" fillId="34" borderId="39" applyNumberFormat="0" applyAlignment="0" applyProtection="0"/>
    <xf numFmtId="0" fontId="34" fillId="34" borderId="40" applyNumberFormat="0" applyAlignment="0" applyProtection="0"/>
    <xf numFmtId="0" fontId="21" fillId="0" borderId="47" applyNumberFormat="0" applyFill="0" applyAlignment="0" applyProtection="0"/>
    <xf numFmtId="0" fontId="21" fillId="0" borderId="47" applyNumberFormat="0" applyFill="0" applyAlignment="0" applyProtection="0"/>
    <xf numFmtId="0" fontId="31" fillId="20" borderId="39" applyNumberFormat="0" applyAlignment="0" applyProtection="0"/>
    <xf numFmtId="0" fontId="34" fillId="34" borderId="40" applyNumberFormat="0" applyAlignment="0" applyProtection="0"/>
    <xf numFmtId="4" fontId="93" fillId="35" borderId="40" applyNumberFormat="0" applyProtection="0">
      <alignment vertical="center"/>
    </xf>
    <xf numFmtId="4" fontId="96" fillId="35" borderId="40" applyNumberFormat="0" applyProtection="0">
      <alignment vertical="center"/>
    </xf>
    <xf numFmtId="4" fontId="93" fillId="35" borderId="40" applyNumberFormat="0" applyProtection="0">
      <alignment horizontal="left" vertical="center" indent="1"/>
    </xf>
    <xf numFmtId="4" fontId="93" fillId="35" borderId="40" applyNumberFormat="0" applyProtection="0">
      <alignment horizontal="left" vertical="center" indent="1"/>
    </xf>
    <xf numFmtId="0" fontId="7" fillId="40" borderId="40" applyNumberFormat="0" applyProtection="0">
      <alignment horizontal="left" vertical="center" indent="1"/>
    </xf>
    <xf numFmtId="4" fontId="93" fillId="50" borderId="40" applyNumberFormat="0" applyProtection="0">
      <alignment horizontal="right" vertical="center"/>
    </xf>
    <xf numFmtId="4" fontId="93" fillId="42" borderId="40" applyNumberFormat="0" applyProtection="0">
      <alignment horizontal="right" vertical="center"/>
    </xf>
    <xf numFmtId="4" fontId="93" fillId="51" borderId="40" applyNumberFormat="0" applyProtection="0">
      <alignment horizontal="right" vertical="center"/>
    </xf>
    <xf numFmtId="4" fontId="93" fillId="44" borderId="40" applyNumberFormat="0" applyProtection="0">
      <alignment horizontal="right" vertical="center"/>
    </xf>
    <xf numFmtId="4" fontId="93" fillId="52" borderId="40" applyNumberFormat="0" applyProtection="0">
      <alignment horizontal="right" vertical="center"/>
    </xf>
    <xf numFmtId="4" fontId="93" fillId="53" borderId="40" applyNumberFormat="0" applyProtection="0">
      <alignment horizontal="right" vertical="center"/>
    </xf>
    <xf numFmtId="4" fontId="93" fillId="54" borderId="40" applyNumberFormat="0" applyProtection="0">
      <alignment horizontal="right" vertical="center"/>
    </xf>
    <xf numFmtId="4" fontId="93" fillId="55" borderId="40" applyNumberFormat="0" applyProtection="0">
      <alignment horizontal="right" vertical="center"/>
    </xf>
    <xf numFmtId="4" fontId="93" fillId="56" borderId="40" applyNumberFormat="0" applyProtection="0">
      <alignment horizontal="right" vertical="center"/>
    </xf>
    <xf numFmtId="4" fontId="92" fillId="57" borderId="40" applyNumberFormat="0" applyProtection="0">
      <alignment horizontal="left" vertical="center" indent="1"/>
    </xf>
    <xf numFmtId="4" fontId="93" fillId="58" borderId="56" applyNumberFormat="0" applyProtection="0">
      <alignment horizontal="left" vertical="center" indent="1"/>
    </xf>
    <xf numFmtId="0" fontId="7" fillId="40" borderId="40" applyNumberFormat="0" applyProtection="0">
      <alignment horizontal="left" vertical="center" indent="1"/>
    </xf>
    <xf numFmtId="4" fontId="93" fillId="58" borderId="40" applyNumberFormat="0" applyProtection="0">
      <alignment horizontal="left" vertical="center" indent="1"/>
    </xf>
    <xf numFmtId="4" fontId="93" fillId="60" borderId="40" applyNumberFormat="0" applyProtection="0">
      <alignment horizontal="left" vertical="center" indent="1"/>
    </xf>
    <xf numFmtId="0" fontId="7" fillId="60" borderId="40" applyNumberFormat="0" applyProtection="0">
      <alignment horizontal="left" vertical="center" indent="1"/>
    </xf>
    <xf numFmtId="0" fontId="7" fillId="60" borderId="40" applyNumberFormat="0" applyProtection="0">
      <alignment horizontal="left" vertical="center" indent="1"/>
    </xf>
    <xf numFmtId="0" fontId="7" fillId="61" borderId="40" applyNumberFormat="0" applyProtection="0">
      <alignment horizontal="left" vertical="center" indent="1"/>
    </xf>
    <xf numFmtId="0" fontId="7" fillId="61" borderId="40" applyNumberFormat="0" applyProtection="0">
      <alignment horizontal="left" vertical="center" indent="1"/>
    </xf>
    <xf numFmtId="0" fontId="7" fillId="5" borderId="40" applyNumberFormat="0" applyProtection="0">
      <alignment horizontal="left" vertical="center" indent="1"/>
    </xf>
    <xf numFmtId="0" fontId="7" fillId="5" borderId="40" applyNumberFormat="0" applyProtection="0">
      <alignment horizontal="left" vertical="center" indent="1"/>
    </xf>
    <xf numFmtId="0" fontId="7" fillId="40" borderId="40" applyNumberFormat="0" applyProtection="0">
      <alignment horizontal="left" vertical="center" indent="1"/>
    </xf>
    <xf numFmtId="0" fontId="7" fillId="40" borderId="40" applyNumberFormat="0" applyProtection="0">
      <alignment horizontal="left" vertical="center" indent="1"/>
    </xf>
    <xf numFmtId="4" fontId="93" fillId="2" borderId="40" applyNumberFormat="0" applyProtection="0">
      <alignment vertical="center"/>
    </xf>
    <xf numFmtId="4" fontId="96" fillId="2" borderId="40" applyNumberFormat="0" applyProtection="0">
      <alignment vertical="center"/>
    </xf>
    <xf numFmtId="4" fontId="93" fillId="2" borderId="40" applyNumberFormat="0" applyProtection="0">
      <alignment horizontal="left" vertical="center" indent="1"/>
    </xf>
    <xf numFmtId="4" fontId="93" fillId="2" borderId="40" applyNumberFormat="0" applyProtection="0">
      <alignment horizontal="left" vertical="center" indent="1"/>
    </xf>
    <xf numFmtId="4" fontId="93" fillId="58" borderId="40" applyNumberFormat="0" applyProtection="0">
      <alignment horizontal="right" vertical="center"/>
    </xf>
    <xf numFmtId="4" fontId="96" fillId="58" borderId="40" applyNumberFormat="0" applyProtection="0">
      <alignment horizontal="right" vertical="center"/>
    </xf>
    <xf numFmtId="0" fontId="7" fillId="40" borderId="40" applyNumberFormat="0" applyProtection="0">
      <alignment horizontal="left" vertical="center" indent="1"/>
    </xf>
    <xf numFmtId="0" fontId="7" fillId="40" borderId="40" applyNumberFormat="0" applyProtection="0">
      <alignment horizontal="left" vertical="center" indent="1"/>
    </xf>
    <xf numFmtId="4" fontId="99" fillId="58" borderId="40" applyNumberFormat="0" applyProtection="0">
      <alignment horizontal="right" vertical="center"/>
    </xf>
    <xf numFmtId="0" fontId="148" fillId="20" borderId="39" applyNumberFormat="0" applyAlignment="0" applyProtection="0"/>
    <xf numFmtId="0" fontId="25" fillId="34" borderId="39" applyNumberFormat="0" applyAlignment="0" applyProtection="0"/>
    <xf numFmtId="0" fontId="21" fillId="0" borderId="47" applyNumberFormat="0" applyFill="0" applyAlignment="0" applyProtection="0"/>
    <xf numFmtId="0" fontId="21" fillId="0" borderId="47" applyNumberFormat="0" applyFill="0" applyAlignment="0" applyProtection="0"/>
    <xf numFmtId="0" fontId="31" fillId="20" borderId="39" applyNumberFormat="0" applyAlignment="0" applyProtection="0"/>
    <xf numFmtId="0" fontId="21" fillId="0" borderId="47" applyNumberFormat="0" applyFill="0" applyAlignment="0" applyProtection="0"/>
    <xf numFmtId="0" fontId="21" fillId="0" borderId="47" applyNumberFormat="0" applyFill="0" applyAlignment="0" applyProtection="0"/>
    <xf numFmtId="0" fontId="21" fillId="0" borderId="47" applyNumberFormat="0" applyFill="0" applyAlignment="0" applyProtection="0"/>
    <xf numFmtId="0" fontId="21" fillId="0" borderId="47" applyNumberFormat="0" applyFill="0" applyAlignment="0" applyProtection="0"/>
    <xf numFmtId="0" fontId="58" fillId="0" borderId="60" applyFont="0" applyFill="0" applyAlignment="0" applyProtection="0"/>
    <xf numFmtId="0" fontId="34" fillId="34" borderId="40" applyNumberFormat="0" applyAlignment="0" applyProtection="0"/>
    <xf numFmtId="0" fontId="34" fillId="34" borderId="40" applyNumberFormat="0" applyAlignment="0" applyProtection="0"/>
    <xf numFmtId="0" fontId="21" fillId="0" borderId="47" applyNumberFormat="0" applyFill="0" applyAlignment="0" applyProtection="0"/>
    <xf numFmtId="0" fontId="21" fillId="0" borderId="47" applyNumberFormat="0" applyFill="0" applyAlignment="0" applyProtection="0"/>
    <xf numFmtId="0" fontId="21" fillId="0" borderId="47" applyNumberFormat="0" applyFill="0" applyAlignment="0" applyProtection="0"/>
    <xf numFmtId="0" fontId="21" fillId="0" borderId="47" applyNumberFormat="0" applyFill="0" applyAlignment="0" applyProtection="0"/>
    <xf numFmtId="0" fontId="58" fillId="0" borderId="60" applyFont="0" applyFill="0" applyAlignment="0" applyProtection="0"/>
    <xf numFmtId="0" fontId="34" fillId="34" borderId="40" applyNumberFormat="0" applyAlignment="0" applyProtection="0"/>
    <xf numFmtId="0" fontId="25" fillId="34" borderId="39" applyNumberFormat="0" applyAlignment="0" applyProtection="0"/>
    <xf numFmtId="0" fontId="34" fillId="34" borderId="40" applyNumberFormat="0" applyAlignment="0" applyProtection="0"/>
    <xf numFmtId="0" fontId="150" fillId="34" borderId="40" applyNumberFormat="0" applyAlignment="0" applyProtection="0"/>
    <xf numFmtId="0" fontId="25" fillId="34" borderId="39" applyNumberFormat="0" applyAlignment="0" applyProtection="0"/>
    <xf numFmtId="0" fontId="7" fillId="60" borderId="40" applyNumberFormat="0" applyProtection="0">
      <alignment horizontal="left" vertical="center" indent="1"/>
    </xf>
    <xf numFmtId="43" fontId="234" fillId="0" borderId="0" applyFont="0" applyFill="0" applyBorder="0" applyAlignment="0" applyProtection="0"/>
    <xf numFmtId="0" fontId="234" fillId="0" borderId="0"/>
    <xf numFmtId="9" fontId="234" fillId="0" borderId="0" applyFont="0" applyFill="0" applyBorder="0" applyAlignment="0" applyProtection="0"/>
    <xf numFmtId="0" fontId="58" fillId="0" borderId="32" applyFont="0" applyFill="0" applyAlignment="0" applyProtection="0"/>
    <xf numFmtId="43" fontId="1" fillId="0" borderId="0" applyFont="0" applyFill="0" applyBorder="0" applyAlignment="0" applyProtection="0"/>
  </cellStyleXfs>
  <cellXfs count="1631">
    <xf numFmtId="0" fontId="0" fillId="0" borderId="0" xfId="0"/>
    <xf numFmtId="0" fontId="4" fillId="0" borderId="0" xfId="2" applyFont="1"/>
    <xf numFmtId="0" fontId="4" fillId="0" borderId="0" xfId="3" applyFont="1"/>
    <xf numFmtId="0" fontId="3" fillId="3" borderId="6" xfId="0" applyFont="1" applyFill="1" applyBorder="1" applyAlignment="1">
      <alignment horizontal="center" wrapText="1"/>
    </xf>
    <xf numFmtId="0" fontId="3" fillId="0" borderId="0" xfId="2" applyFont="1" applyAlignment="1">
      <alignment vertical="center"/>
    </xf>
    <xf numFmtId="3" fontId="4" fillId="0" borderId="11" xfId="3" applyNumberFormat="1" applyFont="1" applyBorder="1"/>
    <xf numFmtId="0" fontId="3" fillId="0" borderId="1" xfId="3" applyFont="1" applyBorder="1"/>
    <xf numFmtId="0" fontId="3" fillId="0" borderId="25" xfId="3" applyFont="1" applyBorder="1"/>
    <xf numFmtId="0" fontId="3" fillId="0" borderId="2" xfId="3" applyFont="1" applyBorder="1"/>
    <xf numFmtId="0" fontId="4" fillId="0" borderId="0" xfId="2" applyFont="1" applyAlignment="1">
      <alignment vertical="center"/>
    </xf>
    <xf numFmtId="0" fontId="9" fillId="0" borderId="17" xfId="2" applyFont="1" applyBorder="1" applyAlignment="1">
      <alignment vertical="center"/>
    </xf>
    <xf numFmtId="0" fontId="3" fillId="3" borderId="22" xfId="2" applyFont="1" applyFill="1" applyBorder="1" applyAlignment="1">
      <alignment horizontal="center" wrapText="1"/>
    </xf>
    <xf numFmtId="0" fontId="3" fillId="3" borderId="7" xfId="0" applyFont="1" applyFill="1" applyBorder="1" applyAlignment="1">
      <alignment horizontal="center" wrapText="1"/>
    </xf>
    <xf numFmtId="0" fontId="3" fillId="3" borderId="21" xfId="0" applyFont="1" applyFill="1" applyBorder="1" applyAlignment="1">
      <alignment horizontal="center" wrapText="1"/>
    </xf>
    <xf numFmtId="0" fontId="3" fillId="0" borderId="0" xfId="0" applyFont="1" applyAlignment="1">
      <alignment horizontal="center" wrapText="1"/>
    </xf>
    <xf numFmtId="0" fontId="3" fillId="0" borderId="0" xfId="3" applyFont="1" applyAlignment="1">
      <alignment vertical="center"/>
    </xf>
    <xf numFmtId="0" fontId="4" fillId="0" borderId="27" xfId="3" applyFont="1" applyBorder="1" applyAlignment="1">
      <alignment vertical="center"/>
    </xf>
    <xf numFmtId="0" fontId="4" fillId="0" borderId="0" xfId="3" applyFont="1" applyAlignment="1">
      <alignment vertical="center"/>
    </xf>
    <xf numFmtId="3" fontId="4" fillId="0" borderId="0" xfId="3" applyNumberFormat="1" applyFont="1" applyAlignment="1">
      <alignment vertical="center"/>
    </xf>
    <xf numFmtId="3" fontId="4" fillId="0" borderId="27" xfId="3" applyNumberFormat="1" applyFont="1" applyBorder="1" applyAlignment="1">
      <alignment vertical="center"/>
    </xf>
    <xf numFmtId="0" fontId="4" fillId="0" borderId="8" xfId="3" applyFont="1" applyBorder="1"/>
    <xf numFmtId="0" fontId="4" fillId="0" borderId="25" xfId="3" applyFont="1" applyBorder="1"/>
    <xf numFmtId="3" fontId="4" fillId="0" borderId="16" xfId="3" applyNumberFormat="1" applyFont="1" applyBorder="1"/>
    <xf numFmtId="3" fontId="4" fillId="0" borderId="28" xfId="3" applyNumberFormat="1" applyFont="1" applyBorder="1"/>
    <xf numFmtId="0" fontId="4" fillId="0" borderId="17" xfId="3" applyFont="1" applyBorder="1"/>
    <xf numFmtId="3" fontId="4" fillId="0" borderId="18" xfId="3" applyNumberFormat="1" applyFont="1" applyBorder="1"/>
    <xf numFmtId="3" fontId="4" fillId="0" borderId="0" xfId="3" applyNumberFormat="1" applyFont="1"/>
    <xf numFmtId="168" fontId="4" fillId="0" borderId="0" xfId="3" applyNumberFormat="1" applyFont="1"/>
    <xf numFmtId="167" fontId="4" fillId="0" borderId="24" xfId="3" applyNumberFormat="1" applyFont="1" applyBorder="1"/>
    <xf numFmtId="167" fontId="4" fillId="0" borderId="23" xfId="3" applyNumberFormat="1" applyFont="1" applyBorder="1"/>
    <xf numFmtId="167" fontId="4" fillId="0" borderId="30" xfId="3" applyNumberFormat="1" applyFont="1" applyBorder="1"/>
    <xf numFmtId="0" fontId="4" fillId="0" borderId="0" xfId="3" applyFont="1" applyAlignment="1">
      <alignment horizontal="left" indent="1"/>
    </xf>
    <xf numFmtId="167" fontId="4" fillId="0" borderId="0" xfId="3" applyNumberFormat="1" applyFont="1"/>
    <xf numFmtId="168" fontId="4" fillId="0" borderId="16" xfId="3" applyNumberFormat="1" applyFont="1" applyBorder="1"/>
    <xf numFmtId="168" fontId="4" fillId="0" borderId="9" xfId="3" applyNumberFormat="1" applyFont="1" applyBorder="1"/>
    <xf numFmtId="168" fontId="4" fillId="0" borderId="11" xfId="3" applyNumberFormat="1" applyFont="1" applyBorder="1"/>
    <xf numFmtId="168" fontId="4" fillId="0" borderId="12" xfId="3" applyNumberFormat="1" applyFont="1" applyBorder="1"/>
    <xf numFmtId="3" fontId="4" fillId="0" borderId="13" xfId="3" applyNumberFormat="1" applyFont="1" applyBorder="1"/>
    <xf numFmtId="167" fontId="4" fillId="0" borderId="13" xfId="6" applyNumberFormat="1" applyFont="1" applyFill="1" applyBorder="1" applyAlignment="1"/>
    <xf numFmtId="167" fontId="4" fillId="0" borderId="0" xfId="5" applyNumberFormat="1" applyFont="1" applyFill="1" applyBorder="1" applyAlignment="1"/>
    <xf numFmtId="167" fontId="4" fillId="0" borderId="11" xfId="6" applyNumberFormat="1" applyFont="1" applyBorder="1" applyAlignment="1"/>
    <xf numFmtId="167" fontId="4" fillId="0" borderId="12" xfId="6" applyNumberFormat="1" applyFont="1" applyBorder="1" applyAlignment="1"/>
    <xf numFmtId="0" fontId="4" fillId="0" borderId="1" xfId="2" applyFont="1" applyBorder="1"/>
    <xf numFmtId="3" fontId="4" fillId="7" borderId="0" xfId="3" applyNumberFormat="1" applyFont="1" applyFill="1"/>
    <xf numFmtId="0" fontId="4" fillId="0" borderId="25" xfId="2" applyFont="1" applyBorder="1"/>
    <xf numFmtId="0" fontId="4" fillId="0" borderId="2" xfId="2" applyFont="1" applyBorder="1"/>
    <xf numFmtId="3" fontId="4" fillId="0" borderId="24" xfId="3" applyNumberFormat="1" applyFont="1" applyBorder="1"/>
    <xf numFmtId="3" fontId="4" fillId="0" borderId="23" xfId="3" applyNumberFormat="1" applyFont="1" applyBorder="1"/>
    <xf numFmtId="3" fontId="4" fillId="0" borderId="30" xfId="3" applyNumberFormat="1" applyFont="1" applyBorder="1"/>
    <xf numFmtId="168" fontId="4" fillId="0" borderId="23" xfId="3" applyNumberFormat="1" applyFont="1" applyBorder="1"/>
    <xf numFmtId="168" fontId="4" fillId="0" borderId="20" xfId="3" applyNumberFormat="1" applyFont="1" applyBorder="1"/>
    <xf numFmtId="0" fontId="4" fillId="7" borderId="0" xfId="3" applyFont="1" applyFill="1" applyAlignment="1">
      <alignment vertical="center"/>
    </xf>
    <xf numFmtId="0" fontId="4" fillId="0" borderId="1" xfId="3" applyFont="1" applyBorder="1" applyAlignment="1">
      <alignment vertical="center"/>
    </xf>
    <xf numFmtId="10" fontId="4" fillId="7" borderId="0" xfId="5" applyNumberFormat="1" applyFont="1" applyFill="1" applyBorder="1" applyAlignment="1">
      <alignment vertical="center"/>
    </xf>
    <xf numFmtId="167" fontId="4" fillId="0" borderId="16" xfId="6" applyNumberFormat="1" applyFont="1" applyFill="1" applyBorder="1" applyAlignment="1">
      <alignment vertical="center"/>
    </xf>
    <xf numFmtId="167" fontId="4" fillId="0" borderId="9" xfId="6" applyNumberFormat="1" applyFont="1" applyFill="1" applyBorder="1" applyAlignment="1">
      <alignment vertical="center"/>
    </xf>
    <xf numFmtId="0" fontId="4" fillId="0" borderId="25" xfId="3" applyFont="1" applyBorder="1" applyAlignment="1">
      <alignment vertical="center"/>
    </xf>
    <xf numFmtId="167" fontId="4" fillId="0" borderId="11" xfId="6" applyNumberFormat="1" applyFont="1" applyFill="1" applyBorder="1" applyAlignment="1">
      <alignment vertical="center"/>
    </xf>
    <xf numFmtId="167" fontId="4" fillId="0" borderId="12" xfId="6" applyNumberFormat="1" applyFont="1" applyFill="1" applyBorder="1" applyAlignment="1">
      <alignment vertical="center"/>
    </xf>
    <xf numFmtId="10" fontId="4" fillId="7" borderId="0" xfId="5" applyNumberFormat="1" applyFont="1" applyFill="1" applyBorder="1" applyAlignment="1"/>
    <xf numFmtId="10" fontId="4" fillId="0" borderId="23" xfId="6" applyNumberFormat="1" applyFont="1" applyBorder="1" applyAlignment="1">
      <alignment vertical="center"/>
    </xf>
    <xf numFmtId="167" fontId="4" fillId="0" borderId="23" xfId="6" applyNumberFormat="1" applyFont="1" applyFill="1" applyBorder="1" applyAlignment="1"/>
    <xf numFmtId="167" fontId="4" fillId="0" borderId="20" xfId="6" applyNumberFormat="1" applyFont="1" applyFill="1" applyBorder="1" applyAlignment="1"/>
    <xf numFmtId="167" fontId="4" fillId="0" borderId="0" xfId="6" applyNumberFormat="1" applyFont="1" applyBorder="1" applyAlignment="1">
      <alignment vertical="center"/>
    </xf>
    <xf numFmtId="167" fontId="4" fillId="0" borderId="0" xfId="5" applyNumberFormat="1" applyFont="1" applyFill="1" applyBorder="1" applyAlignment="1">
      <alignment vertical="center"/>
    </xf>
    <xf numFmtId="167" fontId="4" fillId="0" borderId="0" xfId="6" applyNumberFormat="1" applyFont="1" applyFill="1" applyBorder="1" applyAlignment="1">
      <alignment vertical="center"/>
    </xf>
    <xf numFmtId="0" fontId="4" fillId="0" borderId="1" xfId="3" applyFont="1" applyBorder="1" applyAlignment="1">
      <alignment vertical="center" wrapText="1"/>
    </xf>
    <xf numFmtId="3" fontId="4" fillId="0" borderId="14" xfId="3" applyNumberFormat="1" applyFont="1" applyBorder="1"/>
    <xf numFmtId="168" fontId="3" fillId="0" borderId="0" xfId="3" applyNumberFormat="1" applyFont="1"/>
    <xf numFmtId="168" fontId="3" fillId="0" borderId="23" xfId="3" applyNumberFormat="1" applyFont="1" applyBorder="1"/>
    <xf numFmtId="168" fontId="3" fillId="0" borderId="20" xfId="3" applyNumberFormat="1" applyFont="1" applyBorder="1"/>
    <xf numFmtId="0" fontId="3" fillId="0" borderId="0" xfId="3" applyFont="1" applyAlignment="1">
      <alignment vertical="top"/>
    </xf>
    <xf numFmtId="10" fontId="4" fillId="0" borderId="14" xfId="6" applyNumberFormat="1" applyFont="1" applyFill="1" applyBorder="1" applyAlignment="1"/>
    <xf numFmtId="10" fontId="4" fillId="0" borderId="16" xfId="6" applyNumberFormat="1" applyFont="1" applyFill="1" applyBorder="1" applyAlignment="1"/>
    <xf numFmtId="10" fontId="4" fillId="0" borderId="28" xfId="6" applyNumberFormat="1" applyFont="1" applyFill="1" applyBorder="1" applyAlignment="1"/>
    <xf numFmtId="10" fontId="4" fillId="0" borderId="0" xfId="5" applyNumberFormat="1" applyFont="1" applyFill="1" applyBorder="1" applyAlignment="1"/>
    <xf numFmtId="10" fontId="4" fillId="0" borderId="9" xfId="6" applyNumberFormat="1" applyFont="1" applyFill="1" applyBorder="1" applyAlignment="1"/>
    <xf numFmtId="0" fontId="11" fillId="0" borderId="0" xfId="2" applyFont="1"/>
    <xf numFmtId="169" fontId="4" fillId="0" borderId="13" xfId="6" applyNumberFormat="1" applyFont="1" applyFill="1" applyBorder="1" applyAlignment="1"/>
    <xf numFmtId="169" fontId="4" fillId="0" borderId="11" xfId="6" applyNumberFormat="1" applyFont="1" applyFill="1" applyBorder="1" applyAlignment="1"/>
    <xf numFmtId="169" fontId="4" fillId="0" borderId="18" xfId="6" applyNumberFormat="1" applyFont="1" applyFill="1" applyBorder="1" applyAlignment="1"/>
    <xf numFmtId="169" fontId="4" fillId="0" borderId="0" xfId="5" applyNumberFormat="1" applyFont="1" applyFill="1" applyBorder="1" applyAlignment="1"/>
    <xf numFmtId="169" fontId="4" fillId="0" borderId="12" xfId="6" applyNumberFormat="1" applyFont="1" applyFill="1" applyBorder="1" applyAlignment="1"/>
    <xf numFmtId="0" fontId="3" fillId="0" borderId="25" xfId="2" applyFont="1" applyBorder="1"/>
    <xf numFmtId="0" fontId="3" fillId="0" borderId="0" xfId="3" applyFont="1"/>
    <xf numFmtId="3" fontId="3" fillId="0" borderId="13" xfId="3" applyNumberFormat="1" applyFont="1" applyBorder="1"/>
    <xf numFmtId="3" fontId="3" fillId="0" borderId="11" xfId="3" applyNumberFormat="1" applyFont="1" applyBorder="1"/>
    <xf numFmtId="3" fontId="3" fillId="0" borderId="0" xfId="3" applyNumberFormat="1" applyFont="1"/>
    <xf numFmtId="168" fontId="3" fillId="0" borderId="11" xfId="7" applyNumberFormat="1" applyFont="1" applyBorder="1"/>
    <xf numFmtId="168" fontId="3" fillId="0" borderId="12" xfId="7" applyNumberFormat="1" applyFont="1" applyBorder="1"/>
    <xf numFmtId="0" fontId="12" fillId="0" borderId="0" xfId="2" applyFont="1"/>
    <xf numFmtId="0" fontId="4" fillId="0" borderId="25" xfId="3" applyFont="1" applyBorder="1" applyAlignment="1">
      <alignment horizontal="left" indent="3"/>
    </xf>
    <xf numFmtId="167" fontId="4" fillId="0" borderId="18" xfId="6" applyNumberFormat="1" applyFont="1" applyBorder="1" applyAlignment="1"/>
    <xf numFmtId="0" fontId="3" fillId="0" borderId="25" xfId="2" applyFont="1" applyBorder="1" applyAlignment="1">
      <alignment horizontal="left"/>
    </xf>
    <xf numFmtId="168" fontId="3" fillId="0" borderId="13" xfId="3" applyNumberFormat="1" applyFont="1" applyBorder="1"/>
    <xf numFmtId="168" fontId="3" fillId="0" borderId="11" xfId="3" applyNumberFormat="1" applyFont="1" applyBorder="1"/>
    <xf numFmtId="168" fontId="3" fillId="0" borderId="18" xfId="3" applyNumberFormat="1" applyFont="1" applyBorder="1"/>
    <xf numFmtId="4" fontId="3" fillId="0" borderId="13" xfId="3" applyNumberFormat="1" applyFont="1" applyBorder="1"/>
    <xf numFmtId="4" fontId="3" fillId="0" borderId="11" xfId="3" applyNumberFormat="1" applyFont="1" applyBorder="1"/>
    <xf numFmtId="4" fontId="3" fillId="0" borderId="18" xfId="3" applyNumberFormat="1" applyFont="1" applyBorder="1"/>
    <xf numFmtId="4" fontId="3" fillId="0" borderId="0" xfId="3" applyNumberFormat="1" applyFont="1"/>
    <xf numFmtId="4" fontId="3" fillId="0" borderId="11" xfId="7" applyNumberFormat="1" applyFont="1" applyBorder="1"/>
    <xf numFmtId="0" fontId="4" fillId="0" borderId="2" xfId="3" applyFont="1" applyBorder="1" applyAlignment="1">
      <alignment horizontal="left" indent="3"/>
    </xf>
    <xf numFmtId="167" fontId="4" fillId="0" borderId="24" xfId="6" applyNumberFormat="1" applyFont="1" applyFill="1" applyBorder="1" applyAlignment="1"/>
    <xf numFmtId="167" fontId="4" fillId="0" borderId="23" xfId="6" applyNumberFormat="1" applyFont="1" applyBorder="1" applyAlignment="1"/>
    <xf numFmtId="167" fontId="4" fillId="0" borderId="30" xfId="6" applyNumberFormat="1" applyFont="1" applyBorder="1" applyAlignment="1"/>
    <xf numFmtId="167" fontId="4" fillId="0" borderId="20" xfId="6" applyNumberFormat="1" applyFont="1" applyBorder="1" applyAlignment="1"/>
    <xf numFmtId="0" fontId="4" fillId="0" borderId="0" xfId="3" applyFont="1" applyAlignment="1">
      <alignment horizontal="left" indent="3"/>
    </xf>
    <xf numFmtId="0" fontId="10" fillId="0" borderId="0" xfId="2" applyFont="1"/>
    <xf numFmtId="10" fontId="4" fillId="0" borderId="0" xfId="5" applyNumberFormat="1" applyFont="1" applyFill="1" applyBorder="1" applyAlignment="1">
      <alignment vertical="center"/>
    </xf>
    <xf numFmtId="0" fontId="4" fillId="0" borderId="0" xfId="7" applyFont="1" applyAlignment="1">
      <alignment vertical="top"/>
    </xf>
    <xf numFmtId="10" fontId="4" fillId="0" borderId="0" xfId="8" applyNumberFormat="1" applyFont="1" applyFill="1" applyBorder="1" applyAlignment="1">
      <alignment vertical="center"/>
    </xf>
    <xf numFmtId="3" fontId="4" fillId="0" borderId="14" xfId="0" applyNumberFormat="1" applyFont="1" applyBorder="1"/>
    <xf numFmtId="3" fontId="4" fillId="0" borderId="16" xfId="0" applyNumberFormat="1" applyFont="1" applyBorder="1"/>
    <xf numFmtId="3" fontId="4" fillId="0" borderId="0" xfId="0" applyNumberFormat="1" applyFont="1"/>
    <xf numFmtId="3" fontId="4" fillId="0" borderId="13" xfId="0" applyNumberFormat="1" applyFont="1" applyBorder="1"/>
    <xf numFmtId="3" fontId="4" fillId="0" borderId="11" xfId="0" applyNumberFormat="1" applyFont="1" applyBorder="1"/>
    <xf numFmtId="10" fontId="4" fillId="0" borderId="11" xfId="6" applyNumberFormat="1" applyFont="1" applyFill="1" applyBorder="1" applyAlignment="1">
      <alignment horizontal="right" vertical="center"/>
    </xf>
    <xf numFmtId="10" fontId="4" fillId="0" borderId="13" xfId="6" applyNumberFormat="1" applyFont="1" applyFill="1" applyBorder="1" applyAlignment="1">
      <alignment horizontal="right" vertical="center"/>
    </xf>
    <xf numFmtId="10" fontId="4" fillId="0" borderId="23" xfId="6" applyNumberFormat="1" applyFont="1" applyFill="1" applyBorder="1" applyAlignment="1">
      <alignment horizontal="right" vertical="center"/>
    </xf>
    <xf numFmtId="10" fontId="4" fillId="0" borderId="24" xfId="6" applyNumberFormat="1" applyFont="1" applyFill="1" applyBorder="1" applyAlignment="1">
      <alignment horizontal="right" vertical="center"/>
    </xf>
    <xf numFmtId="10" fontId="4" fillId="0" borderId="16" xfId="6" applyNumberFormat="1" applyFont="1" applyFill="1" applyBorder="1" applyAlignment="1">
      <alignment horizontal="right" vertical="center"/>
    </xf>
    <xf numFmtId="0" fontId="4" fillId="0" borderId="1" xfId="2" applyFont="1" applyBorder="1" applyAlignment="1">
      <alignment horizontal="left"/>
    </xf>
    <xf numFmtId="0" fontId="4" fillId="0" borderId="12" xfId="7" applyFont="1" applyBorder="1"/>
    <xf numFmtId="168" fontId="4" fillId="0" borderId="8" xfId="7" applyNumberFormat="1" applyFont="1" applyBorder="1"/>
    <xf numFmtId="168" fontId="4" fillId="0" borderId="16" xfId="7" applyNumberFormat="1" applyFont="1" applyBorder="1"/>
    <xf numFmtId="0" fontId="4" fillId="0" borderId="22" xfId="2" applyFont="1" applyBorder="1" applyAlignment="1">
      <alignment horizontal="left"/>
    </xf>
    <xf numFmtId="168" fontId="4" fillId="0" borderId="3" xfId="7" applyNumberFormat="1" applyFont="1" applyBorder="1"/>
    <xf numFmtId="168" fontId="4" fillId="0" borderId="6" xfId="7" applyNumberFormat="1" applyFont="1" applyBorder="1"/>
    <xf numFmtId="0" fontId="10" fillId="0" borderId="0" xfId="2" applyFont="1" applyAlignment="1">
      <alignment vertical="center"/>
    </xf>
    <xf numFmtId="0" fontId="16" fillId="0" borderId="0" xfId="3" applyFont="1" applyAlignment="1">
      <alignment vertical="top"/>
    </xf>
    <xf numFmtId="0" fontId="4" fillId="0" borderId="0" xfId="3" applyFont="1" applyAlignment="1">
      <alignment vertical="top"/>
    </xf>
    <xf numFmtId="10" fontId="10" fillId="0" borderId="0" xfId="5" applyNumberFormat="1" applyFont="1" applyFill="1" applyBorder="1" applyAlignment="1">
      <alignment vertical="center"/>
    </xf>
    <xf numFmtId="3" fontId="4" fillId="0" borderId="0" xfId="2" applyNumberFormat="1" applyFont="1"/>
    <xf numFmtId="0" fontId="3" fillId="0" borderId="17" xfId="3" applyFont="1" applyBorder="1" applyAlignment="1">
      <alignment horizontal="left"/>
    </xf>
    <xf numFmtId="0" fontId="4" fillId="0" borderId="1" xfId="3" applyFont="1" applyBorder="1"/>
    <xf numFmtId="167" fontId="4" fillId="0" borderId="30" xfId="6" applyNumberFormat="1" applyFont="1" applyFill="1" applyBorder="1" applyAlignment="1"/>
    <xf numFmtId="0" fontId="4" fillId="0" borderId="2" xfId="3" applyFont="1" applyBorder="1" applyAlignment="1">
      <alignment vertical="center"/>
    </xf>
    <xf numFmtId="0" fontId="4" fillId="0" borderId="0" xfId="3" applyFont="1" applyAlignment="1">
      <alignment vertical="center" wrapText="1"/>
    </xf>
    <xf numFmtId="0" fontId="16" fillId="0" borderId="0" xfId="3" applyFont="1"/>
    <xf numFmtId="168" fontId="4" fillId="0" borderId="0" xfId="7" applyNumberFormat="1" applyFont="1"/>
    <xf numFmtId="0" fontId="3" fillId="0" borderId="25" xfId="3" applyFont="1" applyBorder="1" applyAlignment="1">
      <alignment horizontal="left"/>
    </xf>
    <xf numFmtId="168" fontId="3" fillId="0" borderId="12" xfId="3" applyNumberFormat="1" applyFont="1" applyBorder="1"/>
    <xf numFmtId="0" fontId="3" fillId="0" borderId="0" xfId="2" applyFont="1"/>
    <xf numFmtId="10" fontId="4" fillId="0" borderId="0" xfId="6" applyNumberFormat="1" applyFont="1" applyFill="1" applyBorder="1" applyAlignment="1">
      <alignment horizontal="right" vertical="center"/>
    </xf>
    <xf numFmtId="10" fontId="4" fillId="0" borderId="0" xfId="6" applyNumberFormat="1" applyFont="1" applyBorder="1" applyAlignment="1">
      <alignment vertical="center"/>
    </xf>
    <xf numFmtId="167" fontId="4" fillId="0" borderId="0" xfId="6" applyNumberFormat="1" applyFont="1" applyFill="1" applyBorder="1" applyAlignment="1"/>
    <xf numFmtId="0" fontId="3" fillId="0" borderId="2" xfId="2" applyFont="1" applyBorder="1"/>
    <xf numFmtId="3" fontId="3" fillId="0" borderId="24" xfId="3" applyNumberFormat="1" applyFont="1" applyBorder="1"/>
    <xf numFmtId="3" fontId="3" fillId="0" borderId="23" xfId="3" applyNumberFormat="1" applyFont="1" applyBorder="1"/>
    <xf numFmtId="3" fontId="3" fillId="0" borderId="30" xfId="3" applyNumberFormat="1" applyFont="1" applyBorder="1"/>
    <xf numFmtId="167" fontId="4" fillId="0" borderId="11" xfId="6" applyNumberFormat="1" applyFont="1" applyFill="1" applyBorder="1" applyAlignment="1"/>
    <xf numFmtId="167" fontId="4" fillId="0" borderId="18" xfId="6" applyNumberFormat="1" applyFont="1" applyFill="1" applyBorder="1" applyAlignment="1"/>
    <xf numFmtId="3" fontId="4" fillId="0" borderId="6" xfId="7" applyNumberFormat="1" applyFont="1" applyBorder="1"/>
    <xf numFmtId="43" fontId="4" fillId="0" borderId="0" xfId="1" applyFont="1" applyFill="1" applyBorder="1" applyAlignment="1">
      <alignment vertical="center"/>
    </xf>
    <xf numFmtId="167" fontId="4" fillId="0" borderId="0" xfId="14" applyNumberFormat="1" applyFont="1" applyFill="1"/>
    <xf numFmtId="3" fontId="3" fillId="0" borderId="10" xfId="3" applyNumberFormat="1" applyFont="1" applyBorder="1"/>
    <xf numFmtId="3" fontId="4" fillId="0" borderId="10" xfId="3" applyNumberFormat="1" applyFont="1" applyBorder="1"/>
    <xf numFmtId="3" fontId="4" fillId="0" borderId="15" xfId="3" applyNumberFormat="1" applyFont="1" applyBorder="1"/>
    <xf numFmtId="3" fontId="4" fillId="0" borderId="31" xfId="3" applyNumberFormat="1" applyFont="1" applyBorder="1"/>
    <xf numFmtId="167" fontId="4" fillId="0" borderId="31" xfId="3" applyNumberFormat="1" applyFont="1" applyBorder="1"/>
    <xf numFmtId="3" fontId="3" fillId="0" borderId="0" xfId="3" applyNumberFormat="1" applyFont="1" applyAlignment="1">
      <alignment vertical="center"/>
    </xf>
    <xf numFmtId="0" fontId="153" fillId="71" borderId="0" xfId="852" applyFont="1" applyFill="1"/>
    <xf numFmtId="0" fontId="154" fillId="71" borderId="0" xfId="852" applyFont="1" applyFill="1"/>
    <xf numFmtId="0" fontId="154" fillId="73" borderId="0" xfId="852" applyFont="1" applyFill="1"/>
    <xf numFmtId="0" fontId="154" fillId="4" borderId="0" xfId="852" applyFont="1" applyFill="1" applyAlignment="1">
      <alignment horizontal="center" vertical="center"/>
    </xf>
    <xf numFmtId="49" fontId="154" fillId="4" borderId="0" xfId="852" applyNumberFormat="1" applyFont="1" applyFill="1" applyAlignment="1">
      <alignment horizontal="center" vertical="center"/>
    </xf>
    <xf numFmtId="0" fontId="154" fillId="4" borderId="0" xfId="852" applyFont="1" applyFill="1"/>
    <xf numFmtId="0" fontId="153" fillId="4" borderId="12" xfId="852" applyFont="1" applyFill="1" applyBorder="1" applyAlignment="1">
      <alignment vertical="center" wrapText="1"/>
    </xf>
    <xf numFmtId="0" fontId="158" fillId="77" borderId="22" xfId="852" applyFont="1" applyFill="1" applyBorder="1" applyAlignment="1">
      <alignment horizontal="center" vertical="center" wrapText="1"/>
    </xf>
    <xf numFmtId="0" fontId="158" fillId="3" borderId="3" xfId="852" applyFont="1" applyFill="1" applyBorder="1" applyAlignment="1">
      <alignment horizontal="center" vertical="center" wrapText="1"/>
    </xf>
    <xf numFmtId="0" fontId="158" fillId="3" borderId="6" xfId="852" applyFont="1" applyFill="1" applyBorder="1" applyAlignment="1">
      <alignment horizontal="center" vertical="center" wrapText="1"/>
    </xf>
    <xf numFmtId="0" fontId="158" fillId="3" borderId="5" xfId="852" applyFont="1" applyFill="1" applyBorder="1" applyAlignment="1">
      <alignment horizontal="center" vertical="center" wrapText="1"/>
    </xf>
    <xf numFmtId="0" fontId="160" fillId="78" borderId="0" xfId="3" applyFont="1" applyFill="1" applyAlignment="1">
      <alignment horizontal="center"/>
    </xf>
    <xf numFmtId="49" fontId="160" fillId="78" borderId="0" xfId="3" applyNumberFormat="1" applyFont="1" applyFill="1"/>
    <xf numFmtId="0" fontId="160" fillId="78" borderId="0" xfId="3" applyFont="1" applyFill="1"/>
    <xf numFmtId="0" fontId="158" fillId="78" borderId="12" xfId="3" applyFont="1" applyFill="1" applyBorder="1"/>
    <xf numFmtId="0" fontId="158" fillId="78" borderId="0" xfId="3" applyFont="1" applyFill="1"/>
    <xf numFmtId="0" fontId="158" fillId="71" borderId="0" xfId="1283" applyFont="1" applyFill="1"/>
    <xf numFmtId="0" fontId="154" fillId="0" borderId="0" xfId="3" applyFont="1" applyAlignment="1">
      <alignment horizontal="center" vertical="center"/>
    </xf>
    <xf numFmtId="49" fontId="154" fillId="0" borderId="0" xfId="1281" quotePrefix="1" applyNumberFormat="1" applyFont="1" applyFill="1" applyAlignment="1">
      <alignment horizontal="center" vertical="center"/>
    </xf>
    <xf numFmtId="0" fontId="154" fillId="0" borderId="0" xfId="1281" applyFont="1" applyFill="1" applyAlignment="1"/>
    <xf numFmtId="0" fontId="153" fillId="77" borderId="12" xfId="1281" applyFont="1" applyFill="1" applyBorder="1" applyAlignment="1"/>
    <xf numFmtId="213" fontId="153" fillId="0" borderId="0" xfId="3" applyNumberFormat="1" applyFont="1"/>
    <xf numFmtId="0" fontId="153" fillId="71" borderId="0" xfId="1283" applyFont="1" applyFill="1"/>
    <xf numFmtId="0" fontId="161" fillId="0" borderId="0" xfId="3" applyFont="1" applyAlignment="1">
      <alignment horizontal="center" vertical="center"/>
    </xf>
    <xf numFmtId="49" fontId="161" fillId="0" borderId="0" xfId="1281" applyNumberFormat="1" applyFont="1" applyFill="1" applyAlignment="1">
      <alignment horizontal="center" vertical="center"/>
    </xf>
    <xf numFmtId="0" fontId="161" fillId="0" borderId="0" xfId="1281" applyFont="1" applyFill="1" applyAlignment="1">
      <alignment horizontal="left" indent="2"/>
    </xf>
    <xf numFmtId="0" fontId="162" fillId="0" borderId="12" xfId="1281" applyFont="1" applyFill="1" applyBorder="1" applyAlignment="1">
      <alignment horizontal="left" indent="2"/>
    </xf>
    <xf numFmtId="214" fontId="162" fillId="0" borderId="0" xfId="3" applyNumberFormat="1" applyFont="1"/>
    <xf numFmtId="0" fontId="162" fillId="71" borderId="0" xfId="1283" applyFont="1" applyFill="1"/>
    <xf numFmtId="0" fontId="162" fillId="0" borderId="12" xfId="1281" applyFont="1" applyFill="1" applyBorder="1" applyAlignment="1"/>
    <xf numFmtId="0" fontId="163" fillId="78" borderId="12" xfId="3" applyFont="1" applyFill="1" applyBorder="1"/>
    <xf numFmtId="0" fontId="163" fillId="78" borderId="0" xfId="3" applyFont="1" applyFill="1"/>
    <xf numFmtId="0" fontId="163" fillId="71" borderId="0" xfId="1283" applyFont="1" applyFill="1"/>
    <xf numFmtId="0" fontId="153" fillId="77" borderId="12" xfId="1281" applyNumberFormat="1" applyFont="1" applyFill="1" applyBorder="1" applyAlignment="1"/>
    <xf numFmtId="49" fontId="161" fillId="0" borderId="0" xfId="1281" quotePrefix="1" applyNumberFormat="1" applyFont="1" applyFill="1" applyAlignment="1">
      <alignment horizontal="center" vertical="center"/>
    </xf>
    <xf numFmtId="0" fontId="23" fillId="0" borderId="0" xfId="1282" applyFont="1" applyFill="1" applyAlignment="1">
      <alignment horizontal="center" vertical="center"/>
    </xf>
    <xf numFmtId="0" fontId="164" fillId="0" borderId="0" xfId="1282" applyFont="1" applyFill="1" applyAlignment="1">
      <alignment horizontal="center" vertical="center"/>
    </xf>
    <xf numFmtId="10" fontId="162" fillId="0" borderId="0" xfId="3" applyNumberFormat="1" applyFont="1"/>
    <xf numFmtId="0" fontId="161" fillId="0" borderId="0" xfId="1282" applyFont="1" applyFill="1" applyAlignment="1">
      <alignment horizontal="center" vertical="center"/>
    </xf>
    <xf numFmtId="0" fontId="154" fillId="0" borderId="0" xfId="853" applyFont="1" applyFill="1" applyAlignment="1"/>
    <xf numFmtId="215" fontId="162" fillId="0" borderId="0" xfId="3" applyNumberFormat="1" applyFont="1"/>
    <xf numFmtId="0" fontId="154" fillId="0" borderId="0" xfId="1280" applyFont="1" applyFill="1" applyAlignment="1"/>
    <xf numFmtId="0" fontId="161" fillId="0" borderId="0" xfId="1280" applyFont="1" applyFill="1" applyAlignment="1">
      <alignment horizontal="left" indent="2"/>
    </xf>
    <xf numFmtId="10" fontId="162" fillId="0" borderId="0" xfId="849" applyNumberFormat="1" applyFont="1" applyFill="1" applyAlignment="1"/>
    <xf numFmtId="0" fontId="161" fillId="71" borderId="0" xfId="852" applyFont="1" applyFill="1"/>
    <xf numFmtId="0" fontId="154" fillId="71" borderId="0" xfId="12" applyFont="1" applyFill="1" applyAlignment="1">
      <alignment horizontal="center" vertical="center"/>
    </xf>
    <xf numFmtId="49" fontId="154" fillId="71" borderId="0" xfId="12" applyNumberFormat="1" applyFont="1" applyFill="1" applyAlignment="1">
      <alignment horizontal="center" vertical="center"/>
    </xf>
    <xf numFmtId="0" fontId="154" fillId="71" borderId="0" xfId="12" applyFont="1" applyFill="1"/>
    <xf numFmtId="0" fontId="153" fillId="71" borderId="0" xfId="12" applyFont="1" applyFill="1"/>
    <xf numFmtId="0" fontId="154" fillId="71" borderId="0" xfId="852" applyFont="1" applyFill="1" applyAlignment="1">
      <alignment horizontal="center" vertical="center"/>
    </xf>
    <xf numFmtId="49" fontId="154" fillId="71" borderId="0" xfId="852" applyNumberFormat="1" applyFont="1" applyFill="1" applyAlignment="1">
      <alignment horizontal="center" vertical="center"/>
    </xf>
    <xf numFmtId="0" fontId="158" fillId="3" borderId="7" xfId="852" applyFont="1" applyFill="1" applyBorder="1" applyAlignment="1">
      <alignment horizontal="center" vertical="center" wrapText="1"/>
    </xf>
    <xf numFmtId="0" fontId="158" fillId="3" borderId="21" xfId="852" applyFont="1" applyFill="1" applyBorder="1" applyAlignment="1">
      <alignment horizontal="center" vertical="center" wrapText="1"/>
    </xf>
    <xf numFmtId="2" fontId="162" fillId="0" borderId="0" xfId="3" applyNumberFormat="1" applyFont="1" applyAlignment="1">
      <alignment horizontal="center"/>
    </xf>
    <xf numFmtId="0" fontId="165" fillId="0" borderId="0" xfId="3" applyFont="1" applyAlignment="1">
      <alignment horizontal="center" vertical="center"/>
    </xf>
    <xf numFmtId="10" fontId="162" fillId="0" borderId="0" xfId="1281" applyNumberFormat="1" applyFont="1" applyFill="1" applyBorder="1" applyAlignment="1"/>
    <xf numFmtId="3" fontId="4" fillId="0" borderId="21" xfId="7" applyNumberFormat="1" applyFont="1" applyBorder="1"/>
    <xf numFmtId="0" fontId="5" fillId="0" borderId="0" xfId="9"/>
    <xf numFmtId="0" fontId="168" fillId="0" borderId="0" xfId="0" applyFont="1"/>
    <xf numFmtId="0" fontId="15" fillId="0" borderId="0" xfId="2" applyFont="1" applyAlignment="1">
      <alignment horizontal="center"/>
    </xf>
    <xf numFmtId="0" fontId="174" fillId="0" borderId="0" xfId="2" applyFont="1"/>
    <xf numFmtId="0" fontId="175" fillId="0" borderId="0" xfId="2" applyFont="1" applyAlignment="1">
      <alignment horizontal="right"/>
    </xf>
    <xf numFmtId="0" fontId="15" fillId="0" borderId="1" xfId="2" applyFont="1" applyBorder="1"/>
    <xf numFmtId="0" fontId="7" fillId="0" borderId="0" xfId="0" applyFont="1"/>
    <xf numFmtId="0" fontId="15" fillId="0" borderId="25" xfId="2" applyFont="1" applyBorder="1"/>
    <xf numFmtId="0" fontId="15" fillId="0" borderId="2" xfId="2" applyFont="1" applyBorder="1"/>
    <xf numFmtId="0" fontId="15" fillId="3" borderId="3" xfId="0" applyFont="1" applyFill="1" applyBorder="1" applyAlignment="1">
      <alignment horizontal="center" wrapText="1"/>
    </xf>
    <xf numFmtId="0" fontId="15" fillId="3" borderId="6" xfId="0" applyFont="1" applyFill="1" applyBorder="1" applyAlignment="1">
      <alignment horizontal="center" wrapText="1"/>
    </xf>
    <xf numFmtId="0" fontId="15" fillId="3" borderId="5" xfId="0" applyFont="1" applyFill="1" applyBorder="1" applyAlignment="1">
      <alignment horizontal="center" wrapText="1"/>
    </xf>
    <xf numFmtId="0" fontId="15" fillId="0" borderId="0" xfId="2" applyFont="1"/>
    <xf numFmtId="218" fontId="15" fillId="0" borderId="0" xfId="1" applyNumberFormat="1" applyFont="1" applyFill="1" applyBorder="1"/>
    <xf numFmtId="0" fontId="15" fillId="80" borderId="3" xfId="2" applyFont="1" applyFill="1" applyBorder="1" applyAlignment="1">
      <alignment horizontal="left" vertical="center" indent="4"/>
    </xf>
    <xf numFmtId="0" fontId="174" fillId="80" borderId="5" xfId="2" applyFont="1" applyFill="1" applyBorder="1"/>
    <xf numFmtId="218" fontId="174" fillId="80" borderId="7" xfId="1" applyNumberFormat="1" applyFont="1" applyFill="1" applyBorder="1"/>
    <xf numFmtId="218" fontId="174" fillId="80" borderId="6" xfId="1" applyNumberFormat="1" applyFont="1" applyFill="1" applyBorder="1"/>
    <xf numFmtId="218" fontId="174" fillId="80" borderId="5" xfId="1" applyNumberFormat="1" applyFont="1" applyFill="1" applyBorder="1"/>
    <xf numFmtId="0" fontId="15" fillId="0" borderId="19" xfId="2" applyFont="1" applyBorder="1"/>
    <xf numFmtId="0" fontId="15" fillId="0" borderId="20" xfId="2" applyFont="1" applyBorder="1"/>
    <xf numFmtId="168" fontId="15" fillId="0" borderId="7" xfId="2" applyNumberFormat="1" applyFont="1" applyBorder="1"/>
    <xf numFmtId="168" fontId="15" fillId="0" borderId="6" xfId="2" applyNumberFormat="1" applyFont="1" applyBorder="1"/>
    <xf numFmtId="168" fontId="15" fillId="0" borderId="21" xfId="2" applyNumberFormat="1" applyFont="1" applyBorder="1"/>
    <xf numFmtId="0" fontId="15" fillId="80" borderId="8" xfId="2" applyFont="1" applyFill="1" applyBorder="1" applyAlignment="1">
      <alignment horizontal="left" vertical="center" indent="4"/>
    </xf>
    <xf numFmtId="0" fontId="174" fillId="80" borderId="9" xfId="2" applyFont="1" applyFill="1" applyBorder="1"/>
    <xf numFmtId="0" fontId="174" fillId="0" borderId="8" xfId="2" applyFont="1" applyBorder="1"/>
    <xf numFmtId="0" fontId="174" fillId="0" borderId="9" xfId="2" applyFont="1" applyBorder="1"/>
    <xf numFmtId="168" fontId="174" fillId="0" borderId="13" xfId="2" applyNumberFormat="1" applyFont="1" applyBorder="1"/>
    <xf numFmtId="168" fontId="174" fillId="0" borderId="11" xfId="1" applyNumberFormat="1" applyFont="1" applyFill="1" applyBorder="1"/>
    <xf numFmtId="168" fontId="174" fillId="0" borderId="12" xfId="1" applyNumberFormat="1" applyFont="1" applyFill="1" applyBorder="1"/>
    <xf numFmtId="0" fontId="174" fillId="0" borderId="17" xfId="2" applyFont="1" applyBorder="1"/>
    <xf numFmtId="0" fontId="174" fillId="0" borderId="12" xfId="2" applyFont="1" applyBorder="1"/>
    <xf numFmtId="171" fontId="174" fillId="0" borderId="13" xfId="1" applyNumberFormat="1" applyFont="1" applyFill="1" applyBorder="1"/>
    <xf numFmtId="171" fontId="174" fillId="0" borderId="11" xfId="1" applyNumberFormat="1" applyFont="1" applyFill="1" applyBorder="1"/>
    <xf numFmtId="171" fontId="174" fillId="0" borderId="11" xfId="2" applyNumberFormat="1" applyFont="1" applyBorder="1"/>
    <xf numFmtId="0" fontId="174" fillId="0" borderId="19" xfId="2" applyFont="1" applyBorder="1"/>
    <xf numFmtId="0" fontId="174" fillId="0" borderId="20" xfId="2" applyFont="1" applyBorder="1"/>
    <xf numFmtId="167" fontId="174" fillId="0" borderId="13" xfId="14" applyNumberFormat="1" applyFont="1" applyFill="1" applyBorder="1"/>
    <xf numFmtId="167" fontId="174" fillId="0" borderId="11" xfId="14" applyNumberFormat="1" applyFont="1" applyFill="1" applyBorder="1"/>
    <xf numFmtId="168" fontId="174" fillId="0" borderId="6" xfId="2" applyNumberFormat="1" applyFont="1" applyBorder="1"/>
    <xf numFmtId="168" fontId="174" fillId="0" borderId="21" xfId="2" applyNumberFormat="1" applyFont="1" applyBorder="1"/>
    <xf numFmtId="0" fontId="174" fillId="0" borderId="8" xfId="2" applyFont="1" applyBorder="1" applyAlignment="1">
      <alignment vertical="center"/>
    </xf>
    <xf numFmtId="0" fontId="174" fillId="0" borderId="9" xfId="2" applyFont="1" applyBorder="1" applyAlignment="1">
      <alignment vertical="center"/>
    </xf>
    <xf numFmtId="168" fontId="174" fillId="0" borderId="14" xfId="2" applyNumberFormat="1" applyFont="1" applyBorder="1"/>
    <xf numFmtId="168" fontId="174" fillId="0" borderId="16" xfId="2" applyNumberFormat="1" applyFont="1" applyBorder="1"/>
    <xf numFmtId="0" fontId="174" fillId="0" borderId="17" xfId="2" applyFont="1" applyBorder="1" applyAlignment="1">
      <alignment vertical="center"/>
    </xf>
    <xf numFmtId="0" fontId="174" fillId="0" borderId="12" xfId="2" applyFont="1" applyBorder="1" applyAlignment="1">
      <alignment vertical="center"/>
    </xf>
    <xf numFmtId="168" fontId="174" fillId="0" borderId="11" xfId="2" applyNumberFormat="1" applyFont="1" applyBorder="1"/>
    <xf numFmtId="3" fontId="174" fillId="0" borderId="11" xfId="2" applyNumberFormat="1" applyFont="1" applyBorder="1"/>
    <xf numFmtId="3" fontId="174" fillId="0" borderId="12" xfId="2" applyNumberFormat="1" applyFont="1" applyBorder="1"/>
    <xf numFmtId="0" fontId="15" fillId="0" borderId="3" xfId="2" applyFont="1" applyBorder="1"/>
    <xf numFmtId="0" fontId="15" fillId="0" borderId="5" xfId="2" applyFont="1" applyBorder="1"/>
    <xf numFmtId="0" fontId="174" fillId="0" borderId="17" xfId="2" applyFont="1" applyBorder="1" applyAlignment="1">
      <alignment horizontal="left"/>
    </xf>
    <xf numFmtId="0" fontId="174" fillId="0" borderId="12" xfId="2" applyFont="1" applyBorder="1" applyAlignment="1">
      <alignment horizontal="left"/>
    </xf>
    <xf numFmtId="9" fontId="174" fillId="4" borderId="11" xfId="4" applyFont="1" applyFill="1" applyBorder="1" applyAlignment="1"/>
    <xf numFmtId="168" fontId="174" fillId="0" borderId="10" xfId="2" applyNumberFormat="1" applyFont="1" applyBorder="1"/>
    <xf numFmtId="168" fontId="174" fillId="0" borderId="12" xfId="2" applyNumberFormat="1" applyFont="1" applyBorder="1"/>
    <xf numFmtId="0" fontId="174" fillId="0" borderId="19" xfId="2" applyFont="1" applyBorder="1" applyAlignment="1">
      <alignment horizontal="left"/>
    </xf>
    <xf numFmtId="0" fontId="174" fillId="0" borderId="20" xfId="2" applyFont="1" applyBorder="1" applyAlignment="1">
      <alignment horizontal="left"/>
    </xf>
    <xf numFmtId="167" fontId="174" fillId="0" borderId="23" xfId="4" applyNumberFormat="1" applyFont="1" applyBorder="1" applyAlignment="1"/>
    <xf numFmtId="218" fontId="174" fillId="80" borderId="14" xfId="1" applyNumberFormat="1" applyFont="1" applyFill="1" applyBorder="1"/>
    <xf numFmtId="218" fontId="174" fillId="80" borderId="16" xfId="1" applyNumberFormat="1" applyFont="1" applyFill="1" applyBorder="1"/>
    <xf numFmtId="218" fontId="174" fillId="80" borderId="9" xfId="1" applyNumberFormat="1" applyFont="1" applyFill="1" applyBorder="1"/>
    <xf numFmtId="0" fontId="174" fillId="0" borderId="14" xfId="2" applyFont="1" applyBorder="1" applyAlignment="1">
      <alignment horizontal="left"/>
    </xf>
    <xf numFmtId="0" fontId="174" fillId="0" borderId="28" xfId="2" applyFont="1" applyBorder="1" applyAlignment="1">
      <alignment horizontal="left"/>
    </xf>
    <xf numFmtId="0" fontId="174" fillId="0" borderId="13" xfId="2" applyFont="1" applyBorder="1" applyAlignment="1">
      <alignment horizontal="left"/>
    </xf>
    <xf numFmtId="0" fontId="174" fillId="0" borderId="18" xfId="2" applyFont="1" applyBorder="1" applyAlignment="1">
      <alignment horizontal="left"/>
    </xf>
    <xf numFmtId="168" fontId="174" fillId="0" borderId="11" xfId="2" quotePrefix="1" applyNumberFormat="1" applyFont="1" applyBorder="1"/>
    <xf numFmtId="9" fontId="174" fillId="0" borderId="11" xfId="4" applyFont="1" applyBorder="1" applyAlignment="1"/>
    <xf numFmtId="168" fontId="15" fillId="0" borderId="61" xfId="2" applyNumberFormat="1" applyFont="1" applyBorder="1"/>
    <xf numFmtId="168" fontId="15" fillId="0" borderId="5" xfId="2" applyNumberFormat="1" applyFont="1" applyBorder="1"/>
    <xf numFmtId="0" fontId="8" fillId="0" borderId="0" xfId="0" applyFont="1"/>
    <xf numFmtId="219" fontId="15" fillId="0" borderId="0" xfId="1" applyNumberFormat="1" applyFont="1" applyFill="1" applyBorder="1"/>
    <xf numFmtId="3" fontId="15" fillId="0" borderId="6" xfId="2" applyNumberFormat="1" applyFont="1" applyBorder="1"/>
    <xf numFmtId="0" fontId="179" fillId="0" borderId="0" xfId="0" applyFont="1"/>
    <xf numFmtId="168" fontId="174" fillId="0" borderId="0" xfId="2" applyNumberFormat="1" applyFont="1"/>
    <xf numFmtId="168" fontId="174" fillId="80" borderId="7" xfId="1" applyNumberFormat="1" applyFont="1" applyFill="1" applyBorder="1"/>
    <xf numFmtId="168" fontId="174" fillId="80" borderId="6" xfId="1" applyNumberFormat="1" applyFont="1" applyFill="1" applyBorder="1"/>
    <xf numFmtId="43" fontId="174" fillId="0" borderId="16" xfId="1" applyFont="1" applyFill="1" applyBorder="1"/>
    <xf numFmtId="0" fontId="15" fillId="0" borderId="3" xfId="2" applyFont="1" applyBorder="1" applyAlignment="1">
      <alignment vertical="center"/>
    </xf>
    <xf numFmtId="0" fontId="174" fillId="0" borderId="5" xfId="2" applyFont="1" applyBorder="1"/>
    <xf numFmtId="3" fontId="174" fillId="0" borderId="6" xfId="2" applyNumberFormat="1" applyFont="1" applyBorder="1"/>
    <xf numFmtId="168" fontId="174" fillId="80" borderId="14" xfId="1" applyNumberFormat="1" applyFont="1" applyFill="1" applyBorder="1"/>
    <xf numFmtId="168" fontId="174" fillId="80" borderId="16" xfId="1" applyNumberFormat="1" applyFont="1" applyFill="1" applyBorder="1"/>
    <xf numFmtId="0" fontId="174" fillId="0" borderId="8" xfId="2" applyFont="1" applyBorder="1" applyAlignment="1">
      <alignment horizontal="left"/>
    </xf>
    <xf numFmtId="0" fontId="174" fillId="0" borderId="9" xfId="2" applyFont="1" applyBorder="1" applyAlignment="1">
      <alignment horizontal="left"/>
    </xf>
    <xf numFmtId="3" fontId="174" fillId="0" borderId="18" xfId="2" applyNumberFormat="1" applyFont="1" applyBorder="1"/>
    <xf numFmtId="0" fontId="15" fillId="0" borderId="3" xfId="2" applyFont="1" applyBorder="1" applyAlignment="1">
      <alignment horizontal="left"/>
    </xf>
    <xf numFmtId="0" fontId="15" fillId="0" borderId="5" xfId="2" applyFont="1" applyBorder="1" applyAlignment="1">
      <alignment horizontal="left"/>
    </xf>
    <xf numFmtId="3" fontId="15" fillId="0" borderId="21" xfId="2" applyNumberFormat="1" applyFont="1" applyBorder="1"/>
    <xf numFmtId="0" fontId="15" fillId="0" borderId="0" xfId="2" applyFont="1" applyAlignment="1">
      <alignment horizontal="left"/>
    </xf>
    <xf numFmtId="168" fontId="15" fillId="0" borderId="0" xfId="2" applyNumberFormat="1" applyFont="1"/>
    <xf numFmtId="3" fontId="15" fillId="0" borderId="0" xfId="2" applyNumberFormat="1" applyFont="1"/>
    <xf numFmtId="0" fontId="15" fillId="8" borderId="3" xfId="2" applyFont="1" applyFill="1" applyBorder="1" applyAlignment="1">
      <alignment vertical="center"/>
    </xf>
    <xf numFmtId="0" fontId="174" fillId="8" borderId="4" xfId="2" applyFont="1" applyFill="1" applyBorder="1"/>
    <xf numFmtId="168" fontId="15" fillId="8" borderId="7" xfId="2" applyNumberFormat="1" applyFont="1" applyFill="1" applyBorder="1"/>
    <xf numFmtId="168" fontId="15" fillId="8" borderId="6" xfId="2" applyNumberFormat="1" applyFont="1" applyFill="1" applyBorder="1"/>
    <xf numFmtId="3" fontId="15" fillId="8" borderId="6" xfId="2" applyNumberFormat="1" applyFont="1" applyFill="1" applyBorder="1"/>
    <xf numFmtId="3" fontId="15" fillId="8" borderId="21" xfId="2" applyNumberFormat="1" applyFont="1" applyFill="1" applyBorder="1"/>
    <xf numFmtId="0" fontId="15" fillId="0" borderId="0" xfId="2" applyFont="1" applyAlignment="1">
      <alignment vertical="center"/>
    </xf>
    <xf numFmtId="3" fontId="174" fillId="0" borderId="0" xfId="2" applyNumberFormat="1" applyFont="1"/>
    <xf numFmtId="220" fontId="174" fillId="0" borderId="14" xfId="1" applyNumberFormat="1" applyFont="1" applyFill="1" applyBorder="1"/>
    <xf numFmtId="220" fontId="174" fillId="0" borderId="16" xfId="1" applyNumberFormat="1" applyFont="1" applyFill="1" applyBorder="1"/>
    <xf numFmtId="220" fontId="174" fillId="0" borderId="28" xfId="1" applyNumberFormat="1" applyFont="1" applyFill="1" applyBorder="1"/>
    <xf numFmtId="220" fontId="174" fillId="0" borderId="13" xfId="1" applyNumberFormat="1" applyFont="1" applyFill="1" applyBorder="1"/>
    <xf numFmtId="220" fontId="174" fillId="0" borderId="11" xfId="1" applyNumberFormat="1" applyFont="1" applyFill="1" applyBorder="1"/>
    <xf numFmtId="220" fontId="174" fillId="0" borderId="18" xfId="1" applyNumberFormat="1" applyFont="1" applyFill="1" applyBorder="1"/>
    <xf numFmtId="220" fontId="174" fillId="0" borderId="24" xfId="1" applyNumberFormat="1" applyFont="1" applyFill="1" applyBorder="1"/>
    <xf numFmtId="220" fontId="174" fillId="0" borderId="23" xfId="1" applyNumberFormat="1" applyFont="1" applyFill="1" applyBorder="1"/>
    <xf numFmtId="220" fontId="174" fillId="0" borderId="30" xfId="1" applyNumberFormat="1" applyFont="1" applyFill="1" applyBorder="1"/>
    <xf numFmtId="0" fontId="15" fillId="0" borderId="8" xfId="2" applyFont="1" applyBorder="1" applyAlignment="1">
      <alignment vertical="center"/>
    </xf>
    <xf numFmtId="0" fontId="15" fillId="0" borderId="9" xfId="2" applyFont="1" applyBorder="1" applyAlignment="1">
      <alignment vertical="center"/>
    </xf>
    <xf numFmtId="168" fontId="15" fillId="0" borderId="9" xfId="2" applyNumberFormat="1" applyFont="1" applyBorder="1"/>
    <xf numFmtId="4" fontId="15" fillId="0" borderId="5" xfId="1" applyNumberFormat="1" applyFont="1" applyBorder="1"/>
    <xf numFmtId="4" fontId="181" fillId="0" borderId="5" xfId="1" applyNumberFormat="1" applyFont="1" applyBorder="1"/>
    <xf numFmtId="4" fontId="182" fillId="0" borderId="5" xfId="1" applyNumberFormat="1" applyFont="1" applyBorder="1"/>
    <xf numFmtId="0" fontId="15" fillId="8" borderId="3" xfId="2" applyFont="1" applyFill="1" applyBorder="1" applyAlignment="1">
      <alignment horizontal="left" vertical="center"/>
    </xf>
    <xf numFmtId="4" fontId="15" fillId="8" borderId="7" xfId="2" applyNumberFormat="1" applyFont="1" applyFill="1" applyBorder="1"/>
    <xf numFmtId="4" fontId="15" fillId="0" borderId="0" xfId="2" applyNumberFormat="1" applyFont="1"/>
    <xf numFmtId="0" fontId="183" fillId="0" borderId="0" xfId="2" applyFont="1"/>
    <xf numFmtId="43" fontId="15" fillId="0" borderId="0" xfId="1" applyFont="1" applyFill="1" applyBorder="1"/>
    <xf numFmtId="221" fontId="15" fillId="0" borderId="7" xfId="1" applyNumberFormat="1" applyFont="1" applyFill="1" applyBorder="1"/>
    <xf numFmtId="221" fontId="15" fillId="0" borderId="6" xfId="1" applyNumberFormat="1" applyFont="1" applyFill="1" applyBorder="1"/>
    <xf numFmtId="221" fontId="15" fillId="0" borderId="21" xfId="1" applyNumberFormat="1" applyFont="1" applyFill="1" applyBorder="1"/>
    <xf numFmtId="168" fontId="174" fillId="0" borderId="12" xfId="4" applyNumberFormat="1" applyFont="1" applyFill="1" applyBorder="1"/>
    <xf numFmtId="168" fontId="184" fillId="0" borderId="14" xfId="2" applyNumberFormat="1" applyFont="1" applyBorder="1"/>
    <xf numFmtId="168" fontId="184" fillId="0" borderId="16" xfId="2" applyNumberFormat="1" applyFont="1" applyBorder="1"/>
    <xf numFmtId="168" fontId="184" fillId="4" borderId="13" xfId="2" applyNumberFormat="1" applyFont="1" applyFill="1" applyBorder="1"/>
    <xf numFmtId="168" fontId="184" fillId="4" borderId="11" xfId="2" applyNumberFormat="1" applyFont="1" applyFill="1" applyBorder="1"/>
    <xf numFmtId="3" fontId="174" fillId="4" borderId="11" xfId="2" applyNumberFormat="1" applyFont="1" applyFill="1" applyBorder="1"/>
    <xf numFmtId="3" fontId="174" fillId="4" borderId="12" xfId="2" applyNumberFormat="1" applyFont="1" applyFill="1" applyBorder="1"/>
    <xf numFmtId="168" fontId="174" fillId="4" borderId="13" xfId="2" applyNumberFormat="1" applyFont="1" applyFill="1" applyBorder="1"/>
    <xf numFmtId="168" fontId="174" fillId="4" borderId="11" xfId="2" applyNumberFormat="1" applyFont="1" applyFill="1" applyBorder="1"/>
    <xf numFmtId="168" fontId="184" fillId="0" borderId="13" xfId="2" applyNumberFormat="1" applyFont="1" applyBorder="1"/>
    <xf numFmtId="168" fontId="184" fillId="0" borderId="11" xfId="2" applyNumberFormat="1" applyFont="1" applyBorder="1"/>
    <xf numFmtId="9" fontId="174" fillId="0" borderId="12" xfId="4" applyFont="1" applyBorder="1" applyAlignment="1"/>
    <xf numFmtId="168" fontId="184" fillId="0" borderId="7" xfId="2" applyNumberFormat="1" applyFont="1" applyBorder="1"/>
    <xf numFmtId="168" fontId="184" fillId="0" borderId="6" xfId="2" applyNumberFormat="1" applyFont="1" applyBorder="1"/>
    <xf numFmtId="168" fontId="174" fillId="4" borderId="11" xfId="1" applyNumberFormat="1" applyFont="1" applyFill="1" applyBorder="1"/>
    <xf numFmtId="168" fontId="178" fillId="4" borderId="11" xfId="4" applyNumberFormat="1" applyFont="1" applyFill="1" applyBorder="1" applyAlignment="1"/>
    <xf numFmtId="168" fontId="174" fillId="4" borderId="11" xfId="4" applyNumberFormat="1" applyFont="1" applyFill="1" applyBorder="1" applyAlignment="1"/>
    <xf numFmtId="3" fontId="181" fillId="0" borderId="7" xfId="2" applyNumberFormat="1" applyFont="1" applyBorder="1"/>
    <xf numFmtId="3" fontId="174" fillId="0" borderId="61" xfId="2" applyNumberFormat="1" applyFont="1" applyBorder="1"/>
    <xf numFmtId="3" fontId="184" fillId="0" borderId="16" xfId="2" applyNumberFormat="1" applyFont="1" applyBorder="1"/>
    <xf numFmtId="3" fontId="184" fillId="0" borderId="11" xfId="2" applyNumberFormat="1" applyFont="1" applyBorder="1"/>
    <xf numFmtId="3" fontId="184" fillId="69" borderId="13" xfId="2" applyNumberFormat="1" applyFont="1" applyFill="1" applyBorder="1"/>
    <xf numFmtId="3" fontId="184" fillId="69" borderId="11" xfId="2" applyNumberFormat="1" applyFont="1" applyFill="1" applyBorder="1"/>
    <xf numFmtId="3" fontId="15" fillId="0" borderId="7" xfId="2" applyNumberFormat="1" applyFont="1" applyBorder="1"/>
    <xf numFmtId="170" fontId="168" fillId="0" borderId="0" xfId="1" applyNumberFormat="1" applyFont="1"/>
    <xf numFmtId="221" fontId="174" fillId="4" borderId="14" xfId="1" applyNumberFormat="1" applyFont="1" applyFill="1" applyBorder="1"/>
    <xf numFmtId="221" fontId="174" fillId="4" borderId="16" xfId="1" applyNumberFormat="1" applyFont="1" applyFill="1" applyBorder="1"/>
    <xf numFmtId="221" fontId="174" fillId="4" borderId="28" xfId="1" applyNumberFormat="1" applyFont="1" applyFill="1" applyBorder="1"/>
    <xf numFmtId="218" fontId="174" fillId="4" borderId="13" xfId="1" applyNumberFormat="1" applyFont="1" applyFill="1" applyBorder="1"/>
    <xf numFmtId="218" fontId="174" fillId="4" borderId="11" xfId="1" applyNumberFormat="1" applyFont="1" applyFill="1" applyBorder="1"/>
    <xf numFmtId="222" fontId="174" fillId="4" borderId="13" xfId="1" applyNumberFormat="1" applyFont="1" applyFill="1" applyBorder="1"/>
    <xf numFmtId="4" fontId="174" fillId="4" borderId="11" xfId="2" applyNumberFormat="1" applyFont="1" applyFill="1" applyBorder="1"/>
    <xf numFmtId="167" fontId="174" fillId="4" borderId="13" xfId="14" applyNumberFormat="1" applyFont="1" applyFill="1" applyBorder="1"/>
    <xf numFmtId="167" fontId="174" fillId="4" borderId="11" xfId="14" applyNumberFormat="1" applyFont="1" applyFill="1" applyBorder="1"/>
    <xf numFmtId="221" fontId="15" fillId="4" borderId="7" xfId="1" applyNumberFormat="1" applyFont="1" applyFill="1" applyBorder="1"/>
    <xf numFmtId="221" fontId="15" fillId="4" borderId="6" xfId="1" applyNumberFormat="1" applyFont="1" applyFill="1" applyBorder="1"/>
    <xf numFmtId="221" fontId="15" fillId="4" borderId="21" xfId="1" applyNumberFormat="1" applyFont="1" applyFill="1" applyBorder="1"/>
    <xf numFmtId="220" fontId="174" fillId="4" borderId="13" xfId="1" applyNumberFormat="1" applyFont="1" applyFill="1" applyBorder="1"/>
    <xf numFmtId="220" fontId="174" fillId="4" borderId="11" xfId="1" applyNumberFormat="1" applyFont="1" applyFill="1" applyBorder="1"/>
    <xf numFmtId="220" fontId="174" fillId="4" borderId="18" xfId="1" applyNumberFormat="1" applyFont="1" applyFill="1" applyBorder="1"/>
    <xf numFmtId="3" fontId="184" fillId="4" borderId="11" xfId="2" applyNumberFormat="1" applyFont="1" applyFill="1" applyBorder="1"/>
    <xf numFmtId="3" fontId="15" fillId="8" borderId="7" xfId="2" applyNumberFormat="1" applyFont="1" applyFill="1" applyBorder="1"/>
    <xf numFmtId="0" fontId="11" fillId="0" borderId="0" xfId="9" applyFont="1"/>
    <xf numFmtId="0" fontId="3" fillId="0" borderId="0" xfId="1298" applyFont="1"/>
    <xf numFmtId="0" fontId="3" fillId="0" borderId="0" xfId="1298" applyFont="1" applyAlignment="1">
      <alignment horizontal="center"/>
    </xf>
    <xf numFmtId="0" fontId="3" fillId="0" borderId="22" xfId="2" applyFont="1" applyBorder="1"/>
    <xf numFmtId="0" fontId="4" fillId="0" borderId="0" xfId="1298" applyFont="1"/>
    <xf numFmtId="0" fontId="3" fillId="3" borderId="2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7" xfId="2" applyFont="1" applyFill="1" applyBorder="1" applyAlignment="1">
      <alignment horizontal="center" vertical="center" wrapText="1"/>
    </xf>
    <xf numFmtId="0" fontId="3" fillId="3" borderId="6"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189" fillId="0" borderId="0" xfId="9" applyFont="1"/>
    <xf numFmtId="0" fontId="11" fillId="0" borderId="4" xfId="9" applyFont="1" applyBorder="1"/>
    <xf numFmtId="0" fontId="4" fillId="0" borderId="1" xfId="1298" applyFont="1" applyBorder="1" applyAlignment="1">
      <alignment horizontal="left" indent="1"/>
    </xf>
    <xf numFmtId="3" fontId="4" fillId="0" borderId="1" xfId="1298" applyNumberFormat="1" applyFont="1" applyBorder="1"/>
    <xf numFmtId="3" fontId="4" fillId="7" borderId="14" xfId="1298" applyNumberFormat="1" applyFont="1" applyFill="1" applyBorder="1"/>
    <xf numFmtId="3" fontId="4" fillId="5" borderId="16" xfId="1298" applyNumberFormat="1" applyFont="1" applyFill="1" applyBorder="1"/>
    <xf numFmtId="3" fontId="4" fillId="69" borderId="16" xfId="1298" applyNumberFormat="1" applyFont="1" applyFill="1" applyBorder="1"/>
    <xf numFmtId="3" fontId="4" fillId="69" borderId="28" xfId="1298" applyNumberFormat="1" applyFont="1" applyFill="1" applyBorder="1"/>
    <xf numFmtId="3" fontId="4" fillId="69" borderId="1" xfId="1298" applyNumberFormat="1" applyFont="1" applyFill="1" applyBorder="1"/>
    <xf numFmtId="43" fontId="11" fillId="0" borderId="0" xfId="1" applyFont="1"/>
    <xf numFmtId="0" fontId="4" fillId="0" borderId="25" xfId="1298" applyFont="1" applyBorder="1" applyAlignment="1">
      <alignment horizontal="left" indent="1"/>
    </xf>
    <xf numFmtId="3" fontId="4" fillId="0" borderId="25" xfId="1298" applyNumberFormat="1" applyFont="1" applyBorder="1"/>
    <xf numFmtId="3" fontId="4" fillId="5" borderId="13" xfId="1298" applyNumberFormat="1" applyFont="1" applyFill="1" applyBorder="1"/>
    <xf numFmtId="3" fontId="4" fillId="7" borderId="11" xfId="1298" applyNumberFormat="1" applyFont="1" applyFill="1" applyBorder="1"/>
    <xf numFmtId="3" fontId="4" fillId="69" borderId="11" xfId="1298" applyNumberFormat="1" applyFont="1" applyFill="1" applyBorder="1"/>
    <xf numFmtId="3" fontId="4" fillId="69" borderId="18" xfId="1298" applyNumberFormat="1" applyFont="1" applyFill="1" applyBorder="1"/>
    <xf numFmtId="3" fontId="4" fillId="69" borderId="25" xfId="1298" applyNumberFormat="1" applyFont="1" applyFill="1" applyBorder="1"/>
    <xf numFmtId="0" fontId="4" fillId="0" borderId="22" xfId="1298" applyFont="1" applyBorder="1" applyAlignment="1">
      <alignment vertical="center"/>
    </xf>
    <xf numFmtId="3" fontId="4" fillId="0" borderId="22" xfId="1298" applyNumberFormat="1" applyFont="1" applyBorder="1"/>
    <xf numFmtId="3" fontId="4" fillId="0" borderId="7" xfId="1298" applyNumberFormat="1" applyFont="1" applyBorder="1"/>
    <xf numFmtId="3" fontId="4" fillId="0" borderId="6" xfId="1298" applyNumberFormat="1" applyFont="1" applyBorder="1"/>
    <xf numFmtId="3" fontId="4" fillId="69" borderId="6" xfId="1298" applyNumberFormat="1" applyFont="1" applyFill="1" applyBorder="1"/>
    <xf numFmtId="3" fontId="4" fillId="69" borderId="21" xfId="1298" applyNumberFormat="1" applyFont="1" applyFill="1" applyBorder="1"/>
    <xf numFmtId="3" fontId="4" fillId="69" borderId="22" xfId="1298" applyNumberFormat="1" applyFont="1" applyFill="1" applyBorder="1"/>
    <xf numFmtId="3" fontId="4" fillId="5" borderId="14" xfId="1298" applyNumberFormat="1" applyFont="1" applyFill="1" applyBorder="1"/>
    <xf numFmtId="3" fontId="4" fillId="0" borderId="16" xfId="1298" applyNumberFormat="1" applyFont="1" applyBorder="1"/>
    <xf numFmtId="3" fontId="4" fillId="5" borderId="11" xfId="1298" applyNumberFormat="1" applyFont="1" applyFill="1" applyBorder="1"/>
    <xf numFmtId="3" fontId="4" fillId="0" borderId="11" xfId="1298" applyNumberFormat="1" applyFont="1" applyBorder="1"/>
    <xf numFmtId="3" fontId="4" fillId="0" borderId="18" xfId="1298" applyNumberFormat="1" applyFont="1" applyBorder="1"/>
    <xf numFmtId="3" fontId="4" fillId="83" borderId="25" xfId="1298" applyNumberFormat="1" applyFont="1" applyFill="1" applyBorder="1"/>
    <xf numFmtId="0" fontId="4" fillId="0" borderId="2" xfId="1298" applyFont="1" applyBorder="1" applyAlignment="1">
      <alignment horizontal="left" indent="1"/>
    </xf>
    <xf numFmtId="3" fontId="4" fillId="0" borderId="2" xfId="1298" applyNumberFormat="1" applyFont="1" applyBorder="1"/>
    <xf numFmtId="3" fontId="4" fillId="5" borderId="24" xfId="1298" applyNumberFormat="1" applyFont="1" applyFill="1" applyBorder="1"/>
    <xf numFmtId="3" fontId="4" fillId="5" borderId="23" xfId="1298" applyNumberFormat="1" applyFont="1" applyFill="1" applyBorder="1"/>
    <xf numFmtId="3" fontId="4" fillId="83" borderId="2" xfId="1298" applyNumberFormat="1" applyFont="1" applyFill="1" applyBorder="1"/>
    <xf numFmtId="0" fontId="3" fillId="0" borderId="22" xfId="1298" applyFont="1" applyBorder="1" applyAlignment="1">
      <alignment vertical="center"/>
    </xf>
    <xf numFmtId="3" fontId="3" fillId="0" borderId="22" xfId="1298" applyNumberFormat="1" applyFont="1" applyBorder="1"/>
    <xf numFmtId="3" fontId="3" fillId="0" borderId="7" xfId="1298" applyNumberFormat="1" applyFont="1" applyBorder="1"/>
    <xf numFmtId="3" fontId="3" fillId="0" borderId="6" xfId="1298" applyNumberFormat="1" applyFont="1" applyBorder="1"/>
    <xf numFmtId="3" fontId="11" fillId="0" borderId="0" xfId="9" applyNumberFormat="1" applyFont="1"/>
    <xf numFmtId="0" fontId="4" fillId="7" borderId="1" xfId="1298" applyFont="1" applyFill="1" applyBorder="1" applyAlignment="1">
      <alignment horizontal="left" indent="1"/>
    </xf>
    <xf numFmtId="3" fontId="4" fillId="0" borderId="9" xfId="1298" applyNumberFormat="1" applyFont="1" applyBorder="1"/>
    <xf numFmtId="3" fontId="4" fillId="0" borderId="14" xfId="1298" applyNumberFormat="1" applyFont="1" applyBorder="1"/>
    <xf numFmtId="0" fontId="4" fillId="7" borderId="25" xfId="1298" applyFont="1" applyFill="1" applyBorder="1" applyAlignment="1">
      <alignment horizontal="left" indent="1"/>
    </xf>
    <xf numFmtId="3" fontId="4" fillId="0" borderId="12" xfId="1298" applyNumberFormat="1" applyFont="1" applyBorder="1"/>
    <xf numFmtId="3" fontId="4" fillId="0" borderId="13" xfId="1298" applyNumberFormat="1" applyFont="1" applyBorder="1"/>
    <xf numFmtId="3" fontId="4" fillId="0" borderId="21" xfId="1298" applyNumberFormat="1" applyFont="1" applyBorder="1"/>
    <xf numFmtId="3" fontId="4" fillId="0" borderId="8" xfId="1298" applyNumberFormat="1" applyFont="1" applyBorder="1"/>
    <xf numFmtId="3" fontId="4" fillId="0" borderId="17" xfId="1298" applyNumberFormat="1" applyFont="1" applyBorder="1"/>
    <xf numFmtId="3" fontId="4" fillId="0" borderId="19" xfId="1298" applyNumberFormat="1" applyFont="1" applyBorder="1"/>
    <xf numFmtId="3" fontId="190" fillId="0" borderId="0" xfId="1298" applyNumberFormat="1" applyFont="1"/>
    <xf numFmtId="3" fontId="4" fillId="0" borderId="0" xfId="1298" applyNumberFormat="1" applyFont="1"/>
    <xf numFmtId="3" fontId="4" fillId="0" borderId="1" xfId="3" applyNumberFormat="1" applyFont="1" applyBorder="1"/>
    <xf numFmtId="3" fontId="4" fillId="0" borderId="25" xfId="3" applyNumberFormat="1" applyFont="1" applyBorder="1"/>
    <xf numFmtId="3" fontId="4" fillId="0" borderId="2" xfId="3" applyNumberFormat="1" applyFont="1" applyBorder="1"/>
    <xf numFmtId="3" fontId="4" fillId="0" borderId="63" xfId="1298" applyNumberFormat="1" applyFont="1" applyBorder="1"/>
    <xf numFmtId="3" fontId="4" fillId="0" borderId="1" xfId="3" quotePrefix="1" applyNumberFormat="1" applyFont="1" applyBorder="1"/>
    <xf numFmtId="3" fontId="4" fillId="0" borderId="25" xfId="3" quotePrefix="1" applyNumberFormat="1" applyFont="1" applyBorder="1"/>
    <xf numFmtId="3" fontId="4" fillId="0" borderId="2" xfId="3" quotePrefix="1" applyNumberFormat="1" applyFont="1" applyBorder="1"/>
    <xf numFmtId="0" fontId="4" fillId="0" borderId="0" xfId="9" applyFont="1" applyAlignment="1">
      <alignment horizontal="left"/>
    </xf>
    <xf numFmtId="3" fontId="4" fillId="69" borderId="14" xfId="1298" applyNumberFormat="1" applyFont="1" applyFill="1" applyBorder="1"/>
    <xf numFmtId="3" fontId="4" fillId="69" borderId="13" xfId="1298" applyNumberFormat="1" applyFont="1" applyFill="1" applyBorder="1"/>
    <xf numFmtId="3" fontId="4" fillId="7" borderId="16" xfId="1298" applyNumberFormat="1" applyFont="1" applyFill="1" applyBorder="1"/>
    <xf numFmtId="3" fontId="4" fillId="7" borderId="18" xfId="1298" applyNumberFormat="1" applyFont="1" applyFill="1" applyBorder="1"/>
    <xf numFmtId="3" fontId="4" fillId="69" borderId="24" xfId="1298" applyNumberFormat="1" applyFont="1" applyFill="1" applyBorder="1"/>
    <xf numFmtId="3" fontId="4" fillId="69" borderId="23" xfId="1298" applyNumberFormat="1" applyFont="1" applyFill="1" applyBorder="1"/>
    <xf numFmtId="0" fontId="191" fillId="0" borderId="0" xfId="0" applyFont="1"/>
    <xf numFmtId="3" fontId="4" fillId="0" borderId="23" xfId="1298" applyNumberFormat="1" applyFont="1" applyBorder="1"/>
    <xf numFmtId="3" fontId="4" fillId="69" borderId="7" xfId="1298" applyNumberFormat="1" applyFont="1" applyFill="1" applyBorder="1"/>
    <xf numFmtId="3" fontId="4" fillId="69" borderId="1" xfId="3" quotePrefix="1" applyNumberFormat="1" applyFont="1" applyFill="1" applyBorder="1"/>
    <xf numFmtId="3" fontId="4" fillId="69" borderId="25" xfId="3" quotePrefix="1" applyNumberFormat="1" applyFont="1" applyFill="1" applyBorder="1"/>
    <xf numFmtId="3" fontId="4" fillId="69" borderId="2" xfId="3" quotePrefix="1" applyNumberFormat="1" applyFont="1" applyFill="1" applyBorder="1"/>
    <xf numFmtId="3" fontId="4" fillId="69" borderId="2" xfId="1298" applyNumberFormat="1" applyFont="1" applyFill="1" applyBorder="1"/>
    <xf numFmtId="0" fontId="4" fillId="0" borderId="1" xfId="3" applyFont="1" applyBorder="1" applyAlignment="1">
      <alignment horizontal="left" indent="1"/>
    </xf>
    <xf numFmtId="0" fontId="4" fillId="0" borderId="25" xfId="3" applyFont="1" applyBorder="1" applyAlignment="1">
      <alignment horizontal="left" indent="1"/>
    </xf>
    <xf numFmtId="0" fontId="4" fillId="0" borderId="2" xfId="3" applyFont="1" applyBorder="1" applyAlignment="1">
      <alignment horizontal="left" indent="1"/>
    </xf>
    <xf numFmtId="0" fontId="11" fillId="0" borderId="32" xfId="9" applyFont="1" applyBorder="1"/>
    <xf numFmtId="0" fontId="5" fillId="0" borderId="32" xfId="9" applyBorder="1"/>
    <xf numFmtId="4" fontId="3" fillId="0" borderId="0" xfId="2" applyNumberFormat="1" applyFont="1"/>
    <xf numFmtId="3" fontId="192" fillId="0" borderId="1" xfId="1298" applyNumberFormat="1" applyFont="1" applyBorder="1"/>
    <xf numFmtId="168" fontId="4" fillId="69" borderId="28" xfId="1298" applyNumberFormat="1" applyFont="1" applyFill="1" applyBorder="1"/>
    <xf numFmtId="3" fontId="192" fillId="0" borderId="25" xfId="1298" applyNumberFormat="1" applyFont="1" applyBorder="1"/>
    <xf numFmtId="168" fontId="4" fillId="69" borderId="18" xfId="1298" applyNumberFormat="1" applyFont="1" applyFill="1" applyBorder="1"/>
    <xf numFmtId="168" fontId="4" fillId="5" borderId="30" xfId="1298" applyNumberFormat="1" applyFont="1" applyFill="1" applyBorder="1"/>
    <xf numFmtId="3" fontId="3" fillId="0" borderId="61" xfId="1298" applyNumberFormat="1" applyFont="1" applyBorder="1"/>
    <xf numFmtId="3" fontId="3" fillId="0" borderId="63" xfId="1298" applyNumberFormat="1" applyFont="1" applyBorder="1"/>
    <xf numFmtId="0" fontId="190" fillId="0" borderId="0" xfId="1298" applyFont="1"/>
    <xf numFmtId="0" fontId="190" fillId="0" borderId="27" xfId="1298" applyFont="1" applyBorder="1"/>
    <xf numFmtId="3" fontId="4" fillId="0" borderId="27" xfId="1298" applyNumberFormat="1" applyFont="1" applyBorder="1"/>
    <xf numFmtId="3" fontId="192" fillId="0" borderId="9" xfId="1298" applyNumberFormat="1" applyFont="1" applyBorder="1"/>
    <xf numFmtId="3" fontId="192" fillId="0" borderId="14" xfId="1298" applyNumberFormat="1" applyFont="1" applyBorder="1"/>
    <xf numFmtId="3" fontId="192" fillId="0" borderId="16" xfId="1298" applyNumberFormat="1" applyFont="1" applyBorder="1"/>
    <xf numFmtId="3" fontId="192" fillId="0" borderId="28" xfId="1298" applyNumberFormat="1" applyFont="1" applyBorder="1"/>
    <xf numFmtId="3" fontId="192" fillId="0" borderId="12" xfId="1298" applyNumberFormat="1" applyFont="1" applyBorder="1"/>
    <xf numFmtId="3" fontId="192" fillId="0" borderId="13" xfId="1298" applyNumberFormat="1" applyFont="1" applyBorder="1"/>
    <xf numFmtId="3" fontId="192" fillId="0" borderId="11" xfId="1298" applyNumberFormat="1" applyFont="1" applyBorder="1"/>
    <xf numFmtId="3" fontId="192" fillId="0" borderId="18" xfId="1298" applyNumberFormat="1" applyFont="1" applyBorder="1"/>
    <xf numFmtId="3" fontId="193" fillId="0" borderId="18" xfId="1298" applyNumberFormat="1" applyFont="1" applyBorder="1"/>
    <xf numFmtId="3" fontId="3" fillId="69" borderId="61" xfId="1298" applyNumberFormat="1" applyFont="1" applyFill="1" applyBorder="1"/>
    <xf numFmtId="3" fontId="3" fillId="69" borderId="6" xfId="1298" applyNumberFormat="1" applyFont="1" applyFill="1" applyBorder="1"/>
    <xf numFmtId="3" fontId="4" fillId="69" borderId="8" xfId="1298" applyNumberFormat="1" applyFont="1" applyFill="1" applyBorder="1"/>
    <xf numFmtId="3" fontId="4" fillId="69" borderId="17" xfId="1298" applyNumberFormat="1" applyFont="1" applyFill="1" applyBorder="1"/>
    <xf numFmtId="3" fontId="4" fillId="69" borderId="19" xfId="1298" applyNumberFormat="1" applyFont="1" applyFill="1" applyBorder="1"/>
    <xf numFmtId="168" fontId="4" fillId="69" borderId="30" xfId="1298" applyNumberFormat="1" applyFont="1" applyFill="1" applyBorder="1"/>
    <xf numFmtId="3" fontId="3" fillId="69" borderId="22" xfId="1298" applyNumberFormat="1" applyFont="1" applyFill="1" applyBorder="1"/>
    <xf numFmtId="3" fontId="3" fillId="69" borderId="63" xfId="1298" applyNumberFormat="1" applyFont="1" applyFill="1" applyBorder="1"/>
    <xf numFmtId="3" fontId="192" fillId="7" borderId="1" xfId="1298" applyNumberFormat="1" applyFont="1" applyFill="1" applyBorder="1"/>
    <xf numFmtId="3" fontId="192" fillId="7" borderId="25" xfId="1298" applyNumberFormat="1" applyFont="1" applyFill="1" applyBorder="1"/>
    <xf numFmtId="3" fontId="192" fillId="5" borderId="13" xfId="1298" applyNumberFormat="1" applyFont="1" applyFill="1" applyBorder="1"/>
    <xf numFmtId="168" fontId="190" fillId="0" borderId="0" xfId="1298" applyNumberFormat="1" applyFont="1"/>
    <xf numFmtId="3" fontId="192" fillId="69" borderId="14" xfId="1298" applyNumberFormat="1" applyFont="1" applyFill="1" applyBorder="1"/>
    <xf numFmtId="3" fontId="192" fillId="69" borderId="16" xfId="1298" applyNumberFormat="1" applyFont="1" applyFill="1" applyBorder="1"/>
    <xf numFmtId="3" fontId="192" fillId="69" borderId="13" xfId="1298" applyNumberFormat="1" applyFont="1" applyFill="1" applyBorder="1"/>
    <xf numFmtId="3" fontId="192" fillId="69" borderId="11" xfId="1298" applyNumberFormat="1" applyFont="1" applyFill="1" applyBorder="1"/>
    <xf numFmtId="3" fontId="192" fillId="69" borderId="18" xfId="1298" applyNumberFormat="1" applyFont="1" applyFill="1" applyBorder="1"/>
    <xf numFmtId="168" fontId="4" fillId="5" borderId="18" xfId="1298" applyNumberFormat="1" applyFont="1" applyFill="1" applyBorder="1"/>
    <xf numFmtId="3" fontId="193" fillId="0" borderId="11" xfId="1298" applyNumberFormat="1" applyFont="1" applyBorder="1"/>
    <xf numFmtId="3" fontId="192" fillId="69" borderId="24" xfId="1298" applyNumberFormat="1" applyFont="1" applyFill="1" applyBorder="1"/>
    <xf numFmtId="3" fontId="192" fillId="69" borderId="23" xfId="1298" applyNumberFormat="1" applyFont="1" applyFill="1" applyBorder="1"/>
    <xf numFmtId="3" fontId="192" fillId="0" borderId="30" xfId="1298" applyNumberFormat="1" applyFont="1" applyBorder="1"/>
    <xf numFmtId="0" fontId="194" fillId="0" borderId="0" xfId="0" applyFont="1"/>
    <xf numFmtId="3" fontId="193" fillId="0" borderId="1" xfId="1298" applyNumberFormat="1" applyFont="1" applyBorder="1"/>
    <xf numFmtId="3" fontId="193" fillId="0" borderId="25" xfId="1298" applyNumberFormat="1" applyFont="1" applyBorder="1"/>
    <xf numFmtId="168" fontId="192" fillId="69" borderId="28" xfId="1298" applyNumberFormat="1" applyFont="1" applyFill="1" applyBorder="1"/>
    <xf numFmtId="3" fontId="192" fillId="7" borderId="11" xfId="1298" applyNumberFormat="1" applyFont="1" applyFill="1" applyBorder="1"/>
    <xf numFmtId="168" fontId="192" fillId="69" borderId="18" xfId="1298" applyNumberFormat="1" applyFont="1" applyFill="1" applyBorder="1"/>
    <xf numFmtId="3" fontId="192" fillId="0" borderId="23" xfId="1298" applyNumberFormat="1" applyFont="1" applyBorder="1"/>
    <xf numFmtId="3" fontId="192" fillId="5" borderId="11" xfId="1298" applyNumberFormat="1" applyFont="1" applyFill="1" applyBorder="1"/>
    <xf numFmtId="3" fontId="192" fillId="5" borderId="24" xfId="1298" applyNumberFormat="1" applyFont="1" applyFill="1" applyBorder="1"/>
    <xf numFmtId="3" fontId="192" fillId="5" borderId="23" xfId="1298" applyNumberFormat="1" applyFont="1" applyFill="1" applyBorder="1"/>
    <xf numFmtId="0" fontId="3" fillId="0" borderId="22" xfId="3" applyFont="1" applyBorder="1" applyAlignment="1">
      <alignment vertical="center"/>
    </xf>
    <xf numFmtId="3" fontId="3" fillId="83" borderId="7" xfId="1298" applyNumberFormat="1" applyFont="1" applyFill="1" applyBorder="1"/>
    <xf numFmtId="3" fontId="3" fillId="83" borderId="6" xfId="1298" applyNumberFormat="1" applyFont="1" applyFill="1" applyBorder="1"/>
    <xf numFmtId="3" fontId="3" fillId="83" borderId="21" xfId="1298" applyNumberFormat="1" applyFont="1" applyFill="1" applyBorder="1"/>
    <xf numFmtId="168" fontId="4" fillId="0" borderId="18" xfId="1298" applyNumberFormat="1" applyFont="1" applyBorder="1"/>
    <xf numFmtId="3" fontId="192" fillId="69" borderId="9" xfId="1298" applyNumberFormat="1" applyFont="1" applyFill="1" applyBorder="1"/>
    <xf numFmtId="3" fontId="192" fillId="69" borderId="28" xfId="1298" applyNumberFormat="1" applyFont="1" applyFill="1" applyBorder="1"/>
    <xf numFmtId="3" fontId="192" fillId="69" borderId="12" xfId="1298" applyNumberFormat="1" applyFont="1" applyFill="1" applyBorder="1"/>
    <xf numFmtId="3" fontId="3" fillId="69" borderId="7" xfId="1298" applyNumberFormat="1" applyFont="1" applyFill="1" applyBorder="1"/>
    <xf numFmtId="3" fontId="3" fillId="69" borderId="21" xfId="1298" applyNumberFormat="1" applyFont="1" applyFill="1" applyBorder="1"/>
    <xf numFmtId="3" fontId="192" fillId="69" borderId="1" xfId="1298" applyNumberFormat="1" applyFont="1" applyFill="1" applyBorder="1"/>
    <xf numFmtId="3" fontId="192" fillId="69" borderId="25" xfId="1298" applyNumberFormat="1" applyFont="1" applyFill="1" applyBorder="1"/>
    <xf numFmtId="3" fontId="193" fillId="0" borderId="16" xfId="1298" applyNumberFormat="1" applyFont="1" applyBorder="1"/>
    <xf numFmtId="3" fontId="192" fillId="69" borderId="22" xfId="1298" applyNumberFormat="1" applyFont="1" applyFill="1" applyBorder="1"/>
    <xf numFmtId="0" fontId="11" fillId="7" borderId="0" xfId="9" applyFont="1" applyFill="1"/>
    <xf numFmtId="3" fontId="4" fillId="69" borderId="1" xfId="3" applyNumberFormat="1" applyFont="1" applyFill="1" applyBorder="1"/>
    <xf numFmtId="3" fontId="4" fillId="69" borderId="25" xfId="3" applyNumberFormat="1" applyFont="1" applyFill="1" applyBorder="1"/>
    <xf numFmtId="3" fontId="4" fillId="69" borderId="2" xfId="3" applyNumberFormat="1" applyFont="1" applyFill="1" applyBorder="1"/>
    <xf numFmtId="0" fontId="4" fillId="0" borderId="1" xfId="1298" applyFont="1" applyBorder="1" applyAlignment="1">
      <alignment vertical="center"/>
    </xf>
    <xf numFmtId="3" fontId="195" fillId="0" borderId="11" xfId="1298" applyNumberFormat="1" applyFont="1" applyBorder="1"/>
    <xf numFmtId="3" fontId="195" fillId="0" borderId="18" xfId="1298" applyNumberFormat="1" applyFont="1" applyBorder="1"/>
    <xf numFmtId="0" fontId="196" fillId="4" borderId="63" xfId="0" applyFont="1" applyFill="1" applyBorder="1" applyAlignment="1">
      <alignment horizontal="center" vertical="center"/>
    </xf>
    <xf numFmtId="0" fontId="168" fillId="0" borderId="0" xfId="0" applyFont="1" applyAlignment="1" applyProtection="1">
      <alignment horizontal="left" vertical="center"/>
      <protection locked="0"/>
    </xf>
    <xf numFmtId="0" fontId="179" fillId="0" borderId="0" xfId="0" applyFont="1" applyAlignment="1" applyProtection="1">
      <alignment horizontal="left" vertical="center"/>
      <protection locked="0"/>
    </xf>
    <xf numFmtId="3" fontId="168" fillId="0" borderId="71" xfId="0" applyNumberFormat="1" applyFont="1" applyBorder="1" applyAlignment="1">
      <alignment horizontal="right" vertical="center"/>
    </xf>
    <xf numFmtId="0" fontId="179" fillId="8" borderId="69" xfId="0" applyFont="1" applyFill="1" applyBorder="1" applyAlignment="1">
      <alignment horizontal="left" vertical="center"/>
    </xf>
    <xf numFmtId="0" fontId="168" fillId="8" borderId="70" xfId="0" applyFont="1" applyFill="1" applyBorder="1" applyAlignment="1">
      <alignment horizontal="left" vertical="center"/>
    </xf>
    <xf numFmtId="3" fontId="179" fillId="0" borderId="0" xfId="0" applyNumberFormat="1" applyFont="1" applyAlignment="1">
      <alignment horizontal="center" vertical="center"/>
    </xf>
    <xf numFmtId="3" fontId="203" fillId="0" borderId="71" xfId="0" applyNumberFormat="1" applyFont="1" applyBorder="1" applyAlignment="1" applyProtection="1">
      <alignment horizontal="right" vertical="center"/>
      <protection locked="0"/>
    </xf>
    <xf numFmtId="4" fontId="179" fillId="0" borderId="71" xfId="0" applyNumberFormat="1" applyFont="1" applyBorder="1" applyAlignment="1">
      <alignment horizontal="right" vertical="center"/>
    </xf>
    <xf numFmtId="0" fontId="179" fillId="8" borderId="72" xfId="0" applyFont="1" applyFill="1" applyBorder="1" applyAlignment="1">
      <alignment horizontal="center" vertical="center" wrapText="1"/>
    </xf>
    <xf numFmtId="0" fontId="179" fillId="8" borderId="69" xfId="0" applyFont="1" applyFill="1" applyBorder="1" applyAlignment="1">
      <alignment horizontal="center" vertical="center"/>
    </xf>
    <xf numFmtId="0" fontId="179" fillId="8" borderId="70" xfId="0" applyFont="1" applyFill="1" applyBorder="1" applyAlignment="1">
      <alignment horizontal="left" vertical="center"/>
    </xf>
    <xf numFmtId="0" fontId="179" fillId="8" borderId="73" xfId="0" applyFont="1" applyFill="1" applyBorder="1" applyAlignment="1">
      <alignment horizontal="left" vertical="center"/>
    </xf>
    <xf numFmtId="0" fontId="8" fillId="0" borderId="0" xfId="17" applyFont="1" applyAlignment="1">
      <alignment horizontal="center" vertical="center"/>
    </xf>
    <xf numFmtId="0" fontId="179" fillId="8" borderId="71" xfId="0" applyFont="1" applyFill="1" applyBorder="1" applyAlignment="1">
      <alignment horizontal="center" vertical="center"/>
    </xf>
    <xf numFmtId="3" fontId="179" fillId="8" borderId="74" xfId="0" applyNumberFormat="1" applyFont="1" applyFill="1" applyBorder="1" applyAlignment="1">
      <alignment horizontal="center" vertical="center"/>
    </xf>
    <xf numFmtId="0" fontId="179" fillId="8" borderId="71" xfId="0" applyFont="1" applyFill="1" applyBorder="1" applyAlignment="1">
      <alignment horizontal="center" vertical="center" wrapText="1"/>
    </xf>
    <xf numFmtId="0" fontId="168" fillId="8" borderId="69" xfId="0" applyFont="1" applyFill="1" applyBorder="1" applyAlignment="1">
      <alignment horizontal="left" vertical="center"/>
    </xf>
    <xf numFmtId="0" fontId="205" fillId="84" borderId="72" xfId="0" applyFont="1" applyFill="1" applyBorder="1" applyAlignment="1">
      <alignment horizontal="right" vertical="center" wrapText="1"/>
    </xf>
    <xf numFmtId="167" fontId="168" fillId="0" borderId="71" xfId="0" applyNumberFormat="1" applyFont="1" applyBorder="1" applyAlignment="1">
      <alignment horizontal="center" vertical="center"/>
    </xf>
    <xf numFmtId="167" fontId="168" fillId="0" borderId="71" xfId="0" applyNumberFormat="1" applyFont="1" applyBorder="1" applyAlignment="1">
      <alignment horizontal="right" vertical="center"/>
    </xf>
    <xf numFmtId="0" fontId="207" fillId="0" borderId="0" xfId="17" applyFont="1" applyAlignment="1">
      <alignment horizontal="center" vertical="center"/>
    </xf>
    <xf numFmtId="0" fontId="206" fillId="0" borderId="0" xfId="0" applyFont="1"/>
    <xf numFmtId="3" fontId="179" fillId="0" borderId="71" xfId="0" applyNumberFormat="1" applyFont="1" applyBorder="1" applyAlignment="1">
      <alignment horizontal="center" vertical="center"/>
    </xf>
    <xf numFmtId="3" fontId="179" fillId="0" borderId="71" xfId="0" applyNumberFormat="1" applyFont="1" applyBorder="1" applyAlignment="1">
      <alignment horizontal="right" vertical="center"/>
    </xf>
    <xf numFmtId="167" fontId="179" fillId="0" borderId="71" xfId="0" applyNumberFormat="1" applyFont="1" applyBorder="1" applyAlignment="1">
      <alignment horizontal="center" vertical="center"/>
    </xf>
    <xf numFmtId="3" fontId="173" fillId="0" borderId="71" xfId="0" applyNumberFormat="1" applyFont="1" applyBorder="1" applyAlignment="1">
      <alignment horizontal="center" vertical="center"/>
    </xf>
    <xf numFmtId="4" fontId="179" fillId="0" borderId="71" xfId="0" applyNumberFormat="1" applyFont="1" applyBorder="1" applyAlignment="1">
      <alignment horizontal="center" vertical="center"/>
    </xf>
    <xf numFmtId="0" fontId="210" fillId="0" borderId="0" xfId="17" applyFont="1" applyAlignment="1">
      <alignment wrapText="1"/>
    </xf>
    <xf numFmtId="0" fontId="7" fillId="0" borderId="0" xfId="17" applyFont="1" applyAlignment="1">
      <alignment horizontal="right" wrapText="1"/>
    </xf>
    <xf numFmtId="0" fontId="173" fillId="8" borderId="69" xfId="0" applyFont="1" applyFill="1" applyBorder="1" applyAlignment="1">
      <alignment horizontal="left" vertical="center"/>
    </xf>
    <xf numFmtId="3" fontId="4" fillId="0" borderId="28" xfId="0" applyNumberFormat="1" applyFont="1" applyBorder="1"/>
    <xf numFmtId="3" fontId="4" fillId="0" borderId="18" xfId="0" applyNumberFormat="1" applyFont="1" applyBorder="1"/>
    <xf numFmtId="0" fontId="4" fillId="0" borderId="17" xfId="3" applyFont="1" applyBorder="1" applyAlignment="1">
      <alignment horizontal="left"/>
    </xf>
    <xf numFmtId="168" fontId="4" fillId="0" borderId="18" xfId="3" applyNumberFormat="1" applyFont="1" applyBorder="1"/>
    <xf numFmtId="3" fontId="3" fillId="0" borderId="13" xfId="0" applyNumberFormat="1" applyFont="1" applyBorder="1"/>
    <xf numFmtId="3" fontId="3" fillId="0" borderId="11" xfId="0" applyNumberFormat="1" applyFont="1" applyBorder="1"/>
    <xf numFmtId="10" fontId="4" fillId="4" borderId="16" xfId="6" applyNumberFormat="1" applyFont="1" applyFill="1" applyBorder="1" applyAlignment="1">
      <alignment horizontal="right" vertical="center"/>
    </xf>
    <xf numFmtId="10" fontId="4" fillId="4" borderId="14" xfId="6" applyNumberFormat="1" applyFont="1" applyFill="1" applyBorder="1" applyAlignment="1">
      <alignment horizontal="right" vertical="center"/>
    </xf>
    <xf numFmtId="10" fontId="4" fillId="4" borderId="28" xfId="6" applyNumberFormat="1" applyFont="1" applyFill="1" applyBorder="1" applyAlignment="1">
      <alignment horizontal="right" vertical="center"/>
    </xf>
    <xf numFmtId="167" fontId="4" fillId="4" borderId="16" xfId="6" applyNumberFormat="1" applyFont="1" applyFill="1" applyBorder="1" applyAlignment="1">
      <alignment vertical="center"/>
    </xf>
    <xf numFmtId="167" fontId="4" fillId="4" borderId="9" xfId="6" applyNumberFormat="1" applyFont="1" applyFill="1" applyBorder="1" applyAlignment="1">
      <alignment vertical="center"/>
    </xf>
    <xf numFmtId="10" fontId="192" fillId="4" borderId="13" xfId="6" applyNumberFormat="1" applyFont="1" applyFill="1" applyBorder="1" applyAlignment="1">
      <alignment horizontal="right" vertical="center"/>
    </xf>
    <xf numFmtId="10" fontId="192" fillId="4" borderId="11" xfId="6" applyNumberFormat="1" applyFont="1" applyFill="1" applyBorder="1" applyAlignment="1">
      <alignment horizontal="right" vertical="center"/>
    </xf>
    <xf numFmtId="10" fontId="4" fillId="4" borderId="13" xfId="6" applyNumberFormat="1" applyFont="1" applyFill="1" applyBorder="1" applyAlignment="1">
      <alignment horizontal="right" vertical="center"/>
    </xf>
    <xf numFmtId="10" fontId="4" fillId="4" borderId="11" xfId="6" applyNumberFormat="1" applyFont="1" applyFill="1" applyBorder="1" applyAlignment="1">
      <alignment horizontal="right" vertical="center"/>
    </xf>
    <xf numFmtId="10" fontId="4" fillId="4" borderId="18" xfId="6" applyNumberFormat="1" applyFont="1" applyFill="1" applyBorder="1" applyAlignment="1">
      <alignment horizontal="right" vertical="center"/>
    </xf>
    <xf numFmtId="167" fontId="4" fillId="4" borderId="11" xfId="6" applyNumberFormat="1" applyFont="1" applyFill="1" applyBorder="1" applyAlignment="1">
      <alignment vertical="center"/>
    </xf>
    <xf numFmtId="167" fontId="4" fillId="4" borderId="12" xfId="6" applyNumberFormat="1" applyFont="1" applyFill="1" applyBorder="1" applyAlignment="1">
      <alignment vertical="center"/>
    </xf>
    <xf numFmtId="10" fontId="192" fillId="4" borderId="24" xfId="6" applyNumberFormat="1" applyFont="1" applyFill="1" applyBorder="1" applyAlignment="1">
      <alignment horizontal="right" vertical="center"/>
    </xf>
    <xf numFmtId="10" fontId="192" fillId="4" borderId="23" xfId="6" applyNumberFormat="1" applyFont="1" applyFill="1" applyBorder="1" applyAlignment="1">
      <alignment horizontal="right" vertical="center"/>
    </xf>
    <xf numFmtId="10" fontId="4" fillId="4" borderId="24" xfId="6" applyNumberFormat="1" applyFont="1" applyFill="1" applyBorder="1" applyAlignment="1">
      <alignment horizontal="right" vertical="center"/>
    </xf>
    <xf numFmtId="10" fontId="4" fillId="4" borderId="23" xfId="6" applyNumberFormat="1" applyFont="1" applyFill="1" applyBorder="1" applyAlignment="1">
      <alignment horizontal="right" vertical="center"/>
    </xf>
    <xf numFmtId="10" fontId="4" fillId="4" borderId="30" xfId="6" applyNumberFormat="1" applyFont="1" applyFill="1" applyBorder="1" applyAlignment="1">
      <alignment horizontal="right" vertical="center"/>
    </xf>
    <xf numFmtId="10" fontId="4" fillId="4" borderId="23" xfId="6" applyNumberFormat="1" applyFont="1" applyFill="1" applyBorder="1" applyAlignment="1">
      <alignment vertical="center"/>
    </xf>
    <xf numFmtId="167" fontId="4" fillId="4" borderId="23" xfId="6" applyNumberFormat="1" applyFont="1" applyFill="1" applyBorder="1" applyAlignment="1"/>
    <xf numFmtId="167" fontId="4" fillId="4" borderId="20" xfId="6" applyNumberFormat="1" applyFont="1" applyFill="1" applyBorder="1" applyAlignment="1"/>
    <xf numFmtId="168" fontId="195" fillId="0" borderId="0" xfId="3" applyNumberFormat="1" applyFont="1"/>
    <xf numFmtId="0" fontId="212" fillId="0" borderId="0" xfId="2" applyFont="1"/>
    <xf numFmtId="3" fontId="4" fillId="0" borderId="3" xfId="7" applyNumberFormat="1" applyFont="1" applyBorder="1"/>
    <xf numFmtId="3" fontId="5" fillId="0" borderId="0" xfId="9" applyNumberFormat="1"/>
    <xf numFmtId="3" fontId="195" fillId="0" borderId="6" xfId="7" applyNumberFormat="1" applyFont="1" applyBorder="1"/>
    <xf numFmtId="3" fontId="195" fillId="0" borderId="21" xfId="7" applyNumberFormat="1" applyFont="1" applyBorder="1"/>
    <xf numFmtId="3" fontId="4" fillId="0" borderId="0" xfId="6" applyNumberFormat="1" applyFont="1" applyFill="1" applyBorder="1" applyAlignment="1">
      <alignment horizontal="right" vertical="center"/>
    </xf>
    <xf numFmtId="3" fontId="4" fillId="7" borderId="0" xfId="5" applyNumberFormat="1" applyFont="1" applyFill="1" applyBorder="1" applyAlignment="1"/>
    <xf numFmtId="3" fontId="4" fillId="0" borderId="0" xfId="6" applyNumberFormat="1" applyFont="1" applyBorder="1" applyAlignment="1">
      <alignment vertical="center"/>
    </xf>
    <xf numFmtId="3" fontId="4" fillId="0" borderId="0" xfId="6" applyNumberFormat="1" applyFont="1" applyFill="1" applyBorder="1" applyAlignment="1"/>
    <xf numFmtId="3" fontId="195" fillId="0" borderId="0" xfId="3" applyNumberFormat="1" applyFont="1"/>
    <xf numFmtId="0" fontId="195" fillId="0" borderId="0" xfId="2" applyFont="1"/>
    <xf numFmtId="3" fontId="4" fillId="0" borderId="9" xfId="3" applyNumberFormat="1" applyFont="1" applyBorder="1"/>
    <xf numFmtId="3" fontId="4" fillId="0" borderId="12" xfId="3" applyNumberFormat="1" applyFont="1" applyBorder="1"/>
    <xf numFmtId="168" fontId="195" fillId="0" borderId="16" xfId="7" applyNumberFormat="1" applyFont="1" applyBorder="1"/>
    <xf numFmtId="0" fontId="213" fillId="0" borderId="0" xfId="9" applyFont="1"/>
    <xf numFmtId="3" fontId="195" fillId="0" borderId="16" xfId="7" applyNumberFormat="1" applyFont="1" applyBorder="1"/>
    <xf numFmtId="3" fontId="195" fillId="0" borderId="28" xfId="7" applyNumberFormat="1" applyFont="1" applyBorder="1"/>
    <xf numFmtId="3" fontId="16" fillId="0" borderId="0" xfId="3" applyNumberFormat="1" applyFont="1"/>
    <xf numFmtId="3" fontId="4" fillId="0" borderId="0" xfId="7" applyNumberFormat="1" applyFont="1"/>
    <xf numFmtId="3" fontId="195" fillId="0" borderId="0" xfId="7" applyNumberFormat="1" applyFont="1"/>
    <xf numFmtId="3" fontId="212" fillId="0" borderId="0" xfId="5" applyNumberFormat="1" applyFont="1" applyFill="1" applyBorder="1" applyAlignment="1"/>
    <xf numFmtId="3" fontId="212" fillId="0" borderId="0" xfId="3" applyNumberFormat="1" applyFont="1"/>
    <xf numFmtId="168" fontId="212" fillId="0" borderId="0" xfId="3" applyNumberFormat="1" applyFont="1"/>
    <xf numFmtId="10" fontId="192" fillId="0" borderId="16" xfId="6" applyNumberFormat="1" applyFont="1" applyFill="1" applyBorder="1" applyAlignment="1"/>
    <xf numFmtId="10" fontId="192" fillId="0" borderId="28" xfId="6" applyNumberFormat="1" applyFont="1" applyFill="1" applyBorder="1" applyAlignment="1"/>
    <xf numFmtId="3" fontId="3" fillId="0" borderId="18" xfId="3" applyNumberFormat="1" applyFont="1" applyBorder="1"/>
    <xf numFmtId="168" fontId="214" fillId="0" borderId="11" xfId="3" applyNumberFormat="1" applyFont="1" applyBorder="1"/>
    <xf numFmtId="168" fontId="214" fillId="0" borderId="18" xfId="3" applyNumberFormat="1" applyFont="1" applyBorder="1"/>
    <xf numFmtId="4" fontId="195" fillId="0" borderId="0" xfId="5" applyNumberFormat="1" applyFont="1" applyFill="1" applyBorder="1" applyAlignment="1">
      <alignment horizontal="left" vertical="center"/>
    </xf>
    <xf numFmtId="10" fontId="192" fillId="0" borderId="0" xfId="5" applyNumberFormat="1" applyFont="1" applyFill="1" applyBorder="1" applyAlignment="1">
      <alignment vertical="center"/>
    </xf>
    <xf numFmtId="43" fontId="216" fillId="0" borderId="0" xfId="1" applyFont="1" applyFill="1" applyBorder="1" applyAlignment="1">
      <alignment vertical="center"/>
    </xf>
    <xf numFmtId="10" fontId="216" fillId="0" borderId="0" xfId="5" applyNumberFormat="1" applyFont="1" applyFill="1" applyBorder="1" applyAlignment="1">
      <alignment vertical="center"/>
    </xf>
    <xf numFmtId="10" fontId="195" fillId="0" borderId="0" xfId="5" applyNumberFormat="1" applyFont="1" applyFill="1" applyBorder="1" applyAlignment="1">
      <alignment horizontal="left" vertical="center" indent="2"/>
    </xf>
    <xf numFmtId="0" fontId="216" fillId="0" borderId="0" xfId="2" applyFont="1" applyAlignment="1">
      <alignment vertical="center"/>
    </xf>
    <xf numFmtId="10" fontId="195" fillId="0" borderId="0" xfId="8" applyNumberFormat="1" applyFont="1" applyFill="1" applyBorder="1" applyAlignment="1">
      <alignment vertical="center"/>
    </xf>
    <xf numFmtId="43" fontId="195" fillId="0" borderId="0" xfId="1" applyFont="1" applyFill="1" applyBorder="1" applyAlignment="1">
      <alignment vertical="center"/>
    </xf>
    <xf numFmtId="0" fontId="10" fillId="0" borderId="0" xfId="3" applyFont="1"/>
    <xf numFmtId="0" fontId="4" fillId="0" borderId="0" xfId="3" applyFont="1" applyAlignment="1">
      <alignment horizontal="left"/>
    </xf>
    <xf numFmtId="3" fontId="192" fillId="0" borderId="16" xfId="0" applyNumberFormat="1" applyFont="1" applyBorder="1"/>
    <xf numFmtId="3" fontId="192" fillId="4" borderId="11" xfId="3" applyNumberFormat="1" applyFont="1" applyFill="1" applyBorder="1"/>
    <xf numFmtId="3" fontId="192" fillId="0" borderId="11" xfId="3" applyNumberFormat="1" applyFont="1" applyBorder="1"/>
    <xf numFmtId="3" fontId="195" fillId="0" borderId="11" xfId="3" applyNumberFormat="1" applyFont="1" applyBorder="1"/>
    <xf numFmtId="3" fontId="192" fillId="0" borderId="11" xfId="0" applyNumberFormat="1" applyFont="1" applyBorder="1"/>
    <xf numFmtId="3" fontId="192" fillId="0" borderId="0" xfId="3" applyNumberFormat="1" applyFont="1"/>
    <xf numFmtId="3" fontId="192" fillId="0" borderId="14" xfId="3" applyNumberFormat="1" applyFont="1" applyBorder="1"/>
    <xf numFmtId="3" fontId="192" fillId="0" borderId="16" xfId="3" applyNumberFormat="1" applyFont="1" applyBorder="1"/>
    <xf numFmtId="3" fontId="192" fillId="0" borderId="28" xfId="3" applyNumberFormat="1" applyFont="1" applyBorder="1"/>
    <xf numFmtId="3" fontId="195" fillId="0" borderId="16" xfId="3" applyNumberFormat="1" applyFont="1" applyBorder="1"/>
    <xf numFmtId="3" fontId="192" fillId="4" borderId="11" xfId="0" applyNumberFormat="1" applyFont="1" applyFill="1" applyBorder="1"/>
    <xf numFmtId="3" fontId="195" fillId="4" borderId="11" xfId="3" applyNumberFormat="1" applyFont="1" applyFill="1" applyBorder="1"/>
    <xf numFmtId="10" fontId="4" fillId="0" borderId="16" xfId="6" applyNumberFormat="1" applyFont="1" applyFill="1" applyBorder="1" applyAlignment="1">
      <alignment vertical="center"/>
    </xf>
    <xf numFmtId="10" fontId="192" fillId="0" borderId="11" xfId="6" applyNumberFormat="1" applyFont="1" applyFill="1" applyBorder="1" applyAlignment="1">
      <alignment horizontal="right" vertical="center"/>
    </xf>
    <xf numFmtId="10" fontId="192" fillId="7" borderId="0" xfId="5" applyNumberFormat="1" applyFont="1" applyFill="1" applyBorder="1" applyAlignment="1">
      <alignment vertical="center"/>
    </xf>
    <xf numFmtId="10" fontId="195" fillId="0" borderId="11" xfId="6" applyNumberFormat="1" applyFont="1" applyFill="1" applyBorder="1" applyAlignment="1">
      <alignment vertical="center"/>
    </xf>
    <xf numFmtId="10" fontId="192" fillId="0" borderId="23" xfId="6" applyNumberFormat="1" applyFont="1" applyFill="1" applyBorder="1" applyAlignment="1">
      <alignment horizontal="right" vertical="center"/>
    </xf>
    <xf numFmtId="10" fontId="192" fillId="7" borderId="0" xfId="5" applyNumberFormat="1" applyFont="1" applyFill="1" applyBorder="1" applyAlignment="1"/>
    <xf numFmtId="10" fontId="195" fillId="0" borderId="23" xfId="6" applyNumberFormat="1" applyFont="1" applyBorder="1" applyAlignment="1">
      <alignment vertical="center"/>
    </xf>
    <xf numFmtId="10" fontId="195" fillId="0" borderId="0" xfId="6" applyNumberFormat="1" applyFont="1" applyBorder="1" applyAlignment="1">
      <alignment vertical="center"/>
    </xf>
    <xf numFmtId="43" fontId="4" fillId="0" borderId="0" xfId="1" applyFont="1" applyFill="1" applyBorder="1" applyAlignment="1"/>
    <xf numFmtId="168" fontId="4" fillId="4" borderId="6" xfId="7" applyNumberFormat="1" applyFont="1" applyFill="1" applyBorder="1"/>
    <xf numFmtId="3" fontId="4" fillId="4" borderId="16" xfId="3" applyNumberFormat="1" applyFont="1" applyFill="1" applyBorder="1"/>
    <xf numFmtId="3" fontId="4" fillId="4" borderId="11" xfId="3" applyNumberFormat="1" applyFont="1" applyFill="1" applyBorder="1"/>
    <xf numFmtId="168" fontId="192" fillId="0" borderId="11" xfId="3" applyNumberFormat="1" applyFont="1" applyBorder="1"/>
    <xf numFmtId="168" fontId="4" fillId="4" borderId="8" xfId="7" applyNumberFormat="1" applyFont="1" applyFill="1" applyBorder="1"/>
    <xf numFmtId="168" fontId="4" fillId="4" borderId="16" xfId="7" applyNumberFormat="1" applyFont="1" applyFill="1" applyBorder="1"/>
    <xf numFmtId="168" fontId="195" fillId="4" borderId="16" xfId="7" applyNumberFormat="1" applyFont="1" applyFill="1" applyBorder="1"/>
    <xf numFmtId="3" fontId="195" fillId="4" borderId="16" xfId="7" applyNumberFormat="1" applyFont="1" applyFill="1" applyBorder="1"/>
    <xf numFmtId="3" fontId="195" fillId="4" borderId="28" xfId="7" applyNumberFormat="1" applyFont="1" applyFill="1" applyBorder="1"/>
    <xf numFmtId="3" fontId="4" fillId="4" borderId="13" xfId="3" applyNumberFormat="1" applyFont="1" applyFill="1" applyBorder="1"/>
    <xf numFmtId="3" fontId="4" fillId="4" borderId="18" xfId="3" applyNumberFormat="1" applyFont="1" applyFill="1" applyBorder="1"/>
    <xf numFmtId="168" fontId="4" fillId="4" borderId="11" xfId="3" applyNumberFormat="1" applyFont="1" applyFill="1" applyBorder="1"/>
    <xf numFmtId="168" fontId="4" fillId="4" borderId="12" xfId="3" applyNumberFormat="1" applyFont="1" applyFill="1" applyBorder="1"/>
    <xf numFmtId="167" fontId="212" fillId="0" borderId="0" xfId="5" applyNumberFormat="1" applyFont="1" applyFill="1" applyBorder="1" applyAlignment="1"/>
    <xf numFmtId="3" fontId="3" fillId="0" borderId="11" xfId="7" applyNumberFormat="1" applyFont="1" applyBorder="1"/>
    <xf numFmtId="168" fontId="3" fillId="7" borderId="11" xfId="7" applyNumberFormat="1" applyFont="1" applyFill="1" applyBorder="1"/>
    <xf numFmtId="168" fontId="3" fillId="7" borderId="11" xfId="3" applyNumberFormat="1" applyFont="1" applyFill="1" applyBorder="1"/>
    <xf numFmtId="0" fontId="3" fillId="0" borderId="1" xfId="2" applyFont="1" applyBorder="1"/>
    <xf numFmtId="3" fontId="192" fillId="0" borderId="0" xfId="0" applyNumberFormat="1" applyFont="1"/>
    <xf numFmtId="3" fontId="193" fillId="0" borderId="11" xfId="0" applyNumberFormat="1" applyFont="1" applyBorder="1"/>
    <xf numFmtId="3" fontId="215" fillId="0" borderId="11" xfId="3" applyNumberFormat="1" applyFont="1" applyBorder="1"/>
    <xf numFmtId="3" fontId="4" fillId="4" borderId="14" xfId="3" applyNumberFormat="1" applyFont="1" applyFill="1" applyBorder="1"/>
    <xf numFmtId="3" fontId="192" fillId="4" borderId="16" xfId="3" applyNumberFormat="1" applyFont="1" applyFill="1" applyBorder="1"/>
    <xf numFmtId="3" fontId="195" fillId="4" borderId="16" xfId="3" applyNumberFormat="1" applyFont="1" applyFill="1" applyBorder="1"/>
    <xf numFmtId="168" fontId="4" fillId="4" borderId="16" xfId="3" applyNumberFormat="1" applyFont="1" applyFill="1" applyBorder="1"/>
    <xf numFmtId="0" fontId="4" fillId="0" borderId="17" xfId="3" applyFont="1" applyBorder="1" applyAlignment="1">
      <alignment horizontal="left" indent="1"/>
    </xf>
    <xf numFmtId="3" fontId="192" fillId="7" borderId="0" xfId="3" applyNumberFormat="1" applyFont="1" applyFill="1"/>
    <xf numFmtId="168" fontId="4" fillId="0" borderId="30" xfId="3" applyNumberFormat="1" applyFont="1" applyBorder="1"/>
    <xf numFmtId="3" fontId="4" fillId="4" borderId="13" xfId="0" applyNumberFormat="1" applyFont="1" applyFill="1" applyBorder="1"/>
    <xf numFmtId="3" fontId="4" fillId="4" borderId="11" xfId="0" applyNumberFormat="1" applyFont="1" applyFill="1" applyBorder="1"/>
    <xf numFmtId="0" fontId="166" fillId="0" borderId="0" xfId="3" applyFont="1"/>
    <xf numFmtId="0" fontId="166" fillId="0" borderId="0" xfId="3" applyFont="1" applyAlignment="1">
      <alignment vertical="center"/>
    </xf>
    <xf numFmtId="3" fontId="10" fillId="0" borderId="28" xfId="0" applyNumberFormat="1" applyFont="1" applyBorder="1"/>
    <xf numFmtId="3" fontId="10" fillId="0" borderId="18" xfId="3" applyNumberFormat="1" applyFont="1" applyBorder="1"/>
    <xf numFmtId="3" fontId="10" fillId="0" borderId="18" xfId="0" applyNumberFormat="1" applyFont="1" applyBorder="1"/>
    <xf numFmtId="3" fontId="166" fillId="0" borderId="18" xfId="3" applyNumberFormat="1" applyFont="1" applyBorder="1"/>
    <xf numFmtId="167" fontId="10" fillId="0" borderId="30" xfId="3" applyNumberFormat="1" applyFont="1" applyBorder="1"/>
    <xf numFmtId="0" fontId="10" fillId="0" borderId="0" xfId="3" applyFont="1" applyAlignment="1">
      <alignment horizontal="left" indent="1"/>
    </xf>
    <xf numFmtId="3" fontId="166" fillId="0" borderId="18" xfId="0" applyNumberFormat="1" applyFont="1" applyBorder="1"/>
    <xf numFmtId="167" fontId="10" fillId="0" borderId="0" xfId="3" applyNumberFormat="1" applyFont="1"/>
    <xf numFmtId="3" fontId="10" fillId="0" borderId="16" xfId="3" applyNumberFormat="1" applyFont="1" applyBorder="1"/>
    <xf numFmtId="3" fontId="10" fillId="0" borderId="11" xfId="3" applyNumberFormat="1" applyFont="1" applyBorder="1"/>
    <xf numFmtId="3" fontId="10" fillId="0" borderId="23" xfId="3" applyNumberFormat="1" applyFont="1" applyBorder="1"/>
    <xf numFmtId="10" fontId="10" fillId="4" borderId="16" xfId="6" applyNumberFormat="1" applyFont="1" applyFill="1" applyBorder="1" applyAlignment="1">
      <alignment horizontal="right" vertical="center"/>
    </xf>
    <xf numFmtId="10" fontId="217" fillId="4" borderId="11" xfId="6" applyNumberFormat="1" applyFont="1" applyFill="1" applyBorder="1" applyAlignment="1">
      <alignment horizontal="right" vertical="center"/>
    </xf>
    <xf numFmtId="10" fontId="217" fillId="4" borderId="23" xfId="6" applyNumberFormat="1" applyFont="1" applyFill="1" applyBorder="1" applyAlignment="1">
      <alignment horizontal="right" vertical="center"/>
    </xf>
    <xf numFmtId="3" fontId="10" fillId="0" borderId="6" xfId="7" applyNumberFormat="1" applyFont="1" applyBorder="1"/>
    <xf numFmtId="3" fontId="10" fillId="0" borderId="0" xfId="3" applyNumberFormat="1" applyFont="1"/>
    <xf numFmtId="3" fontId="10" fillId="0" borderId="28" xfId="3" applyNumberFormat="1" applyFont="1" applyBorder="1"/>
    <xf numFmtId="3" fontId="10" fillId="0" borderId="30" xfId="3" applyNumberFormat="1" applyFont="1" applyBorder="1"/>
    <xf numFmtId="168" fontId="216" fillId="0" borderId="28" xfId="7" applyNumberFormat="1" applyFont="1" applyBorder="1"/>
    <xf numFmtId="3" fontId="167" fillId="0" borderId="0" xfId="3" applyNumberFormat="1" applyFont="1"/>
    <xf numFmtId="3" fontId="166" fillId="0" borderId="0" xfId="3" applyNumberFormat="1" applyFont="1" applyAlignment="1">
      <alignment vertical="center"/>
    </xf>
    <xf numFmtId="3" fontId="166" fillId="0" borderId="23" xfId="3" applyNumberFormat="1" applyFont="1" applyBorder="1"/>
    <xf numFmtId="169" fontId="10" fillId="0" borderId="18" xfId="6" applyNumberFormat="1" applyFont="1" applyFill="1" applyBorder="1" applyAlignment="1"/>
    <xf numFmtId="167" fontId="10" fillId="0" borderId="18" xfId="6" applyNumberFormat="1" applyFont="1" applyBorder="1" applyAlignment="1"/>
    <xf numFmtId="4" fontId="166" fillId="0" borderId="18" xfId="3" applyNumberFormat="1" applyFont="1" applyBorder="1"/>
    <xf numFmtId="167" fontId="10" fillId="0" borderId="30" xfId="6" applyNumberFormat="1" applyFont="1" applyBorder="1" applyAlignment="1"/>
    <xf numFmtId="0" fontId="166" fillId="0" borderId="0" xfId="2" applyFont="1" applyAlignment="1">
      <alignment vertical="center"/>
    </xf>
    <xf numFmtId="0" fontId="167" fillId="0" borderId="0" xfId="3" applyFont="1" applyAlignment="1">
      <alignment vertical="top"/>
    </xf>
    <xf numFmtId="0" fontId="10" fillId="0" borderId="0" xfId="3" applyFont="1" applyAlignment="1">
      <alignment vertical="top"/>
    </xf>
    <xf numFmtId="0" fontId="10" fillId="0" borderId="0" xfId="7" applyFont="1" applyAlignment="1">
      <alignment vertical="top"/>
    </xf>
    <xf numFmtId="0" fontId="216" fillId="0" borderId="0" xfId="2" applyFont="1"/>
    <xf numFmtId="3" fontId="217" fillId="4" borderId="18" xfId="3" applyNumberFormat="1" applyFont="1" applyFill="1" applyBorder="1"/>
    <xf numFmtId="3" fontId="217" fillId="0" borderId="16" xfId="3" applyNumberFormat="1" applyFont="1" applyBorder="1"/>
    <xf numFmtId="3" fontId="217" fillId="0" borderId="11" xfId="3" applyNumberFormat="1" applyFont="1" applyBorder="1"/>
    <xf numFmtId="10" fontId="10" fillId="0" borderId="16" xfId="6" applyNumberFormat="1" applyFont="1" applyFill="1" applyBorder="1" applyAlignment="1">
      <alignment horizontal="right" vertical="center"/>
    </xf>
    <xf numFmtId="10" fontId="217" fillId="0" borderId="11" xfId="6" applyNumberFormat="1" applyFont="1" applyFill="1" applyBorder="1" applyAlignment="1">
      <alignment horizontal="right" vertical="center"/>
    </xf>
    <xf numFmtId="10" fontId="217" fillId="0" borderId="23" xfId="6" applyNumberFormat="1" applyFont="1" applyFill="1" applyBorder="1" applyAlignment="1">
      <alignment horizontal="right" vertical="center"/>
    </xf>
    <xf numFmtId="3" fontId="10" fillId="4" borderId="64" xfId="3" applyNumberFormat="1" applyFont="1" applyFill="1" applyBorder="1"/>
    <xf numFmtId="3" fontId="10" fillId="4" borderId="26" xfId="3" applyNumberFormat="1" applyFont="1" applyFill="1" applyBorder="1"/>
    <xf numFmtId="10" fontId="10" fillId="4" borderId="29" xfId="6" applyNumberFormat="1" applyFont="1" applyFill="1" applyBorder="1" applyAlignment="1">
      <alignment horizontal="right" vertical="center"/>
    </xf>
    <xf numFmtId="168" fontId="216" fillId="4" borderId="28" xfId="7" applyNumberFormat="1" applyFont="1" applyFill="1" applyBorder="1"/>
    <xf numFmtId="3" fontId="10" fillId="4" borderId="18" xfId="3" applyNumberFormat="1" applyFont="1" applyFill="1" applyBorder="1"/>
    <xf numFmtId="10" fontId="10" fillId="4" borderId="30" xfId="6" applyNumberFormat="1" applyFont="1" applyFill="1" applyBorder="1" applyAlignment="1">
      <alignment horizontal="right" vertical="center"/>
    </xf>
    <xf numFmtId="0" fontId="167" fillId="0" borderId="0" xfId="3" applyFont="1"/>
    <xf numFmtId="10" fontId="10" fillId="0" borderId="28" xfId="6" applyNumberFormat="1" applyFont="1" applyFill="1" applyBorder="1" applyAlignment="1"/>
    <xf numFmtId="168" fontId="166" fillId="0" borderId="18" xfId="3" applyNumberFormat="1" applyFont="1" applyBorder="1"/>
    <xf numFmtId="167" fontId="10" fillId="0" borderId="0" xfId="5" applyNumberFormat="1" applyFont="1" applyFill="1" applyBorder="1" applyAlignment="1"/>
    <xf numFmtId="3" fontId="217" fillId="4" borderId="28" xfId="3" applyNumberFormat="1" applyFont="1" applyFill="1" applyBorder="1"/>
    <xf numFmtId="168" fontId="216" fillId="0" borderId="6" xfId="7" applyNumberFormat="1" applyFont="1" applyBorder="1"/>
    <xf numFmtId="3" fontId="10" fillId="4" borderId="16" xfId="3" applyNumberFormat="1" applyFont="1" applyFill="1" applyBorder="1"/>
    <xf numFmtId="3" fontId="10" fillId="4" borderId="11" xfId="3" applyNumberFormat="1" applyFont="1" applyFill="1" applyBorder="1"/>
    <xf numFmtId="10" fontId="10" fillId="4" borderId="23" xfId="6" applyNumberFormat="1" applyFont="1" applyFill="1" applyBorder="1" applyAlignment="1">
      <alignment horizontal="right" vertical="center"/>
    </xf>
    <xf numFmtId="10" fontId="10" fillId="0" borderId="16" xfId="6" applyNumberFormat="1" applyFont="1" applyFill="1" applyBorder="1" applyAlignment="1"/>
    <xf numFmtId="169" fontId="10" fillId="0" borderId="11" xfId="6" applyNumberFormat="1" applyFont="1" applyFill="1" applyBorder="1" applyAlignment="1"/>
    <xf numFmtId="167" fontId="10" fillId="0" borderId="11" xfId="6" applyNumberFormat="1" applyFont="1" applyBorder="1" applyAlignment="1"/>
    <xf numFmtId="168" fontId="166" fillId="0" borderId="11" xfId="3" applyNumberFormat="1" applyFont="1" applyBorder="1"/>
    <xf numFmtId="4" fontId="166" fillId="0" borderId="11" xfId="3" applyNumberFormat="1" applyFont="1" applyBorder="1"/>
    <xf numFmtId="167" fontId="10" fillId="0" borderId="23" xfId="6" applyNumberFormat="1" applyFont="1" applyBorder="1" applyAlignment="1"/>
    <xf numFmtId="168" fontId="10" fillId="0" borderId="23" xfId="3" applyNumberFormat="1" applyFont="1" applyBorder="1"/>
    <xf numFmtId="3" fontId="204" fillId="0" borderId="78" xfId="0" applyNumberFormat="1" applyFont="1" applyBorder="1" applyAlignment="1">
      <alignment horizontal="left" vertical="center"/>
    </xf>
    <xf numFmtId="212" fontId="219" fillId="0" borderId="71" xfId="0" applyNumberFormat="1" applyFont="1" applyBorder="1" applyAlignment="1">
      <alignment horizontal="center" vertical="center"/>
    </xf>
    <xf numFmtId="3" fontId="201" fillId="0" borderId="78" xfId="0" applyNumberFormat="1" applyFont="1" applyBorder="1" applyAlignment="1">
      <alignment horizontal="left" vertical="center"/>
    </xf>
    <xf numFmtId="0" fontId="11" fillId="0" borderId="0" xfId="9" applyFont="1" applyAlignment="1">
      <alignment horizontal="left"/>
    </xf>
    <xf numFmtId="0" fontId="168" fillId="0" borderId="33" xfId="0" applyFont="1" applyBorder="1"/>
    <xf numFmtId="0" fontId="168" fillId="0" borderId="65" xfId="0" applyFont="1" applyBorder="1"/>
    <xf numFmtId="0" fontId="168" fillId="0" borderId="66" xfId="0" applyFont="1" applyBorder="1"/>
    <xf numFmtId="0" fontId="168" fillId="0" borderId="67" xfId="0" applyFont="1" applyBorder="1"/>
    <xf numFmtId="0" fontId="168" fillId="0" borderId="68" xfId="0" applyFont="1" applyBorder="1"/>
    <xf numFmtId="3" fontId="179" fillId="0" borderId="67" xfId="0" applyNumberFormat="1" applyFont="1" applyBorder="1" applyAlignment="1">
      <alignment horizontal="center" vertical="center"/>
    </xf>
    <xf numFmtId="0" fontId="204" fillId="0" borderId="0" xfId="0" applyFont="1"/>
    <xf numFmtId="223" fontId="204" fillId="0" borderId="0" xfId="0" applyNumberFormat="1" applyFont="1"/>
    <xf numFmtId="0" fontId="206" fillId="0" borderId="67" xfId="0" applyFont="1" applyBorder="1"/>
    <xf numFmtId="0" fontId="206" fillId="0" borderId="68" xfId="0" applyFont="1" applyBorder="1"/>
    <xf numFmtId="0" fontId="168" fillId="0" borderId="75" xfId="0" applyFont="1" applyBorder="1"/>
    <xf numFmtId="0" fontId="168" fillId="0" borderId="76" xfId="0" applyFont="1" applyBorder="1"/>
    <xf numFmtId="0" fontId="168" fillId="0" borderId="77" xfId="0" applyFont="1" applyBorder="1"/>
    <xf numFmtId="3" fontId="202" fillId="0" borderId="71" xfId="0" applyNumberFormat="1" applyFont="1" applyBorder="1" applyAlignment="1" applyProtection="1">
      <alignment horizontal="right" vertical="center"/>
      <protection locked="0"/>
    </xf>
    <xf numFmtId="168" fontId="15" fillId="4" borderId="7" xfId="2" applyNumberFormat="1" applyFont="1" applyFill="1" applyBorder="1"/>
    <xf numFmtId="168" fontId="15" fillId="4" borderId="61" xfId="2" applyNumberFormat="1" applyFont="1" applyFill="1" applyBorder="1"/>
    <xf numFmtId="168" fontId="15" fillId="4" borderId="5" xfId="2" applyNumberFormat="1" applyFont="1" applyFill="1" applyBorder="1"/>
    <xf numFmtId="0" fontId="173" fillId="8" borderId="73" xfId="0" applyFont="1" applyFill="1" applyBorder="1" applyAlignment="1">
      <alignment horizontal="left" vertical="center"/>
    </xf>
    <xf numFmtId="0" fontId="168" fillId="8" borderId="73" xfId="0" applyFont="1" applyFill="1" applyBorder="1" applyAlignment="1">
      <alignment horizontal="left" vertical="center"/>
    </xf>
    <xf numFmtId="43" fontId="11" fillId="0" borderId="0" xfId="1" applyFont="1" applyFill="1"/>
    <xf numFmtId="3" fontId="4" fillId="69" borderId="30" xfId="1298" applyNumberFormat="1" applyFont="1" applyFill="1" applyBorder="1"/>
    <xf numFmtId="168" fontId="174" fillId="69" borderId="7" xfId="2" applyNumberFormat="1" applyFont="1" applyFill="1" applyBorder="1"/>
    <xf numFmtId="168" fontId="174" fillId="69" borderId="6" xfId="2" applyNumberFormat="1" applyFont="1" applyFill="1" applyBorder="1"/>
    <xf numFmtId="3" fontId="174" fillId="69" borderId="6" xfId="2" applyNumberFormat="1" applyFont="1" applyFill="1" applyBorder="1"/>
    <xf numFmtId="3" fontId="174" fillId="69" borderId="5" xfId="2" applyNumberFormat="1" applyFont="1" applyFill="1" applyBorder="1"/>
    <xf numFmtId="3" fontId="178" fillId="69" borderId="7" xfId="2" applyNumberFormat="1" applyFont="1" applyFill="1" applyBorder="1"/>
    <xf numFmtId="168" fontId="184" fillId="69" borderId="7" xfId="2" applyNumberFormat="1" applyFont="1" applyFill="1" applyBorder="1"/>
    <xf numFmtId="168" fontId="184" fillId="69" borderId="6" xfId="2" applyNumberFormat="1" applyFont="1" applyFill="1" applyBorder="1"/>
    <xf numFmtId="4" fontId="15" fillId="8" borderId="22" xfId="2" applyNumberFormat="1" applyFont="1" applyFill="1" applyBorder="1"/>
    <xf numFmtId="212" fontId="4" fillId="0" borderId="11" xfId="3" applyNumberFormat="1" applyFont="1" applyBorder="1"/>
    <xf numFmtId="168" fontId="192" fillId="0" borderId="14" xfId="1298" applyNumberFormat="1" applyFont="1" applyBorder="1"/>
    <xf numFmtId="0" fontId="220" fillId="0" borderId="0" xfId="2" applyFont="1"/>
    <xf numFmtId="3" fontId="187" fillId="0" borderId="0" xfId="2" applyNumberFormat="1" applyFont="1"/>
    <xf numFmtId="0" fontId="187" fillId="0" borderId="0" xfId="2" applyFont="1"/>
    <xf numFmtId="0" fontId="220" fillId="0" borderId="0" xfId="1298" applyFont="1" applyAlignment="1">
      <alignment horizontal="center"/>
    </xf>
    <xf numFmtId="3" fontId="3" fillId="85" borderId="13" xfId="3" applyNumberFormat="1" applyFont="1" applyFill="1" applyBorder="1"/>
    <xf numFmtId="3" fontId="3" fillId="7" borderId="11" xfId="3" applyNumberFormat="1" applyFont="1" applyFill="1" applyBorder="1"/>
    <xf numFmtId="3" fontId="4" fillId="86" borderId="11" xfId="0" applyNumberFormat="1" applyFont="1" applyFill="1" applyBorder="1"/>
    <xf numFmtId="3" fontId="4" fillId="86" borderId="11" xfId="3" applyNumberFormat="1" applyFont="1" applyFill="1" applyBorder="1"/>
    <xf numFmtId="3" fontId="192" fillId="0" borderId="64" xfId="0" applyNumberFormat="1" applyFont="1" applyBorder="1"/>
    <xf numFmtId="3" fontId="192" fillId="4" borderId="26" xfId="3" applyNumberFormat="1" applyFont="1" applyFill="1" applyBorder="1"/>
    <xf numFmtId="3" fontId="192" fillId="0" borderId="26" xfId="0" applyNumberFormat="1" applyFont="1" applyBorder="1"/>
    <xf numFmtId="3" fontId="3" fillId="0" borderId="26" xfId="3" applyNumberFormat="1" applyFont="1" applyBorder="1"/>
    <xf numFmtId="167" fontId="10" fillId="0" borderId="29" xfId="3" applyNumberFormat="1" applyFont="1" applyBorder="1"/>
    <xf numFmtId="3" fontId="217" fillId="0" borderId="9" xfId="0" applyNumberFormat="1" applyFont="1" applyBorder="1"/>
    <xf numFmtId="3" fontId="217" fillId="0" borderId="12" xfId="0" applyNumberFormat="1" applyFont="1" applyBorder="1"/>
    <xf numFmtId="3" fontId="166" fillId="0" borderId="12" xfId="0" applyNumberFormat="1" applyFont="1" applyBorder="1"/>
    <xf numFmtId="167" fontId="10" fillId="0" borderId="20" xfId="3" applyNumberFormat="1" applyFont="1" applyBorder="1"/>
    <xf numFmtId="10" fontId="10" fillId="0" borderId="64" xfId="6" applyNumberFormat="1" applyFont="1" applyFill="1" applyBorder="1" applyAlignment="1">
      <alignment horizontal="right" vertical="center"/>
    </xf>
    <xf numFmtId="10" fontId="217" fillId="0" borderId="26" xfId="6" applyNumberFormat="1" applyFont="1" applyFill="1" applyBorder="1" applyAlignment="1">
      <alignment horizontal="right" vertical="center"/>
    </xf>
    <xf numFmtId="10" fontId="217" fillId="0" borderId="29" xfId="6" applyNumberFormat="1" applyFont="1" applyFill="1" applyBorder="1" applyAlignment="1">
      <alignment horizontal="right" vertical="center"/>
    </xf>
    <xf numFmtId="168" fontId="4" fillId="4" borderId="7" xfId="7" applyNumberFormat="1" applyFont="1" applyFill="1" applyBorder="1"/>
    <xf numFmtId="169" fontId="10" fillId="85" borderId="18" xfId="6" applyNumberFormat="1" applyFont="1" applyFill="1" applyBorder="1" applyAlignment="1"/>
    <xf numFmtId="10" fontId="4" fillId="85" borderId="14" xfId="6" applyNumberFormat="1" applyFont="1" applyFill="1" applyBorder="1" applyAlignment="1"/>
    <xf numFmtId="169" fontId="4" fillId="85" borderId="13" xfId="6" applyNumberFormat="1" applyFont="1" applyFill="1" applyBorder="1" applyAlignment="1"/>
    <xf numFmtId="0" fontId="174" fillId="0" borderId="32" xfId="2" applyFont="1" applyBorder="1"/>
    <xf numFmtId="0" fontId="174" fillId="0" borderId="27" xfId="2" applyFont="1" applyBorder="1"/>
    <xf numFmtId="168" fontId="174" fillId="80" borderId="9" xfId="1" applyNumberFormat="1" applyFont="1" applyFill="1" applyBorder="1"/>
    <xf numFmtId="168" fontId="15" fillId="0" borderId="24" xfId="2" applyNumberFormat="1" applyFont="1" applyBorder="1"/>
    <xf numFmtId="168" fontId="15" fillId="0" borderId="23" xfId="2" applyNumberFormat="1" applyFont="1" applyBorder="1"/>
    <xf numFmtId="168" fontId="174" fillId="0" borderId="0" xfId="1" applyNumberFormat="1" applyFont="1" applyFill="1" applyBorder="1"/>
    <xf numFmtId="168" fontId="174" fillId="0" borderId="17" xfId="1" applyNumberFormat="1" applyFont="1" applyFill="1" applyBorder="1"/>
    <xf numFmtId="167" fontId="174" fillId="0" borderId="27" xfId="14" applyNumberFormat="1" applyFont="1" applyFill="1" applyBorder="1"/>
    <xf numFmtId="221" fontId="174" fillId="85" borderId="8" xfId="1" applyNumberFormat="1" applyFont="1" applyFill="1" applyBorder="1"/>
    <xf numFmtId="221" fontId="174" fillId="85" borderId="32" xfId="1" applyNumberFormat="1" applyFont="1" applyFill="1" applyBorder="1"/>
    <xf numFmtId="221" fontId="174" fillId="85" borderId="9" xfId="1" applyNumberFormat="1" applyFont="1" applyFill="1" applyBorder="1"/>
    <xf numFmtId="168" fontId="174" fillId="85" borderId="8" xfId="2" applyNumberFormat="1" applyFont="1" applyFill="1" applyBorder="1"/>
    <xf numFmtId="168" fontId="174" fillId="85" borderId="32" xfId="2" applyNumberFormat="1" applyFont="1" applyFill="1" applyBorder="1"/>
    <xf numFmtId="168" fontId="174" fillId="85" borderId="9" xfId="2" applyNumberFormat="1" applyFont="1" applyFill="1" applyBorder="1"/>
    <xf numFmtId="168" fontId="193" fillId="0" borderId="63" xfId="7" applyNumberFormat="1" applyFont="1" applyBorder="1"/>
    <xf numFmtId="168" fontId="184" fillId="0" borderId="12" xfId="2" applyNumberFormat="1" applyFont="1" applyBorder="1"/>
    <xf numFmtId="170" fontId="199" fillId="0" borderId="4" xfId="0" applyNumberFormat="1" applyFont="1" applyBorder="1" applyAlignment="1">
      <alignment horizontal="left" vertical="center"/>
    </xf>
    <xf numFmtId="0" fontId="174" fillId="0" borderId="27" xfId="2" applyFont="1" applyBorder="1" applyAlignment="1">
      <alignment horizontal="left"/>
    </xf>
    <xf numFmtId="3" fontId="197" fillId="0" borderId="7" xfId="0" applyNumberFormat="1" applyFont="1" applyBorder="1" applyAlignment="1">
      <alignment horizontal="right" vertical="center" shrinkToFit="1"/>
    </xf>
    <xf numFmtId="3" fontId="197" fillId="0" borderId="6" xfId="0" applyNumberFormat="1" applyFont="1" applyBorder="1" applyAlignment="1">
      <alignment horizontal="right" vertical="center" shrinkToFit="1"/>
    </xf>
    <xf numFmtId="3" fontId="197" fillId="0" borderId="63" xfId="0" applyNumberFormat="1" applyFont="1" applyBorder="1" applyAlignment="1">
      <alignment horizontal="right" vertical="center" shrinkToFit="1"/>
    </xf>
    <xf numFmtId="3" fontId="198" fillId="0" borderId="21" xfId="0" applyNumberFormat="1" applyFont="1" applyBorder="1" applyAlignment="1">
      <alignment horizontal="right" vertical="center" shrinkToFit="1"/>
    </xf>
    <xf numFmtId="0" fontId="198" fillId="0" borderId="0" xfId="0" applyFont="1"/>
    <xf numFmtId="43" fontId="194" fillId="0" borderId="0" xfId="1303" applyFont="1"/>
    <xf numFmtId="0" fontId="196" fillId="4" borderId="7" xfId="0" applyFont="1" applyFill="1" applyBorder="1" applyAlignment="1">
      <alignment horizontal="center" vertical="center" wrapText="1"/>
    </xf>
    <xf numFmtId="0" fontId="196" fillId="4" borderId="21" xfId="0" applyFont="1" applyFill="1" applyBorder="1" applyAlignment="1">
      <alignment horizontal="center" vertical="center" wrapText="1"/>
    </xf>
    <xf numFmtId="0" fontId="196" fillId="4" borderId="61" xfId="0" applyFont="1" applyFill="1" applyBorder="1" applyAlignment="1">
      <alignment horizontal="center" vertical="center" wrapText="1"/>
    </xf>
    <xf numFmtId="0" fontId="196" fillId="4" borderId="7" xfId="0" applyFont="1" applyFill="1" applyBorder="1" applyAlignment="1">
      <alignment horizontal="center" vertical="center"/>
    </xf>
    <xf numFmtId="0" fontId="196" fillId="4" borderId="6" xfId="0" applyFont="1" applyFill="1" applyBorder="1" applyAlignment="1">
      <alignment horizontal="center" vertical="center"/>
    </xf>
    <xf numFmtId="0" fontId="196" fillId="4" borderId="21" xfId="0" applyFont="1" applyFill="1" applyBorder="1" applyAlignment="1">
      <alignment horizontal="center" vertical="center"/>
    </xf>
    <xf numFmtId="3" fontId="197" fillId="0" borderId="10" xfId="0" applyNumberFormat="1" applyFont="1" applyBorder="1" applyAlignment="1">
      <alignment horizontal="right" vertical="center" shrinkToFit="1"/>
    </xf>
    <xf numFmtId="3" fontId="197" fillId="0" borderId="18" xfId="0" applyNumberFormat="1" applyFont="1" applyBorder="1" applyAlignment="1">
      <alignment horizontal="right" vertical="center" shrinkToFit="1"/>
    </xf>
    <xf numFmtId="3" fontId="197" fillId="0" borderId="25" xfId="0" applyNumberFormat="1" applyFont="1" applyBorder="1" applyAlignment="1">
      <alignment horizontal="right" vertical="center" shrinkToFit="1"/>
    </xf>
    <xf numFmtId="3" fontId="197" fillId="0" borderId="13" xfId="0" applyNumberFormat="1" applyFont="1" applyBorder="1" applyAlignment="1">
      <alignment horizontal="right" vertical="center" shrinkToFit="1"/>
    </xf>
    <xf numFmtId="3" fontId="197" fillId="0" borderId="11" xfId="0" applyNumberFormat="1" applyFont="1" applyBorder="1" applyAlignment="1">
      <alignment horizontal="right" vertical="center" shrinkToFit="1"/>
    </xf>
    <xf numFmtId="3" fontId="197" fillId="0" borderId="26" xfId="0" applyNumberFormat="1" applyFont="1" applyBorder="1" applyAlignment="1">
      <alignment horizontal="right" vertical="center" shrinkToFit="1"/>
    </xf>
    <xf numFmtId="170" fontId="0" fillId="0" borderId="0" xfId="1367" applyNumberFormat="1" applyFont="1"/>
    <xf numFmtId="9" fontId="0" fillId="0" borderId="0" xfId="0" applyNumberFormat="1"/>
    <xf numFmtId="9" fontId="0" fillId="0" borderId="0" xfId="14" applyFont="1"/>
    <xf numFmtId="43" fontId="0" fillId="0" borderId="0" xfId="0" applyNumberFormat="1"/>
    <xf numFmtId="43" fontId="0" fillId="0" borderId="0" xfId="1367" applyFont="1"/>
    <xf numFmtId="0" fontId="174" fillId="0" borderId="32" xfId="2" applyFont="1" applyBorder="1" applyAlignment="1">
      <alignment horizontal="left"/>
    </xf>
    <xf numFmtId="0" fontId="174" fillId="0" borderId="0" xfId="2" applyFont="1" applyAlignment="1">
      <alignment horizontal="left"/>
    </xf>
    <xf numFmtId="168" fontId="184" fillId="0" borderId="0" xfId="2" applyNumberFormat="1" applyFont="1"/>
    <xf numFmtId="168" fontId="184" fillId="0" borderId="32" xfId="2" applyNumberFormat="1" applyFont="1" applyBorder="1"/>
    <xf numFmtId="168" fontId="184" fillId="0" borderId="9" xfId="2" applyNumberFormat="1" applyFont="1" applyBorder="1"/>
    <xf numFmtId="168" fontId="184" fillId="69" borderId="19" xfId="2" applyNumberFormat="1" applyFont="1" applyFill="1" applyBorder="1"/>
    <xf numFmtId="168" fontId="184" fillId="69" borderId="27" xfId="2" applyNumberFormat="1" applyFont="1" applyFill="1" applyBorder="1"/>
    <xf numFmtId="3" fontId="174" fillId="69" borderId="27" xfId="2" applyNumberFormat="1" applyFont="1" applyFill="1" applyBorder="1"/>
    <xf numFmtId="3" fontId="174" fillId="69" borderId="20" xfId="2" applyNumberFormat="1" applyFont="1" applyFill="1" applyBorder="1"/>
    <xf numFmtId="0" fontId="197" fillId="0" borderId="13" xfId="0" applyFont="1" applyBorder="1" applyAlignment="1">
      <alignment horizontal="left" vertical="center" wrapText="1"/>
    </xf>
    <xf numFmtId="0" fontId="197" fillId="0" borderId="18" xfId="0" applyFont="1" applyBorder="1" applyAlignment="1">
      <alignment horizontal="left" vertical="center" wrapText="1"/>
    </xf>
    <xf numFmtId="3" fontId="198" fillId="0" borderId="18" xfId="0" applyNumberFormat="1" applyFont="1" applyBorder="1" applyAlignment="1">
      <alignment horizontal="right" vertical="center" shrinkToFit="1"/>
    </xf>
    <xf numFmtId="0" fontId="199" fillId="0" borderId="13" xfId="0" applyFont="1" applyBorder="1" applyAlignment="1">
      <alignment horizontal="left" vertical="center" wrapText="1"/>
    </xf>
    <xf numFmtId="3" fontId="194" fillId="0" borderId="0" xfId="0" applyNumberFormat="1" applyFont="1"/>
    <xf numFmtId="0" fontId="196" fillId="0" borderId="0" xfId="0" applyFont="1" applyAlignment="1">
      <alignment wrapText="1"/>
    </xf>
    <xf numFmtId="0" fontId="0" fillId="0" borderId="0" xfId="0" applyAlignment="1">
      <alignment wrapText="1"/>
    </xf>
    <xf numFmtId="10" fontId="4" fillId="0" borderId="14" xfId="6" applyNumberFormat="1" applyFont="1" applyFill="1" applyBorder="1" applyAlignment="1">
      <alignment horizontal="right" vertical="center"/>
    </xf>
    <xf numFmtId="10" fontId="4" fillId="0" borderId="28" xfId="6" applyNumberFormat="1" applyFont="1" applyFill="1" applyBorder="1" applyAlignment="1">
      <alignment horizontal="right" vertical="center"/>
    </xf>
    <xf numFmtId="3" fontId="192" fillId="0" borderId="28" xfId="0" applyNumberFormat="1" applyFont="1" applyBorder="1"/>
    <xf numFmtId="3" fontId="192" fillId="0" borderId="18" xfId="3" applyNumberFormat="1" applyFont="1" applyBorder="1"/>
    <xf numFmtId="3" fontId="192" fillId="0" borderId="18" xfId="0" applyNumberFormat="1" applyFont="1" applyBorder="1"/>
    <xf numFmtId="167" fontId="4" fillId="0" borderId="14" xfId="6" applyNumberFormat="1" applyFont="1" applyFill="1" applyBorder="1" applyAlignment="1">
      <alignment horizontal="right" vertical="center"/>
    </xf>
    <xf numFmtId="167" fontId="4" fillId="0" borderId="16" xfId="6" applyNumberFormat="1" applyFont="1" applyFill="1" applyBorder="1" applyAlignment="1">
      <alignment horizontal="right" vertical="center"/>
    </xf>
    <xf numFmtId="214" fontId="162" fillId="0" borderId="0" xfId="1281" applyNumberFormat="1" applyFont="1" applyFill="1" applyBorder="1" applyAlignment="1">
      <alignment horizontal="right"/>
    </xf>
    <xf numFmtId="49" fontId="154" fillId="0" borderId="0" xfId="241" quotePrefix="1" applyNumberFormat="1" applyFont="1" applyFill="1" applyAlignment="1">
      <alignment horizontal="center" vertical="center"/>
    </xf>
    <xf numFmtId="0" fontId="154" fillId="0" borderId="0" xfId="269" applyFont="1" applyFill="1" applyAlignment="1"/>
    <xf numFmtId="0" fontId="153" fillId="77" borderId="12" xfId="241" applyFont="1" applyFill="1" applyBorder="1" applyAlignment="1"/>
    <xf numFmtId="49" fontId="161" fillId="0" borderId="0" xfId="241" applyNumberFormat="1" applyFont="1" applyFill="1" applyAlignment="1">
      <alignment horizontal="center" vertical="center"/>
    </xf>
    <xf numFmtId="0" fontId="161" fillId="0" borderId="0" xfId="241" applyFont="1" applyFill="1" applyAlignment="1">
      <alignment horizontal="left" indent="2"/>
    </xf>
    <xf numFmtId="0" fontId="162" fillId="0" borderId="12" xfId="241" applyFont="1" applyFill="1" applyBorder="1" applyAlignment="1"/>
    <xf numFmtId="214" fontId="162" fillId="0" borderId="0" xfId="241" applyNumberFormat="1" applyFont="1" applyFill="1" applyBorder="1" applyAlignment="1"/>
    <xf numFmtId="213" fontId="153" fillId="0" borderId="0" xfId="3" applyNumberFormat="1" applyFont="1" applyAlignment="1">
      <alignment horizontal="center"/>
    </xf>
    <xf numFmtId="214" fontId="162" fillId="0" borderId="0" xfId="241" applyNumberFormat="1" applyFont="1" applyFill="1" applyBorder="1" applyAlignment="1">
      <alignment horizontal="right"/>
    </xf>
    <xf numFmtId="0" fontId="11" fillId="0" borderId="12" xfId="11" applyFont="1" applyBorder="1" applyAlignment="1">
      <alignment vertical="center"/>
    </xf>
    <xf numFmtId="0" fontId="154" fillId="71" borderId="0" xfId="11" applyFont="1" applyFill="1" applyAlignment="1">
      <alignment vertical="center"/>
    </xf>
    <xf numFmtId="0" fontId="11" fillId="78" borderId="12" xfId="3" applyFont="1" applyFill="1" applyBorder="1"/>
    <xf numFmtId="0" fontId="153" fillId="78" borderId="0" xfId="3" applyFont="1" applyFill="1"/>
    <xf numFmtId="0" fontId="153" fillId="71" borderId="0" xfId="2" applyFont="1" applyFill="1"/>
    <xf numFmtId="0" fontId="223" fillId="0" borderId="0" xfId="1283" applyFont="1" applyAlignment="1">
      <alignment horizontal="center" vertical="center"/>
    </xf>
    <xf numFmtId="49" fontId="223" fillId="0" borderId="0" xfId="1283" quotePrefix="1" applyNumberFormat="1" applyFont="1" applyAlignment="1">
      <alignment horizontal="center" vertical="center"/>
    </xf>
    <xf numFmtId="0" fontId="154" fillId="0" borderId="0" xfId="851" applyFont="1" applyAlignment="1">
      <alignment vertical="center"/>
    </xf>
    <xf numFmtId="0" fontId="224" fillId="71" borderId="0" xfId="2" applyFont="1" applyFill="1" applyAlignment="1">
      <alignment vertical="center"/>
    </xf>
    <xf numFmtId="0" fontId="194" fillId="0" borderId="0" xfId="1438" applyFont="1" applyAlignment="1">
      <alignment vertical="center"/>
    </xf>
    <xf numFmtId="0" fontId="161" fillId="0" borderId="0" xfId="851" applyFont="1" applyAlignment="1">
      <alignment horizontal="left" vertical="center" indent="2"/>
    </xf>
    <xf numFmtId="0" fontId="11" fillId="0" borderId="12" xfId="851" applyFont="1" applyBorder="1" applyAlignment="1">
      <alignment vertical="center"/>
    </xf>
    <xf numFmtId="0" fontId="225" fillId="71" borderId="0" xfId="2" applyFont="1" applyFill="1" applyAlignment="1">
      <alignment vertical="center"/>
    </xf>
    <xf numFmtId="214" fontId="162" fillId="0" borderId="0" xfId="1439" applyNumberFormat="1" applyFont="1" applyFill="1" applyAlignment="1">
      <alignment vertical="center"/>
    </xf>
    <xf numFmtId="4" fontId="162" fillId="0" borderId="0" xfId="1439" applyNumberFormat="1" applyFont="1" applyFill="1" applyAlignment="1">
      <alignment vertical="center"/>
    </xf>
    <xf numFmtId="0" fontId="154" fillId="0" borderId="0" xfId="240" applyFont="1" applyFill="1" applyAlignment="1">
      <alignment vertical="center" wrapText="1"/>
    </xf>
    <xf numFmtId="0" fontId="161" fillId="0" borderId="0" xfId="241" applyFont="1" applyFill="1" applyAlignment="1">
      <alignment horizontal="left" vertical="center" indent="2"/>
    </xf>
    <xf numFmtId="0" fontId="11" fillId="0" borderId="12" xfId="241" applyFont="1" applyFill="1" applyBorder="1" applyAlignment="1">
      <alignment horizontal="left" vertical="center" indent="2"/>
    </xf>
    <xf numFmtId="0" fontId="154" fillId="0" borderId="0" xfId="851" applyFont="1"/>
    <xf numFmtId="0" fontId="161" fillId="0" borderId="0" xfId="851" applyFont="1" applyAlignment="1">
      <alignment horizontal="left" indent="2"/>
    </xf>
    <xf numFmtId="0" fontId="162" fillId="0" borderId="12" xfId="0" applyFont="1" applyBorder="1"/>
    <xf numFmtId="0" fontId="224" fillId="71" borderId="0" xfId="1283" applyFont="1" applyFill="1"/>
    <xf numFmtId="4" fontId="194" fillId="0" borderId="0" xfId="1438" applyNumberFormat="1" applyFont="1" applyAlignment="1">
      <alignment vertical="center"/>
    </xf>
    <xf numFmtId="10" fontId="225" fillId="0" borderId="0" xfId="850" applyNumberFormat="1" applyFont="1" applyFill="1" applyAlignment="1">
      <alignment vertical="center"/>
    </xf>
    <xf numFmtId="0" fontId="153" fillId="78" borderId="12" xfId="3" applyFont="1" applyFill="1" applyBorder="1"/>
    <xf numFmtId="0" fontId="154" fillId="0" borderId="0" xfId="241" applyFont="1" applyFill="1" applyAlignment="1"/>
    <xf numFmtId="225" fontId="162" fillId="0" borderId="0" xfId="1" applyNumberFormat="1" applyFont="1" applyFill="1" applyAlignment="1"/>
    <xf numFmtId="3" fontId="4" fillId="7" borderId="1" xfId="1298" applyNumberFormat="1" applyFont="1" applyFill="1" applyBorder="1"/>
    <xf numFmtId="0" fontId="11" fillId="7" borderId="0" xfId="9" applyFont="1" applyFill="1" applyAlignment="1">
      <alignment wrapText="1"/>
    </xf>
    <xf numFmtId="3" fontId="192" fillId="7" borderId="13" xfId="1298" applyNumberFormat="1" applyFont="1" applyFill="1" applyBorder="1"/>
    <xf numFmtId="3" fontId="186" fillId="0" borderId="0" xfId="2" applyNumberFormat="1" applyFont="1"/>
    <xf numFmtId="168" fontId="184" fillId="7" borderId="32" xfId="2" applyNumberFormat="1" applyFont="1" applyFill="1" applyBorder="1"/>
    <xf numFmtId="0" fontId="226" fillId="0" borderId="0" xfId="3" applyFont="1" applyAlignment="1">
      <alignment vertical="center"/>
    </xf>
    <xf numFmtId="224" fontId="4" fillId="0" borderId="0" xfId="2" applyNumberFormat="1" applyFont="1"/>
    <xf numFmtId="3" fontId="10" fillId="0" borderId="14" xfId="0" applyNumberFormat="1" applyFont="1" applyBorder="1"/>
    <xf numFmtId="3" fontId="10" fillId="0" borderId="16" xfId="0" applyNumberFormat="1" applyFont="1" applyBorder="1"/>
    <xf numFmtId="3" fontId="10" fillId="0" borderId="13" xfId="0" applyNumberFormat="1" applyFont="1" applyBorder="1"/>
    <xf numFmtId="3" fontId="10" fillId="0" borderId="11" xfId="0" applyNumberFormat="1" applyFont="1" applyBorder="1"/>
    <xf numFmtId="3" fontId="3" fillId="0" borderId="29" xfId="3" applyNumberFormat="1" applyFont="1" applyBorder="1"/>
    <xf numFmtId="3" fontId="217" fillId="0" borderId="64" xfId="3" applyNumberFormat="1" applyFont="1" applyBorder="1"/>
    <xf numFmtId="3" fontId="217" fillId="0" borderId="26" xfId="3" applyNumberFormat="1" applyFont="1" applyBorder="1"/>
    <xf numFmtId="1" fontId="4" fillId="0" borderId="0" xfId="2" applyNumberFormat="1" applyFont="1"/>
    <xf numFmtId="168" fontId="4" fillId="7" borderId="6" xfId="3" applyNumberFormat="1" applyFont="1" applyFill="1" applyBorder="1"/>
    <xf numFmtId="3" fontId="198" fillId="0" borderId="26" xfId="0" applyNumberFormat="1" applyFont="1" applyBorder="1" applyAlignment="1">
      <alignment horizontal="center" vertical="center"/>
    </xf>
    <xf numFmtId="3" fontId="198" fillId="0" borderId="12" xfId="0" applyNumberFormat="1" applyFont="1" applyBorder="1" applyAlignment="1">
      <alignment horizontal="center" vertical="center"/>
    </xf>
    <xf numFmtId="0" fontId="199" fillId="0" borderId="14" xfId="0" applyFont="1" applyBorder="1" applyAlignment="1">
      <alignment horizontal="left" vertical="center" wrapText="1"/>
    </xf>
    <xf numFmtId="0" fontId="197" fillId="0" borderId="28" xfId="0" applyFont="1" applyBorder="1" applyAlignment="1">
      <alignment horizontal="left" vertical="center" wrapText="1"/>
    </xf>
    <xf numFmtId="3" fontId="198" fillId="0" borderId="15" xfId="0" applyNumberFormat="1" applyFont="1" applyBorder="1" applyAlignment="1">
      <alignment horizontal="right" vertical="center" shrinkToFit="1"/>
    </xf>
    <xf numFmtId="3" fontId="198" fillId="0" borderId="28" xfId="0" applyNumberFormat="1" applyFont="1" applyBorder="1" applyAlignment="1">
      <alignment horizontal="right" vertical="center" shrinkToFit="1"/>
    </xf>
    <xf numFmtId="3" fontId="198" fillId="0" borderId="1" xfId="0" applyNumberFormat="1" applyFont="1" applyBorder="1" applyAlignment="1">
      <alignment horizontal="right" vertical="center" shrinkToFit="1"/>
    </xf>
    <xf numFmtId="3" fontId="198" fillId="0" borderId="14" xfId="0" applyNumberFormat="1" applyFont="1" applyBorder="1" applyAlignment="1">
      <alignment horizontal="right" vertical="center" shrinkToFit="1"/>
    </xf>
    <xf numFmtId="3" fontId="198" fillId="0" borderId="16" xfId="0" applyNumberFormat="1" applyFont="1" applyBorder="1" applyAlignment="1">
      <alignment horizontal="right" vertical="center" shrinkToFit="1"/>
    </xf>
    <xf numFmtId="3" fontId="198" fillId="0" borderId="64" xfId="0" applyNumberFormat="1" applyFont="1" applyBorder="1" applyAlignment="1">
      <alignment horizontal="right" vertical="center" shrinkToFit="1"/>
    </xf>
    <xf numFmtId="3" fontId="197" fillId="85" borderId="11" xfId="0" applyNumberFormat="1" applyFont="1" applyFill="1" applyBorder="1" applyAlignment="1">
      <alignment horizontal="right" vertical="center" shrinkToFit="1"/>
    </xf>
    <xf numFmtId="3" fontId="197" fillId="85" borderId="26" xfId="0" applyNumberFormat="1" applyFont="1" applyFill="1" applyBorder="1" applyAlignment="1">
      <alignment horizontal="right" vertical="center" shrinkToFit="1"/>
    </xf>
    <xf numFmtId="3" fontId="194" fillId="0" borderId="0" xfId="0" applyNumberFormat="1" applyFont="1" applyAlignment="1">
      <alignment wrapText="1"/>
    </xf>
    <xf numFmtId="0" fontId="194" fillId="0" borderId="22" xfId="0" applyFont="1" applyBorder="1" applyAlignment="1">
      <alignment horizontal="left" vertical="center"/>
    </xf>
    <xf numFmtId="0" fontId="194" fillId="0" borderId="3" xfId="0" applyFont="1" applyBorder="1" applyAlignment="1">
      <alignment horizontal="left" vertical="center"/>
    </xf>
    <xf numFmtId="3" fontId="194" fillId="0" borderId="5" xfId="0" applyNumberFormat="1" applyFont="1" applyBorder="1" applyAlignment="1">
      <alignment horizontal="right" vertical="center" shrinkToFit="1"/>
    </xf>
    <xf numFmtId="3" fontId="194" fillId="0" borderId="22" xfId="0" applyNumberFormat="1" applyFont="1" applyBorder="1" applyAlignment="1">
      <alignment horizontal="right" vertical="center" shrinkToFit="1"/>
    </xf>
    <xf numFmtId="3" fontId="194" fillId="0" borderId="3" xfId="0" applyNumberFormat="1" applyFont="1" applyBorder="1" applyAlignment="1">
      <alignment horizontal="right" vertical="center" shrinkToFit="1"/>
    </xf>
    <xf numFmtId="170" fontId="196" fillId="0" borderId="7" xfId="0" applyNumberFormat="1" applyFont="1" applyBorder="1" applyAlignment="1">
      <alignment horizontal="left" vertical="center"/>
    </xf>
    <xf numFmtId="0" fontId="196" fillId="0" borderId="21" xfId="0" applyFont="1" applyBorder="1" applyAlignment="1">
      <alignment horizontal="left" vertical="center"/>
    </xf>
    <xf numFmtId="3" fontId="196" fillId="0" borderId="61" xfId="0" applyNumberFormat="1" applyFont="1" applyBorder="1" applyAlignment="1">
      <alignment horizontal="right" vertical="center" shrinkToFit="1"/>
    </xf>
    <xf numFmtId="3" fontId="196" fillId="0" borderId="21" xfId="0" applyNumberFormat="1" applyFont="1" applyBorder="1" applyAlignment="1">
      <alignment horizontal="right" vertical="center" shrinkToFit="1"/>
    </xf>
    <xf numFmtId="3" fontId="196" fillId="0" borderId="22" xfId="0" applyNumberFormat="1" applyFont="1" applyBorder="1" applyAlignment="1">
      <alignment horizontal="right" vertical="center" shrinkToFit="1"/>
    </xf>
    <xf numFmtId="3" fontId="196" fillId="0" borderId="16" xfId="0" applyNumberFormat="1" applyFont="1" applyBorder="1" applyAlignment="1">
      <alignment horizontal="right" vertical="center" shrinkToFit="1"/>
    </xf>
    <xf numFmtId="3" fontId="196" fillId="0" borderId="64" xfId="0" applyNumberFormat="1" applyFont="1" applyBorder="1" applyAlignment="1">
      <alignment horizontal="right" vertical="center" shrinkToFit="1"/>
    </xf>
    <xf numFmtId="3" fontId="196" fillId="0" borderId="28" xfId="0" applyNumberFormat="1" applyFont="1" applyBorder="1" applyAlignment="1">
      <alignment horizontal="right" vertical="center" shrinkToFit="1"/>
    </xf>
    <xf numFmtId="170" fontId="199" fillId="0" borderId="7" xfId="0" applyNumberFormat="1" applyFont="1" applyBorder="1" applyAlignment="1">
      <alignment horizontal="left" vertical="center"/>
    </xf>
    <xf numFmtId="170" fontId="199" fillId="0" borderId="3" xfId="0" applyNumberFormat="1" applyFont="1" applyBorder="1" applyAlignment="1">
      <alignment horizontal="left" vertical="center"/>
    </xf>
    <xf numFmtId="170" fontId="199" fillId="0" borderId="5" xfId="0" applyNumberFormat="1" applyFont="1" applyBorder="1" applyAlignment="1">
      <alignment horizontal="left" vertical="center"/>
    </xf>
    <xf numFmtId="0" fontId="194" fillId="0" borderId="0" xfId="0" applyFont="1" applyAlignment="1" applyProtection="1">
      <alignment wrapText="1"/>
      <protection locked="0"/>
    </xf>
    <xf numFmtId="0" fontId="196" fillId="0" borderId="0" xfId="0" applyFont="1" applyAlignment="1" applyProtection="1">
      <alignment wrapText="1"/>
      <protection locked="0"/>
    </xf>
    <xf numFmtId="3" fontId="197" fillId="0" borderId="64" xfId="0" applyNumberFormat="1" applyFont="1" applyBorder="1" applyAlignment="1">
      <alignment horizontal="right" vertical="center" shrinkToFit="1"/>
    </xf>
    <xf numFmtId="226" fontId="0" fillId="0" borderId="0" xfId="1" applyNumberFormat="1" applyFont="1"/>
    <xf numFmtId="0" fontId="227" fillId="0" borderId="0" xfId="0" applyFont="1"/>
    <xf numFmtId="3" fontId="198" fillId="0" borderId="26" xfId="0" applyNumberFormat="1" applyFont="1" applyBorder="1" applyAlignment="1">
      <alignment horizontal="right" vertical="center" shrinkToFit="1"/>
    </xf>
    <xf numFmtId="3" fontId="228" fillId="0" borderId="17" xfId="0" applyNumberFormat="1" applyFont="1" applyBorder="1" applyAlignment="1">
      <alignment horizontal="right" vertical="center" shrinkToFit="1"/>
    </xf>
    <xf numFmtId="3" fontId="228" fillId="0" borderId="0" xfId="0" applyNumberFormat="1" applyFont="1" applyAlignment="1">
      <alignment horizontal="right" vertical="center" shrinkToFit="1"/>
    </xf>
    <xf numFmtId="168" fontId="199" fillId="0" borderId="63" xfId="0" applyNumberFormat="1" applyFont="1" applyBorder="1" applyAlignment="1">
      <alignment horizontal="right" vertical="center" shrinkToFit="1"/>
    </xf>
    <xf numFmtId="168" fontId="229" fillId="0" borderId="63" xfId="0" applyNumberFormat="1" applyFont="1" applyBorder="1" applyAlignment="1">
      <alignment horizontal="right" vertical="center" shrinkToFit="1"/>
    </xf>
    <xf numFmtId="168" fontId="229" fillId="0" borderId="21" xfId="0" applyNumberFormat="1" applyFont="1" applyBorder="1" applyAlignment="1">
      <alignment horizontal="right" vertical="center" shrinkToFit="1"/>
    </xf>
    <xf numFmtId="168" fontId="228" fillId="0" borderId="17" xfId="0" applyNumberFormat="1" applyFont="1" applyBorder="1" applyAlignment="1">
      <alignment horizontal="right" vertical="center" shrinkToFit="1"/>
    </xf>
    <xf numFmtId="0" fontId="197" fillId="0" borderId="18" xfId="0" applyFont="1" applyBorder="1" applyAlignment="1">
      <alignment horizontal="left" vertical="center"/>
    </xf>
    <xf numFmtId="0" fontId="168" fillId="0" borderId="0" xfId="0" applyFont="1" applyAlignment="1">
      <alignment wrapText="1"/>
    </xf>
    <xf numFmtId="0" fontId="194" fillId="0" borderId="0" xfId="0" applyFont="1" applyAlignment="1">
      <alignment horizontal="left" vertical="center"/>
    </xf>
    <xf numFmtId="0" fontId="194" fillId="0" borderId="17" xfId="0" applyFont="1" applyBorder="1" applyAlignment="1">
      <alignment horizontal="left" vertical="center"/>
    </xf>
    <xf numFmtId="0" fontId="194" fillId="0" borderId="10" xfId="0" applyFont="1" applyBorder="1" applyAlignment="1">
      <alignment horizontal="left" vertical="center"/>
    </xf>
    <xf numFmtId="3" fontId="196" fillId="0" borderId="14" xfId="0" applyNumberFormat="1" applyFont="1" applyBorder="1" applyAlignment="1">
      <alignment horizontal="right" vertical="center" shrinkToFit="1"/>
    </xf>
    <xf numFmtId="3" fontId="196" fillId="0" borderId="1" xfId="0" applyNumberFormat="1" applyFont="1" applyBorder="1" applyAlignment="1">
      <alignment horizontal="right" vertical="center" shrinkToFit="1"/>
    </xf>
    <xf numFmtId="3" fontId="199" fillId="0" borderId="3" xfId="0" applyNumberFormat="1" applyFont="1" applyBorder="1" applyAlignment="1">
      <alignment horizontal="right" vertical="center" shrinkToFit="1"/>
    </xf>
    <xf numFmtId="3" fontId="199" fillId="0" borderId="22" xfId="0" applyNumberFormat="1" applyFont="1" applyBorder="1" applyAlignment="1">
      <alignment horizontal="right" vertical="center" shrinkToFit="1"/>
    </xf>
    <xf numFmtId="0" fontId="196" fillId="0" borderId="0" xfId="0" applyFont="1"/>
    <xf numFmtId="0" fontId="4" fillId="7" borderId="0" xfId="9" applyFont="1" applyFill="1" applyAlignment="1">
      <alignment horizontal="left"/>
    </xf>
    <xf numFmtId="3" fontId="4" fillId="7" borderId="1" xfId="3" quotePrefix="1" applyNumberFormat="1" applyFont="1" applyFill="1" applyBorder="1"/>
    <xf numFmtId="3" fontId="192" fillId="7" borderId="14" xfId="1298" applyNumberFormat="1" applyFont="1" applyFill="1" applyBorder="1"/>
    <xf numFmtId="3" fontId="192" fillId="7" borderId="16" xfId="1298" applyNumberFormat="1" applyFont="1" applyFill="1" applyBorder="1"/>
    <xf numFmtId="0" fontId="194" fillId="7" borderId="0" xfId="0" applyFont="1" applyFill="1"/>
    <xf numFmtId="168" fontId="174" fillId="88" borderId="7" xfId="2" applyNumberFormat="1" applyFont="1" applyFill="1" applyBorder="1"/>
    <xf numFmtId="4" fontId="174" fillId="88" borderId="7" xfId="2" applyNumberFormat="1" applyFont="1" applyFill="1" applyBorder="1"/>
    <xf numFmtId="4" fontId="174" fillId="88" borderId="17" xfId="2" applyNumberFormat="1" applyFont="1" applyFill="1" applyBorder="1"/>
    <xf numFmtId="168" fontId="174" fillId="88" borderId="6" xfId="2" applyNumberFormat="1" applyFont="1" applyFill="1" applyBorder="1"/>
    <xf numFmtId="168" fontId="174" fillId="7" borderId="6" xfId="2" applyNumberFormat="1" applyFont="1" applyFill="1" applyBorder="1"/>
    <xf numFmtId="3" fontId="4" fillId="88" borderId="14" xfId="1298" applyNumberFormat="1" applyFont="1" applyFill="1" applyBorder="1"/>
    <xf numFmtId="3" fontId="4" fillId="88" borderId="13" xfId="1298" applyNumberFormat="1" applyFont="1" applyFill="1" applyBorder="1"/>
    <xf numFmtId="3" fontId="4" fillId="88" borderId="7" xfId="3" applyNumberFormat="1" applyFont="1" applyFill="1" applyBorder="1"/>
    <xf numFmtId="3" fontId="4" fillId="88" borderId="13" xfId="3" applyNumberFormat="1" applyFont="1" applyFill="1" applyBorder="1"/>
    <xf numFmtId="225" fontId="168" fillId="0" borderId="0" xfId="1" applyNumberFormat="1" applyFont="1"/>
    <xf numFmtId="0" fontId="220" fillId="88" borderId="22" xfId="1298" applyFont="1" applyFill="1" applyBorder="1" applyAlignment="1">
      <alignment horizontal="left" indent="1"/>
    </xf>
    <xf numFmtId="170" fontId="4" fillId="7" borderId="0" xfId="1" applyNumberFormat="1" applyFont="1" applyFill="1" applyBorder="1" applyAlignment="1"/>
    <xf numFmtId="167" fontId="4" fillId="7" borderId="0" xfId="3" applyNumberFormat="1" applyFont="1" applyFill="1"/>
    <xf numFmtId="3" fontId="3" fillId="0" borderId="0" xfId="1298" applyNumberFormat="1" applyFont="1" applyAlignment="1">
      <alignment horizontal="center"/>
    </xf>
    <xf numFmtId="3" fontId="3" fillId="88" borderId="22" xfId="1298" applyNumberFormat="1" applyFont="1" applyFill="1" applyBorder="1"/>
    <xf numFmtId="3" fontId="3" fillId="88" borderId="7" xfId="1298" applyNumberFormat="1" applyFont="1" applyFill="1" applyBorder="1"/>
    <xf numFmtId="3" fontId="3" fillId="88" borderId="61" xfId="1298" applyNumberFormat="1" applyFont="1" applyFill="1" applyBorder="1"/>
    <xf numFmtId="3" fontId="3" fillId="88" borderId="5" xfId="1298" applyNumberFormat="1" applyFont="1" applyFill="1" applyBorder="1"/>
    <xf numFmtId="3" fontId="188" fillId="88" borderId="6" xfId="1298" applyNumberFormat="1" applyFont="1" applyFill="1" applyBorder="1"/>
    <xf numFmtId="3" fontId="188" fillId="88" borderId="16" xfId="1298" applyNumberFormat="1" applyFont="1" applyFill="1" applyBorder="1"/>
    <xf numFmtId="3" fontId="188" fillId="88" borderId="11" xfId="1298" applyNumberFormat="1" applyFont="1" applyFill="1" applyBorder="1"/>
    <xf numFmtId="170" fontId="4" fillId="0" borderId="0" xfId="1" applyNumberFormat="1" applyFont="1" applyFill="1" applyBorder="1" applyAlignment="1"/>
    <xf numFmtId="3" fontId="3" fillId="0" borderId="19" xfId="3" applyNumberFormat="1" applyFont="1" applyBorder="1"/>
    <xf numFmtId="3" fontId="230" fillId="0" borderId="13" xfId="3" applyNumberFormat="1" applyFont="1" applyBorder="1"/>
    <xf numFmtId="3" fontId="230" fillId="0" borderId="14" xfId="3" applyNumberFormat="1" applyFont="1" applyBorder="1"/>
    <xf numFmtId="10" fontId="230" fillId="0" borderId="13" xfId="6" applyNumberFormat="1" applyFont="1" applyFill="1" applyBorder="1" applyAlignment="1">
      <alignment horizontal="right" vertical="center"/>
    </xf>
    <xf numFmtId="10" fontId="230" fillId="0" borderId="24" xfId="6" applyNumberFormat="1" applyFont="1" applyFill="1" applyBorder="1" applyAlignment="1">
      <alignment horizontal="right" vertical="center"/>
    </xf>
    <xf numFmtId="3" fontId="230" fillId="0" borderId="24" xfId="3" applyNumberFormat="1" applyFont="1" applyBorder="1"/>
    <xf numFmtId="167" fontId="4" fillId="0" borderId="10" xfId="6" applyNumberFormat="1" applyFont="1" applyBorder="1" applyAlignment="1"/>
    <xf numFmtId="167" fontId="4" fillId="0" borderId="31" xfId="6" applyNumberFormat="1" applyFont="1" applyBorder="1" applyAlignment="1"/>
    <xf numFmtId="167" fontId="4" fillId="0" borderId="13" xfId="6" applyNumberFormat="1" applyFont="1" applyFill="1" applyBorder="1" applyAlignment="1">
      <alignment horizontal="right" vertical="center"/>
    </xf>
    <xf numFmtId="167" fontId="4" fillId="0" borderId="11" xfId="6" applyNumberFormat="1" applyFont="1" applyFill="1" applyBorder="1" applyAlignment="1">
      <alignment horizontal="right" vertical="center"/>
    </xf>
    <xf numFmtId="10" fontId="4" fillId="0" borderId="18" xfId="6" applyNumberFormat="1" applyFont="1" applyFill="1" applyBorder="1" applyAlignment="1">
      <alignment horizontal="right" vertical="center"/>
    </xf>
    <xf numFmtId="10" fontId="4" fillId="0" borderId="30" xfId="6" applyNumberFormat="1" applyFont="1" applyFill="1" applyBorder="1" applyAlignment="1">
      <alignment horizontal="right" vertical="center"/>
    </xf>
    <xf numFmtId="168" fontId="4" fillId="0" borderId="7" xfId="7" applyNumberFormat="1" applyFont="1" applyBorder="1"/>
    <xf numFmtId="168" fontId="4" fillId="0" borderId="21" xfId="7" applyNumberFormat="1" applyFont="1" applyBorder="1"/>
    <xf numFmtId="168" fontId="4" fillId="0" borderId="8" xfId="3" applyNumberFormat="1" applyFont="1" applyBorder="1"/>
    <xf numFmtId="168" fontId="4" fillId="0" borderId="32" xfId="3" applyNumberFormat="1" applyFont="1" applyBorder="1"/>
    <xf numFmtId="168" fontId="4" fillId="0" borderId="17" xfId="3" applyNumberFormat="1" applyFont="1" applyBorder="1"/>
    <xf numFmtId="3" fontId="4" fillId="7" borderId="13" xfId="3" applyNumberFormat="1" applyFont="1" applyFill="1" applyBorder="1"/>
    <xf numFmtId="3" fontId="4" fillId="7" borderId="11" xfId="3" applyNumberFormat="1" applyFont="1" applyFill="1" applyBorder="1"/>
    <xf numFmtId="168" fontId="4" fillId="0" borderId="28" xfId="7" applyNumberFormat="1" applyFont="1" applyBorder="1"/>
    <xf numFmtId="212" fontId="4" fillId="0" borderId="13" xfId="3" applyNumberFormat="1" applyFont="1" applyBorder="1"/>
    <xf numFmtId="227" fontId="168" fillId="0" borderId="0" xfId="0" applyNumberFormat="1" applyFont="1"/>
    <xf numFmtId="168" fontId="174" fillId="0" borderId="7" xfId="2" applyNumberFormat="1" applyFont="1" applyBorder="1"/>
    <xf numFmtId="229" fontId="168" fillId="0" borderId="0" xfId="0" applyNumberFormat="1" applyFont="1"/>
    <xf numFmtId="10" fontId="4" fillId="0" borderId="17" xfId="6" applyNumberFormat="1" applyFont="1" applyFill="1" applyBorder="1" applyAlignment="1">
      <alignment horizontal="right" vertical="center"/>
    </xf>
    <xf numFmtId="168" fontId="231" fillId="0" borderId="14" xfId="2" applyNumberFormat="1" applyFont="1" applyBorder="1"/>
    <xf numFmtId="168" fontId="231" fillId="0" borderId="13" xfId="2" applyNumberFormat="1" applyFont="1" applyBorder="1"/>
    <xf numFmtId="3" fontId="232" fillId="7" borderId="16" xfId="1298" applyNumberFormat="1" applyFont="1" applyFill="1" applyBorder="1"/>
    <xf numFmtId="169" fontId="4" fillId="0" borderId="0" xfId="6" applyNumberFormat="1" applyFont="1" applyFill="1" applyBorder="1" applyAlignment="1"/>
    <xf numFmtId="168" fontId="15" fillId="89" borderId="7" xfId="2" applyNumberFormat="1" applyFont="1" applyFill="1" applyBorder="1"/>
    <xf numFmtId="168" fontId="15" fillId="89" borderId="6" xfId="2" applyNumberFormat="1" applyFont="1" applyFill="1" applyBorder="1"/>
    <xf numFmtId="3" fontId="4" fillId="89" borderId="25" xfId="1298" applyNumberFormat="1" applyFont="1" applyFill="1" applyBorder="1"/>
    <xf numFmtId="3" fontId="4" fillId="89" borderId="16" xfId="1298" applyNumberFormat="1" applyFont="1" applyFill="1" applyBorder="1"/>
    <xf numFmtId="3" fontId="4" fillId="89" borderId="1" xfId="3" applyNumberFormat="1" applyFont="1" applyFill="1" applyBorder="1"/>
    <xf numFmtId="168" fontId="204" fillId="0" borderId="0" xfId="0" applyNumberFormat="1" applyFont="1" applyAlignment="1">
      <alignment horizontal="left" vertical="center" wrapText="1" shrinkToFit="1"/>
    </xf>
    <xf numFmtId="3" fontId="192" fillId="89" borderId="16" xfId="1298" applyNumberFormat="1" applyFont="1" applyFill="1" applyBorder="1"/>
    <xf numFmtId="0" fontId="235" fillId="0" borderId="0" xfId="2" applyFont="1"/>
    <xf numFmtId="168" fontId="236" fillId="0" borderId="63" xfId="0" applyNumberFormat="1" applyFont="1" applyBorder="1" applyAlignment="1">
      <alignment horizontal="right" vertical="center" shrinkToFit="1"/>
    </xf>
    <xf numFmtId="170" fontId="199" fillId="7" borderId="4" xfId="0" applyNumberFormat="1" applyFont="1" applyFill="1" applyBorder="1" applyAlignment="1">
      <alignment horizontal="left" vertical="center"/>
    </xf>
    <xf numFmtId="0" fontId="3" fillId="3" borderId="5" xfId="2" applyFont="1" applyFill="1" applyBorder="1" applyAlignment="1">
      <alignment horizontal="center" vertical="center" wrapText="1"/>
    </xf>
    <xf numFmtId="3" fontId="4" fillId="69" borderId="12" xfId="1298" applyNumberFormat="1" applyFont="1" applyFill="1" applyBorder="1"/>
    <xf numFmtId="3" fontId="4" fillId="69" borderId="5" xfId="1298" applyNumberFormat="1" applyFont="1" applyFill="1" applyBorder="1"/>
    <xf numFmtId="3" fontId="4" fillId="0" borderId="5" xfId="1298" applyNumberFormat="1" applyFont="1" applyBorder="1"/>
    <xf numFmtId="3" fontId="3" fillId="69" borderId="4" xfId="1298" applyNumberFormat="1" applyFont="1" applyFill="1" applyBorder="1"/>
    <xf numFmtId="3" fontId="4" fillId="69" borderId="0" xfId="1298" applyNumberFormat="1" applyFont="1" applyFill="1"/>
    <xf numFmtId="3" fontId="4" fillId="69" borderId="9" xfId="1298" applyNumberFormat="1" applyFont="1" applyFill="1" applyBorder="1"/>
    <xf numFmtId="3" fontId="4" fillId="69" borderId="20" xfId="1298" applyNumberFormat="1" applyFont="1" applyFill="1" applyBorder="1"/>
    <xf numFmtId="3" fontId="3" fillId="69" borderId="5" xfId="1298" applyNumberFormat="1" applyFont="1" applyFill="1" applyBorder="1"/>
    <xf numFmtId="0" fontId="3" fillId="3" borderId="63" xfId="2" applyFont="1" applyFill="1" applyBorder="1" applyAlignment="1">
      <alignment horizontal="center" vertical="center" wrapText="1"/>
    </xf>
    <xf numFmtId="168" fontId="4" fillId="69" borderId="64" xfId="1298" applyNumberFormat="1" applyFont="1" applyFill="1" applyBorder="1"/>
    <xf numFmtId="3" fontId="4" fillId="69" borderId="26" xfId="1298" applyNumberFormat="1" applyFont="1" applyFill="1" applyBorder="1"/>
    <xf numFmtId="3" fontId="4" fillId="69" borderId="63" xfId="1298" applyNumberFormat="1" applyFont="1" applyFill="1" applyBorder="1"/>
    <xf numFmtId="3" fontId="4" fillId="0" borderId="26" xfId="1298" applyNumberFormat="1" applyFont="1" applyBorder="1"/>
    <xf numFmtId="168" fontId="4" fillId="69" borderId="26" xfId="1298" applyNumberFormat="1" applyFont="1" applyFill="1" applyBorder="1"/>
    <xf numFmtId="168" fontId="4" fillId="5" borderId="29" xfId="1298" applyNumberFormat="1" applyFont="1" applyFill="1" applyBorder="1"/>
    <xf numFmtId="3" fontId="192" fillId="0" borderId="64" xfId="1298" applyNumberFormat="1" applyFont="1" applyBorder="1"/>
    <xf numFmtId="3" fontId="192" fillId="0" borderId="26" xfId="1298" applyNumberFormat="1" applyFont="1" applyBorder="1"/>
    <xf numFmtId="3" fontId="193" fillId="0" borderId="26" xfId="1298" applyNumberFormat="1" applyFont="1" applyBorder="1"/>
    <xf numFmtId="3" fontId="3" fillId="88" borderId="4" xfId="1298" applyNumberFormat="1" applyFont="1" applyFill="1" applyBorder="1"/>
    <xf numFmtId="3" fontId="192" fillId="69" borderId="26" xfId="1298" applyNumberFormat="1" applyFont="1" applyFill="1" applyBorder="1"/>
    <xf numFmtId="3" fontId="4" fillId="7" borderId="26" xfId="1298" applyNumberFormat="1" applyFont="1" applyFill="1" applyBorder="1"/>
    <xf numFmtId="3" fontId="4" fillId="69" borderId="29" xfId="1298" applyNumberFormat="1" applyFont="1" applyFill="1" applyBorder="1"/>
    <xf numFmtId="3" fontId="3" fillId="83" borderId="63" xfId="1298" applyNumberFormat="1" applyFont="1" applyFill="1" applyBorder="1"/>
    <xf numFmtId="3" fontId="4" fillId="69" borderId="64" xfId="1298" applyNumberFormat="1" applyFont="1" applyFill="1" applyBorder="1"/>
    <xf numFmtId="3" fontId="3" fillId="0" borderId="3" xfId="1298" applyNumberFormat="1" applyFont="1" applyBorder="1"/>
    <xf numFmtId="3" fontId="4" fillId="83" borderId="12" xfId="1298" applyNumberFormat="1" applyFont="1" applyFill="1" applyBorder="1"/>
    <xf numFmtId="3" fontId="4" fillId="83" borderId="20" xfId="1298" applyNumberFormat="1" applyFont="1" applyFill="1" applyBorder="1"/>
    <xf numFmtId="3" fontId="3" fillId="0" borderId="5" xfId="1298" applyNumberFormat="1" applyFont="1" applyBorder="1"/>
    <xf numFmtId="3" fontId="4" fillId="0" borderId="20" xfId="1298" applyNumberFormat="1" applyFont="1" applyBorder="1"/>
    <xf numFmtId="3" fontId="4" fillId="88" borderId="9" xfId="1298" applyNumberFormat="1" applyFont="1" applyFill="1" applyBorder="1"/>
    <xf numFmtId="3" fontId="4" fillId="88" borderId="12" xfId="1298" applyNumberFormat="1" applyFont="1" applyFill="1" applyBorder="1"/>
    <xf numFmtId="3" fontId="4" fillId="88" borderId="5" xfId="1298" applyNumberFormat="1" applyFont="1" applyFill="1" applyBorder="1"/>
    <xf numFmtId="168" fontId="4" fillId="69" borderId="0" xfId="1298" applyNumberFormat="1" applyFont="1" applyFill="1"/>
    <xf numFmtId="168" fontId="4" fillId="5" borderId="0" xfId="1298" applyNumberFormat="1" applyFont="1" applyFill="1"/>
    <xf numFmtId="3" fontId="4" fillId="5" borderId="7" xfId="1298" applyNumberFormat="1" applyFont="1" applyFill="1" applyBorder="1"/>
    <xf numFmtId="3" fontId="4" fillId="5" borderId="6" xfId="1298" applyNumberFormat="1" applyFont="1" applyFill="1" applyBorder="1"/>
    <xf numFmtId="3" fontId="192" fillId="69" borderId="64" xfId="1298" applyNumberFormat="1" applyFont="1" applyFill="1" applyBorder="1"/>
    <xf numFmtId="168" fontId="4" fillId="0" borderId="0" xfId="1298" applyNumberFormat="1" applyFont="1"/>
    <xf numFmtId="3" fontId="193" fillId="69" borderId="26" xfId="1298" applyNumberFormat="1" applyFont="1" applyFill="1" applyBorder="1"/>
    <xf numFmtId="0" fontId="188" fillId="0" borderId="0" xfId="2" applyFont="1" applyAlignment="1">
      <alignment wrapText="1"/>
    </xf>
    <xf numFmtId="3" fontId="188" fillId="69" borderId="16" xfId="1298" applyNumberFormat="1" applyFont="1" applyFill="1" applyBorder="1"/>
    <xf numFmtId="3" fontId="188" fillId="69" borderId="64" xfId="1298" applyNumberFormat="1" applyFont="1" applyFill="1" applyBorder="1"/>
    <xf numFmtId="3" fontId="188" fillId="69" borderId="11" xfId="1298" applyNumberFormat="1" applyFont="1" applyFill="1" applyBorder="1"/>
    <xf numFmtId="3" fontId="188" fillId="69" borderId="26" xfId="1298" applyNumberFormat="1" applyFont="1" applyFill="1" applyBorder="1"/>
    <xf numFmtId="3" fontId="188" fillId="69" borderId="6" xfId="1298" applyNumberFormat="1" applyFont="1" applyFill="1" applyBorder="1"/>
    <xf numFmtId="3" fontId="193" fillId="69" borderId="11" xfId="1298" applyNumberFormat="1" applyFont="1" applyFill="1" applyBorder="1"/>
    <xf numFmtId="3" fontId="192" fillId="69" borderId="29" xfId="1298" applyNumberFormat="1" applyFont="1" applyFill="1" applyBorder="1"/>
    <xf numFmtId="0" fontId="3" fillId="3" borderId="63" xfId="0" applyFont="1" applyFill="1" applyBorder="1" applyAlignment="1">
      <alignment horizontal="center" wrapText="1"/>
    </xf>
    <xf numFmtId="3" fontId="4" fillId="0" borderId="64" xfId="0" applyNumberFormat="1" applyFont="1" applyBorder="1"/>
    <xf numFmtId="3" fontId="4" fillId="0" borderId="26" xfId="3" applyNumberFormat="1" applyFont="1" applyBorder="1"/>
    <xf numFmtId="3" fontId="4" fillId="0" borderId="26" xfId="0" applyNumberFormat="1" applyFont="1" applyBorder="1"/>
    <xf numFmtId="167" fontId="4" fillId="0" borderId="29" xfId="3" applyNumberFormat="1" applyFont="1" applyBorder="1"/>
    <xf numFmtId="3" fontId="4" fillId="0" borderId="64" xfId="3" applyNumberFormat="1" applyFont="1" applyBorder="1"/>
    <xf numFmtId="167" fontId="4" fillId="0" borderId="64" xfId="6" applyNumberFormat="1" applyFont="1" applyFill="1" applyBorder="1" applyAlignment="1">
      <alignment horizontal="right" vertical="center"/>
    </xf>
    <xf numFmtId="167" fontId="4" fillId="0" borderId="26" xfId="6" applyNumberFormat="1" applyFont="1" applyFill="1" applyBorder="1" applyAlignment="1">
      <alignment horizontal="right" vertical="center"/>
    </xf>
    <xf numFmtId="10" fontId="4" fillId="0" borderId="26" xfId="6" applyNumberFormat="1" applyFont="1" applyFill="1" applyBorder="1" applyAlignment="1">
      <alignment horizontal="right" vertical="center"/>
    </xf>
    <xf numFmtId="10" fontId="4" fillId="0" borderId="29" xfId="6" applyNumberFormat="1" applyFont="1" applyFill="1" applyBorder="1" applyAlignment="1">
      <alignment horizontal="right" vertical="center"/>
    </xf>
    <xf numFmtId="168" fontId="195" fillId="0" borderId="63" xfId="7" applyNumberFormat="1" applyFont="1" applyBorder="1"/>
    <xf numFmtId="3" fontId="4" fillId="0" borderId="29" xfId="3" applyNumberFormat="1" applyFont="1" applyBorder="1"/>
    <xf numFmtId="3" fontId="4" fillId="4" borderId="26" xfId="3" applyNumberFormat="1" applyFont="1" applyFill="1" applyBorder="1"/>
    <xf numFmtId="10" fontId="4" fillId="4" borderId="29" xfId="6" applyNumberFormat="1" applyFont="1" applyFill="1" applyBorder="1" applyAlignment="1">
      <alignment horizontal="right" vertical="center"/>
    </xf>
    <xf numFmtId="0" fontId="3" fillId="3" borderId="61" xfId="0" applyFont="1" applyFill="1" applyBorder="1" applyAlignment="1">
      <alignment horizontal="center" wrapText="1"/>
    </xf>
    <xf numFmtId="168" fontId="4" fillId="4" borderId="28" xfId="3" applyNumberFormat="1" applyFont="1" applyFill="1" applyBorder="1"/>
    <xf numFmtId="168" fontId="4" fillId="4" borderId="18" xfId="3" applyNumberFormat="1" applyFont="1" applyFill="1" applyBorder="1"/>
    <xf numFmtId="168" fontId="192" fillId="0" borderId="18" xfId="3" applyNumberFormat="1" applyFont="1" applyBorder="1"/>
    <xf numFmtId="167" fontId="4" fillId="0" borderId="28" xfId="6" applyNumberFormat="1" applyFont="1" applyFill="1" applyBorder="1" applyAlignment="1">
      <alignment vertical="center"/>
    </xf>
    <xf numFmtId="167" fontId="4" fillId="0" borderId="18" xfId="6" applyNumberFormat="1" applyFont="1" applyFill="1" applyBorder="1" applyAlignment="1">
      <alignment vertical="center"/>
    </xf>
    <xf numFmtId="10" fontId="4" fillId="0" borderId="30" xfId="6" applyNumberFormat="1" applyFont="1" applyBorder="1" applyAlignment="1">
      <alignment vertical="center"/>
    </xf>
    <xf numFmtId="168" fontId="4" fillId="4" borderId="28" xfId="7" applyNumberFormat="1" applyFont="1" applyFill="1" applyBorder="1"/>
    <xf numFmtId="167" fontId="4" fillId="4" borderId="30" xfId="6" applyNumberFormat="1" applyFont="1" applyFill="1" applyBorder="1" applyAlignment="1"/>
    <xf numFmtId="168" fontId="4" fillId="0" borderId="28" xfId="3" applyNumberFormat="1" applyFont="1" applyBorder="1"/>
    <xf numFmtId="168" fontId="3" fillId="0" borderId="30" xfId="3" applyNumberFormat="1" applyFont="1" applyBorder="1"/>
    <xf numFmtId="168" fontId="3" fillId="0" borderId="18" xfId="7" applyNumberFormat="1" applyFont="1" applyBorder="1"/>
    <xf numFmtId="3" fontId="3" fillId="0" borderId="25" xfId="3" applyNumberFormat="1" applyFont="1" applyBorder="1"/>
    <xf numFmtId="3" fontId="195" fillId="0" borderId="64" xfId="3" applyNumberFormat="1" applyFont="1" applyBorder="1"/>
    <xf numFmtId="3" fontId="195" fillId="0" borderId="26" xfId="3" applyNumberFormat="1" applyFont="1" applyBorder="1"/>
    <xf numFmtId="3" fontId="215" fillId="0" borderId="26" xfId="3" applyNumberFormat="1" applyFont="1" applyBorder="1"/>
    <xf numFmtId="3" fontId="195" fillId="4" borderId="64" xfId="3" applyNumberFormat="1" applyFont="1" applyFill="1" applyBorder="1"/>
    <xf numFmtId="3" fontId="195" fillId="4" borderId="26" xfId="3" applyNumberFormat="1" applyFont="1" applyFill="1" applyBorder="1"/>
    <xf numFmtId="168" fontId="4" fillId="4" borderId="14" xfId="3" applyNumberFormat="1" applyFont="1" applyFill="1" applyBorder="1"/>
    <xf numFmtId="168" fontId="4" fillId="4" borderId="13" xfId="3" applyNumberFormat="1" applyFont="1" applyFill="1" applyBorder="1"/>
    <xf numFmtId="168" fontId="4" fillId="0" borderId="13" xfId="3" applyNumberFormat="1" applyFont="1" applyBorder="1"/>
    <xf numFmtId="3" fontId="192" fillId="0" borderId="64" xfId="3" applyNumberFormat="1" applyFont="1" applyBorder="1"/>
    <xf numFmtId="168" fontId="192" fillId="0" borderId="26" xfId="3" applyNumberFormat="1" applyFont="1" applyBorder="1"/>
    <xf numFmtId="168" fontId="4" fillId="0" borderId="14" xfId="3" applyNumberFormat="1" applyFont="1" applyBorder="1"/>
    <xf numFmtId="10" fontId="4" fillId="0" borderId="64" xfId="6" applyNumberFormat="1" applyFont="1" applyFill="1" applyBorder="1" applyAlignment="1">
      <alignment vertical="center"/>
    </xf>
    <xf numFmtId="10" fontId="195" fillId="0" borderId="26" xfId="6" applyNumberFormat="1" applyFont="1" applyFill="1" applyBorder="1" applyAlignment="1">
      <alignment vertical="center"/>
    </xf>
    <xf numFmtId="10" fontId="195" fillId="0" borderId="29" xfId="6" applyNumberFormat="1" applyFont="1" applyBorder="1" applyAlignment="1">
      <alignment vertical="center"/>
    </xf>
    <xf numFmtId="167" fontId="4" fillId="0" borderId="14" xfId="6" applyNumberFormat="1" applyFont="1" applyFill="1" applyBorder="1" applyAlignment="1">
      <alignment vertical="center"/>
    </xf>
    <xf numFmtId="167" fontId="4" fillId="0" borderId="13" xfId="6" applyNumberFormat="1" applyFont="1" applyFill="1" applyBorder="1" applyAlignment="1">
      <alignment vertical="center"/>
    </xf>
    <xf numFmtId="168" fontId="4" fillId="0" borderId="63" xfId="7" applyNumberFormat="1" applyFont="1" applyBorder="1"/>
    <xf numFmtId="168" fontId="4" fillId="0" borderId="26" xfId="3" applyNumberFormat="1" applyFont="1" applyBorder="1"/>
    <xf numFmtId="10" fontId="4" fillId="0" borderId="29" xfId="6" applyNumberFormat="1" applyFont="1" applyBorder="1" applyAlignment="1">
      <alignment vertical="center"/>
    </xf>
    <xf numFmtId="0" fontId="16" fillId="0" borderId="0" xfId="2" applyFont="1"/>
    <xf numFmtId="10" fontId="4" fillId="0" borderId="0" xfId="5" applyNumberFormat="1" applyFont="1" applyFill="1" applyBorder="1" applyAlignment="1">
      <alignment horizontal="left" vertical="center" indent="2"/>
    </xf>
    <xf numFmtId="3" fontId="4" fillId="4" borderId="10" xfId="3" applyNumberFormat="1" applyFont="1" applyFill="1" applyBorder="1"/>
    <xf numFmtId="3" fontId="230" fillId="0" borderId="16" xfId="0" applyNumberFormat="1" applyFont="1" applyBorder="1"/>
    <xf numFmtId="3" fontId="230" fillId="0" borderId="11" xfId="0" applyNumberFormat="1" applyFont="1" applyBorder="1"/>
    <xf numFmtId="167" fontId="230" fillId="0" borderId="0" xfId="3" applyNumberFormat="1" applyFont="1"/>
    <xf numFmtId="0" fontId="230" fillId="0" borderId="0" xfId="3" applyFont="1" applyAlignment="1">
      <alignment vertical="center"/>
    </xf>
    <xf numFmtId="3" fontId="230" fillId="4" borderId="16" xfId="3" applyNumberFormat="1" applyFont="1" applyFill="1" applyBorder="1"/>
    <xf numFmtId="3" fontId="230" fillId="4" borderId="11" xfId="3" applyNumberFormat="1" applyFont="1" applyFill="1" applyBorder="1"/>
    <xf numFmtId="3" fontId="230" fillId="0" borderId="11" xfId="3" applyNumberFormat="1" applyFont="1" applyBorder="1"/>
    <xf numFmtId="3" fontId="230" fillId="0" borderId="16" xfId="3" applyNumberFormat="1" applyFont="1" applyBorder="1"/>
    <xf numFmtId="10" fontId="230" fillId="0" borderId="11" xfId="6" applyNumberFormat="1" applyFont="1" applyFill="1" applyBorder="1" applyAlignment="1">
      <alignment horizontal="right" vertical="center"/>
    </xf>
    <xf numFmtId="10" fontId="230" fillId="0" borderId="23" xfId="6" applyNumberFormat="1" applyFont="1" applyFill="1" applyBorder="1" applyAlignment="1">
      <alignment horizontal="right" vertical="center"/>
    </xf>
    <xf numFmtId="168" fontId="230" fillId="0" borderId="6" xfId="7" applyNumberFormat="1" applyFont="1" applyBorder="1"/>
    <xf numFmtId="3" fontId="4" fillId="85" borderId="11" xfId="0" applyNumberFormat="1" applyFont="1" applyFill="1" applyBorder="1"/>
    <xf numFmtId="3" fontId="4" fillId="85" borderId="10" xfId="3" applyNumberFormat="1" applyFont="1" applyFill="1" applyBorder="1"/>
    <xf numFmtId="168" fontId="10" fillId="0" borderId="16" xfId="7" applyNumberFormat="1" applyFont="1" applyBorder="1"/>
    <xf numFmtId="212" fontId="10" fillId="0" borderId="11" xfId="3" applyNumberFormat="1" applyFont="1" applyBorder="1"/>
    <xf numFmtId="3" fontId="4" fillId="0" borderId="17" xfId="3" applyNumberFormat="1" applyFont="1" applyBorder="1"/>
    <xf numFmtId="3" fontId="4" fillId="0" borderId="17" xfId="0" applyNumberFormat="1" applyFont="1" applyBorder="1"/>
    <xf numFmtId="3" fontId="10" fillId="0" borderId="8" xfId="3" applyNumberFormat="1" applyFont="1" applyBorder="1"/>
    <xf numFmtId="3" fontId="10" fillId="0" borderId="17" xfId="3" applyNumberFormat="1" applyFont="1" applyBorder="1"/>
    <xf numFmtId="10" fontId="4" fillId="0" borderId="19" xfId="6" applyNumberFormat="1" applyFont="1" applyFill="1" applyBorder="1" applyAlignment="1">
      <alignment horizontal="right" vertical="center"/>
    </xf>
    <xf numFmtId="168" fontId="4" fillId="0" borderId="22" xfId="7" applyNumberFormat="1" applyFont="1" applyBorder="1"/>
    <xf numFmtId="168" fontId="4" fillId="0" borderId="19" xfId="3" applyNumberFormat="1" applyFont="1" applyBorder="1"/>
    <xf numFmtId="3" fontId="10" fillId="0" borderId="64" xfId="0" applyNumberFormat="1" applyFont="1" applyBorder="1"/>
    <xf numFmtId="3" fontId="10" fillId="0" borderId="26" xfId="3" applyNumberFormat="1" applyFont="1" applyBorder="1"/>
    <xf numFmtId="3" fontId="10" fillId="0" borderId="26" xfId="0" applyNumberFormat="1" applyFont="1" applyBorder="1"/>
    <xf numFmtId="3" fontId="166" fillId="0" borderId="26" xfId="3" applyNumberFormat="1" applyFont="1" applyBorder="1"/>
    <xf numFmtId="3" fontId="217" fillId="0" borderId="64" xfId="0" applyNumberFormat="1" applyFont="1" applyBorder="1"/>
    <xf numFmtId="3" fontId="217" fillId="4" borderId="26" xfId="3" applyNumberFormat="1" applyFont="1" applyFill="1" applyBorder="1"/>
    <xf numFmtId="3" fontId="217" fillId="0" borderId="26" xfId="0" applyNumberFormat="1" applyFont="1" applyBorder="1"/>
    <xf numFmtId="3" fontId="218" fillId="0" borderId="26" xfId="0" applyNumberFormat="1" applyFont="1" applyBorder="1"/>
    <xf numFmtId="3" fontId="3" fillId="0" borderId="12" xfId="3" applyNumberFormat="1" applyFont="1" applyBorder="1"/>
    <xf numFmtId="167" fontId="4" fillId="0" borderId="20" xfId="3" applyNumberFormat="1" applyFont="1" applyBorder="1"/>
    <xf numFmtId="3" fontId="195" fillId="0" borderId="64" xfId="0" applyNumberFormat="1" applyFont="1" applyBorder="1"/>
    <xf numFmtId="3" fontId="195" fillId="0" borderId="26" xfId="0" applyNumberFormat="1" applyFont="1" applyBorder="1"/>
    <xf numFmtId="3" fontId="192" fillId="0" borderId="14" xfId="0" applyNumberFormat="1" applyFont="1" applyBorder="1"/>
    <xf numFmtId="3" fontId="192" fillId="0" borderId="13" xfId="3" applyNumberFormat="1" applyFont="1" applyBorder="1"/>
    <xf numFmtId="3" fontId="192" fillId="0" borderId="13" xfId="0" applyNumberFormat="1" applyFont="1" applyBorder="1"/>
    <xf numFmtId="3" fontId="195" fillId="0" borderId="7" xfId="7" applyNumberFormat="1" applyFont="1" applyBorder="1"/>
    <xf numFmtId="168" fontId="195" fillId="0" borderId="64" xfId="3" applyNumberFormat="1" applyFont="1" applyBorder="1"/>
    <xf numFmtId="168" fontId="195" fillId="0" borderId="26" xfId="3" applyNumberFormat="1" applyFont="1" applyBorder="1"/>
    <xf numFmtId="222" fontId="195" fillId="0" borderId="29" xfId="1" applyNumberFormat="1" applyFont="1" applyBorder="1" applyAlignment="1">
      <alignment vertical="center"/>
    </xf>
    <xf numFmtId="3" fontId="195" fillId="4" borderId="64" xfId="7" applyNumberFormat="1" applyFont="1" applyFill="1" applyBorder="1"/>
    <xf numFmtId="168" fontId="4" fillId="4" borderId="26" xfId="3" applyNumberFormat="1" applyFont="1" applyFill="1" applyBorder="1"/>
    <xf numFmtId="10" fontId="4" fillId="4" borderId="29" xfId="6" applyNumberFormat="1" applyFont="1" applyFill="1" applyBorder="1" applyAlignment="1">
      <alignment vertical="center"/>
    </xf>
    <xf numFmtId="3" fontId="195" fillId="4" borderId="14" xfId="7" applyNumberFormat="1" applyFont="1" applyFill="1" applyBorder="1"/>
    <xf numFmtId="167" fontId="4" fillId="4" borderId="24" xfId="6" applyNumberFormat="1" applyFont="1" applyFill="1" applyBorder="1" applyAlignment="1"/>
    <xf numFmtId="167" fontId="230" fillId="0" borderId="13" xfId="6" applyNumberFormat="1" applyFont="1" applyFill="1" applyBorder="1" applyAlignment="1">
      <alignment horizontal="right" vertical="center"/>
    </xf>
    <xf numFmtId="168" fontId="230" fillId="0" borderId="7" xfId="7" applyNumberFormat="1" applyFont="1" applyBorder="1"/>
    <xf numFmtId="3" fontId="4" fillId="4" borderId="64" xfId="3" applyNumberFormat="1" applyFont="1" applyFill="1" applyBorder="1"/>
    <xf numFmtId="3" fontId="4" fillId="4" borderId="28" xfId="3" applyNumberFormat="1" applyFont="1" applyFill="1" applyBorder="1"/>
    <xf numFmtId="3" fontId="4" fillId="79" borderId="13" xfId="3" applyNumberFormat="1" applyFont="1" applyFill="1" applyBorder="1"/>
    <xf numFmtId="3" fontId="4" fillId="79" borderId="11" xfId="3" applyNumberFormat="1" applyFont="1" applyFill="1" applyBorder="1"/>
    <xf numFmtId="3" fontId="195" fillId="4" borderId="18" xfId="3" applyNumberFormat="1" applyFont="1" applyFill="1" applyBorder="1"/>
    <xf numFmtId="3" fontId="195" fillId="0" borderId="18" xfId="3" applyNumberFormat="1" applyFont="1" applyBorder="1"/>
    <xf numFmtId="3" fontId="195" fillId="0" borderId="28" xfId="3" applyNumberFormat="1" applyFont="1" applyBorder="1"/>
    <xf numFmtId="0" fontId="3" fillId="0" borderId="22" xfId="2" applyFont="1" applyBorder="1" applyAlignment="1">
      <alignment horizontal="center" wrapText="1"/>
    </xf>
    <xf numFmtId="168" fontId="4" fillId="0" borderId="10" xfId="3" applyNumberFormat="1" applyFont="1" applyBorder="1"/>
    <xf numFmtId="168" fontId="4" fillId="0" borderId="15" xfId="3" applyNumberFormat="1" applyFont="1" applyBorder="1"/>
    <xf numFmtId="168" fontId="3" fillId="0" borderId="10" xfId="3" applyNumberFormat="1" applyFont="1" applyBorder="1"/>
    <xf numFmtId="168" fontId="4" fillId="0" borderId="31" xfId="3" applyNumberFormat="1" applyFont="1" applyBorder="1"/>
    <xf numFmtId="167" fontId="4" fillId="4" borderId="15" xfId="6" applyNumberFormat="1" applyFont="1" applyFill="1" applyBorder="1" applyAlignment="1">
      <alignment vertical="center"/>
    </xf>
    <xf numFmtId="167" fontId="4" fillId="4" borderId="10" xfId="6" applyNumberFormat="1" applyFont="1" applyFill="1" applyBorder="1" applyAlignment="1">
      <alignment vertical="center"/>
    </xf>
    <xf numFmtId="167" fontId="4" fillId="4" borderId="31" xfId="6" applyNumberFormat="1" applyFont="1" applyFill="1" applyBorder="1" applyAlignment="1"/>
    <xf numFmtId="167" fontId="4" fillId="4" borderId="28" xfId="6" applyNumberFormat="1" applyFont="1" applyFill="1" applyBorder="1" applyAlignment="1">
      <alignment vertical="center"/>
    </xf>
    <xf numFmtId="167" fontId="4" fillId="4" borderId="18" xfId="6" applyNumberFormat="1" applyFont="1" applyFill="1" applyBorder="1" applyAlignment="1">
      <alignment vertical="center"/>
    </xf>
    <xf numFmtId="10" fontId="4" fillId="4" borderId="30" xfId="6" applyNumberFormat="1" applyFont="1" applyFill="1" applyBorder="1" applyAlignment="1">
      <alignment vertical="center"/>
    </xf>
    <xf numFmtId="3" fontId="195" fillId="0" borderId="15" xfId="7" applyNumberFormat="1" applyFont="1" applyBorder="1"/>
    <xf numFmtId="167" fontId="4" fillId="0" borderId="31" xfId="6" applyNumberFormat="1" applyFont="1" applyFill="1" applyBorder="1" applyAlignment="1"/>
    <xf numFmtId="10" fontId="192" fillId="0" borderId="15" xfId="6" applyNumberFormat="1" applyFont="1" applyFill="1" applyBorder="1" applyAlignment="1"/>
    <xf numFmtId="169" fontId="4" fillId="0" borderId="10" xfId="6" applyNumberFormat="1" applyFont="1" applyFill="1" applyBorder="1" applyAlignment="1"/>
    <xf numFmtId="167" fontId="4" fillId="0" borderId="10" xfId="6" applyNumberFormat="1" applyFont="1" applyFill="1" applyBorder="1" applyAlignment="1"/>
    <xf numFmtId="168" fontId="214" fillId="0" borderId="10" xfId="3" applyNumberFormat="1" applyFont="1" applyBorder="1"/>
    <xf numFmtId="4" fontId="3" fillId="0" borderId="10" xfId="3" applyNumberFormat="1" applyFont="1" applyBorder="1"/>
    <xf numFmtId="10" fontId="195" fillId="0" borderId="28" xfId="6" applyNumberFormat="1" applyFont="1" applyFill="1" applyBorder="1" applyAlignment="1"/>
    <xf numFmtId="10" fontId="4" fillId="4" borderId="64" xfId="6" applyNumberFormat="1" applyFont="1" applyFill="1" applyBorder="1" applyAlignment="1">
      <alignment horizontal="right" vertical="center"/>
    </xf>
    <xf numFmtId="10" fontId="4" fillId="4" borderId="26" xfId="6" applyNumberFormat="1" applyFont="1" applyFill="1" applyBorder="1" applyAlignment="1">
      <alignment horizontal="right" vertical="center"/>
    </xf>
    <xf numFmtId="3" fontId="4" fillId="0" borderId="63" xfId="7" applyNumberFormat="1" applyFont="1" applyBorder="1"/>
    <xf numFmtId="3" fontId="4" fillId="0" borderId="7" xfId="7" applyNumberFormat="1" applyFont="1" applyBorder="1"/>
    <xf numFmtId="3" fontId="195" fillId="0" borderId="61" xfId="7" applyNumberFormat="1" applyFont="1" applyBorder="1"/>
    <xf numFmtId="168" fontId="195" fillId="0" borderId="15" xfId="7" applyNumberFormat="1" applyFont="1" applyBorder="1"/>
    <xf numFmtId="212" fontId="4" fillId="0" borderId="26" xfId="3" applyNumberFormat="1" applyFont="1" applyBorder="1"/>
    <xf numFmtId="3" fontId="195" fillId="0" borderId="64" xfId="7" applyNumberFormat="1" applyFont="1" applyBorder="1"/>
    <xf numFmtId="3" fontId="195" fillId="0" borderId="14" xfId="7" applyNumberFormat="1" applyFont="1" applyBorder="1"/>
    <xf numFmtId="10" fontId="4" fillId="0" borderId="29" xfId="6" applyNumberFormat="1" applyFont="1" applyFill="1" applyBorder="1" applyAlignment="1">
      <alignment vertical="center"/>
    </xf>
    <xf numFmtId="10" fontId="4" fillId="0" borderId="23" xfId="6" applyNumberFormat="1" applyFont="1" applyFill="1" applyBorder="1" applyAlignment="1">
      <alignment vertical="center"/>
    </xf>
    <xf numFmtId="3" fontId="3" fillId="0" borderId="31" xfId="3" applyNumberFormat="1" applyFont="1" applyBorder="1"/>
    <xf numFmtId="10" fontId="4" fillId="0" borderId="15" xfId="6" applyNumberFormat="1" applyFont="1" applyFill="1" applyBorder="1" applyAlignment="1"/>
    <xf numFmtId="10" fontId="4" fillId="85" borderId="1" xfId="6" applyNumberFormat="1" applyFont="1" applyFill="1" applyBorder="1" applyAlignment="1"/>
    <xf numFmtId="169" fontId="4" fillId="85" borderId="25" xfId="6" applyNumberFormat="1" applyFont="1" applyFill="1" applyBorder="1" applyAlignment="1"/>
    <xf numFmtId="3" fontId="3" fillId="85" borderId="25" xfId="3" applyNumberFormat="1" applyFont="1" applyFill="1" applyBorder="1"/>
    <xf numFmtId="214" fontId="174" fillId="0" borderId="13" xfId="2" applyNumberFormat="1" applyFont="1" applyBorder="1"/>
    <xf numFmtId="3" fontId="4" fillId="89" borderId="11" xfId="1298" applyNumberFormat="1" applyFont="1" applyFill="1" applyBorder="1"/>
    <xf numFmtId="9" fontId="239" fillId="0" borderId="11" xfId="4" applyFont="1" applyBorder="1" applyAlignment="1"/>
    <xf numFmtId="9" fontId="239" fillId="0" borderId="12" xfId="4" applyFont="1" applyBorder="1" applyAlignment="1"/>
    <xf numFmtId="168" fontId="239" fillId="0" borderId="13" xfId="2" applyNumberFormat="1" applyFont="1" applyBorder="1"/>
    <xf numFmtId="3" fontId="230" fillId="7" borderId="11" xfId="3" applyNumberFormat="1" applyFont="1" applyFill="1" applyBorder="1"/>
    <xf numFmtId="3" fontId="4" fillId="0" borderId="8" xfId="7" applyNumberFormat="1" applyFont="1" applyBorder="1"/>
    <xf numFmtId="3" fontId="4" fillId="0" borderId="19" xfId="7" applyNumberFormat="1" applyFont="1" applyBorder="1"/>
    <xf numFmtId="3" fontId="230" fillId="0" borderId="19" xfId="7" applyNumberFormat="1" applyFont="1" applyBorder="1"/>
    <xf numFmtId="230" fontId="4" fillId="0" borderId="17" xfId="3" applyNumberFormat="1" applyFont="1" applyBorder="1"/>
    <xf numFmtId="0" fontId="15" fillId="3" borderId="63" xfId="0" applyFont="1" applyFill="1" applyBorder="1" applyAlignment="1">
      <alignment horizontal="center" wrapText="1"/>
    </xf>
    <xf numFmtId="0" fontId="15" fillId="3" borderId="7" xfId="0" applyFont="1" applyFill="1" applyBorder="1" applyAlignment="1">
      <alignment horizontal="center" wrapText="1"/>
    </xf>
    <xf numFmtId="0" fontId="15" fillId="3" borderId="21" xfId="0" applyFont="1" applyFill="1" applyBorder="1" applyAlignment="1">
      <alignment horizontal="center" wrapText="1"/>
    </xf>
    <xf numFmtId="218" fontId="174" fillId="80" borderId="63" xfId="1" applyNumberFormat="1" applyFont="1" applyFill="1" applyBorder="1"/>
    <xf numFmtId="168" fontId="15" fillId="0" borderId="63" xfId="2" applyNumberFormat="1" applyFont="1" applyBorder="1"/>
    <xf numFmtId="168" fontId="174" fillId="0" borderId="26" xfId="1" applyNumberFormat="1" applyFont="1" applyFill="1" applyBorder="1"/>
    <xf numFmtId="171" fontId="174" fillId="0" borderId="26" xfId="1" applyNumberFormat="1" applyFont="1" applyFill="1" applyBorder="1"/>
    <xf numFmtId="171" fontId="174" fillId="0" borderId="26" xfId="2" applyNumberFormat="1" applyFont="1" applyBorder="1"/>
    <xf numFmtId="167" fontId="174" fillId="0" borderId="26" xfId="14" applyNumberFormat="1" applyFont="1" applyFill="1" applyBorder="1"/>
    <xf numFmtId="168" fontId="174" fillId="0" borderId="64" xfId="2" applyNumberFormat="1" applyFont="1" applyBorder="1"/>
    <xf numFmtId="168" fontId="174" fillId="0" borderId="26" xfId="2" applyNumberFormat="1" applyFont="1" applyBorder="1"/>
    <xf numFmtId="9" fontId="174" fillId="4" borderId="26" xfId="4" applyFont="1" applyFill="1" applyBorder="1" applyAlignment="1"/>
    <xf numFmtId="167" fontId="174" fillId="0" borderId="29" xfId="4" applyNumberFormat="1" applyFont="1" applyBorder="1" applyAlignment="1"/>
    <xf numFmtId="168" fontId="15" fillId="0" borderId="3" xfId="2" applyNumberFormat="1" applyFont="1" applyBorder="1"/>
    <xf numFmtId="218" fontId="174" fillId="80" borderId="64" xfId="1" applyNumberFormat="1" applyFont="1" applyFill="1" applyBorder="1"/>
    <xf numFmtId="168" fontId="174" fillId="0" borderId="26" xfId="2" quotePrefix="1" applyNumberFormat="1" applyFont="1" applyBorder="1"/>
    <xf numFmtId="168" fontId="15" fillId="0" borderId="4" xfId="2" applyNumberFormat="1" applyFont="1" applyBorder="1"/>
    <xf numFmtId="168" fontId="174" fillId="80" borderId="63" xfId="1" applyNumberFormat="1" applyFont="1" applyFill="1" applyBorder="1"/>
    <xf numFmtId="168" fontId="174" fillId="0" borderId="63" xfId="2" applyNumberFormat="1" applyFont="1" applyBorder="1"/>
    <xf numFmtId="168" fontId="174" fillId="69" borderId="63" xfId="2" applyNumberFormat="1" applyFont="1" applyFill="1" applyBorder="1"/>
    <xf numFmtId="168" fontId="174" fillId="80" borderId="64" xfId="1" applyNumberFormat="1" applyFont="1" applyFill="1" applyBorder="1"/>
    <xf numFmtId="168" fontId="15" fillId="8" borderId="63" xfId="2" applyNumberFormat="1" applyFont="1" applyFill="1" applyBorder="1"/>
    <xf numFmtId="220" fontId="174" fillId="0" borderId="64" xfId="1" applyNumberFormat="1" applyFont="1" applyFill="1" applyBorder="1"/>
    <xf numFmtId="220" fontId="174" fillId="0" borderId="26" xfId="1" applyNumberFormat="1" applyFont="1" applyFill="1" applyBorder="1"/>
    <xf numFmtId="220" fontId="174" fillId="0" borderId="29" xfId="1" applyNumberFormat="1" applyFont="1" applyFill="1" applyBorder="1"/>
    <xf numFmtId="168" fontId="15" fillId="0" borderId="32" xfId="2" applyNumberFormat="1" applyFont="1" applyBorder="1"/>
    <xf numFmtId="4" fontId="15" fillId="0" borderId="4" xfId="1" applyNumberFormat="1" applyFont="1" applyBorder="1"/>
    <xf numFmtId="4" fontId="181" fillId="0" borderId="4" xfId="1" applyNumberFormat="1" applyFont="1" applyBorder="1"/>
    <xf numFmtId="4" fontId="15" fillId="8" borderId="3" xfId="2" applyNumberFormat="1" applyFont="1" applyFill="1" applyBorder="1"/>
    <xf numFmtId="218" fontId="15" fillId="0" borderId="17" xfId="1" applyNumberFormat="1" applyFont="1" applyFill="1" applyBorder="1"/>
    <xf numFmtId="218" fontId="15" fillId="0" borderId="12" xfId="1" applyNumberFormat="1" applyFont="1" applyFill="1" applyBorder="1"/>
    <xf numFmtId="218" fontId="174" fillId="80" borderId="21" xfId="1" applyNumberFormat="1" applyFont="1" applyFill="1" applyBorder="1"/>
    <xf numFmtId="168" fontId="174" fillId="0" borderId="13" xfId="1" applyNumberFormat="1" applyFont="1" applyFill="1" applyBorder="1"/>
    <xf numFmtId="168" fontId="174" fillId="0" borderId="18" xfId="1" applyNumberFormat="1" applyFont="1" applyFill="1" applyBorder="1"/>
    <xf numFmtId="171" fontId="174" fillId="0" borderId="18" xfId="1" applyNumberFormat="1" applyFont="1" applyFill="1" applyBorder="1"/>
    <xf numFmtId="171" fontId="174" fillId="0" borderId="13" xfId="2" applyNumberFormat="1" applyFont="1" applyBorder="1"/>
    <xf numFmtId="171" fontId="174" fillId="0" borderId="18" xfId="2" applyNumberFormat="1" applyFont="1" applyBorder="1"/>
    <xf numFmtId="167" fontId="174" fillId="0" borderId="18" xfId="14" applyNumberFormat="1" applyFont="1" applyFill="1" applyBorder="1"/>
    <xf numFmtId="168" fontId="174" fillId="0" borderId="28" xfId="2" applyNumberFormat="1" applyFont="1" applyBorder="1"/>
    <xf numFmtId="168" fontId="174" fillId="0" borderId="18" xfId="2" applyNumberFormat="1" applyFont="1" applyBorder="1"/>
    <xf numFmtId="9" fontId="174" fillId="4" borderId="13" xfId="4" applyFont="1" applyFill="1" applyBorder="1" applyAlignment="1"/>
    <xf numFmtId="9" fontId="174" fillId="4" borderId="18" xfId="4" applyFont="1" applyFill="1" applyBorder="1" applyAlignment="1"/>
    <xf numFmtId="168" fontId="174" fillId="0" borderId="25" xfId="2" applyNumberFormat="1" applyFont="1" applyBorder="1"/>
    <xf numFmtId="167" fontId="174" fillId="0" borderId="24" xfId="4" applyNumberFormat="1" applyFont="1" applyBorder="1" applyAlignment="1"/>
    <xf numFmtId="167" fontId="174" fillId="0" borderId="30" xfId="4" applyNumberFormat="1" applyFont="1" applyBorder="1" applyAlignment="1"/>
    <xf numFmtId="168" fontId="15" fillId="0" borderId="22" xfId="2" applyNumberFormat="1" applyFont="1" applyBorder="1"/>
    <xf numFmtId="218" fontId="174" fillId="80" borderId="28" xfId="1" applyNumberFormat="1" applyFont="1" applyFill="1" applyBorder="1"/>
    <xf numFmtId="168" fontId="174" fillId="0" borderId="13" xfId="2" quotePrefix="1" applyNumberFormat="1" applyFont="1" applyBorder="1"/>
    <xf numFmtId="168" fontId="174" fillId="0" borderId="18" xfId="2" quotePrefix="1" applyNumberFormat="1" applyFont="1" applyBorder="1"/>
    <xf numFmtId="219" fontId="15" fillId="0" borderId="17" xfId="1" applyNumberFormat="1" applyFont="1" applyFill="1" applyBorder="1"/>
    <xf numFmtId="219" fontId="15" fillId="0" borderId="12" xfId="1" applyNumberFormat="1" applyFont="1" applyFill="1" applyBorder="1"/>
    <xf numFmtId="168" fontId="174" fillId="0" borderId="17" xfId="2" applyNumberFormat="1" applyFont="1" applyBorder="1"/>
    <xf numFmtId="168" fontId="174" fillId="80" borderId="21" xfId="1" applyNumberFormat="1" applyFont="1" applyFill="1" applyBorder="1"/>
    <xf numFmtId="168" fontId="174" fillId="69" borderId="21" xfId="2" applyNumberFormat="1" applyFont="1" applyFill="1" applyBorder="1"/>
    <xf numFmtId="168" fontId="174" fillId="80" borderId="28" xfId="1" applyNumberFormat="1" applyFont="1" applyFill="1" applyBorder="1"/>
    <xf numFmtId="168" fontId="15" fillId="0" borderId="17" xfId="2" applyNumberFormat="1" applyFont="1" applyBorder="1"/>
    <xf numFmtId="168" fontId="15" fillId="0" borderId="12" xfId="2" applyNumberFormat="1" applyFont="1" applyBorder="1"/>
    <xf numFmtId="168" fontId="15" fillId="8" borderId="21" xfId="2" applyNumberFormat="1" applyFont="1" applyFill="1" applyBorder="1"/>
    <xf numFmtId="3" fontId="174" fillId="0" borderId="17" xfId="2" applyNumberFormat="1" applyFont="1" applyBorder="1"/>
    <xf numFmtId="168" fontId="15" fillId="0" borderId="1" xfId="2" applyNumberFormat="1" applyFont="1" applyBorder="1"/>
    <xf numFmtId="4" fontId="15" fillId="0" borderId="22" xfId="1" applyNumberFormat="1" applyFont="1" applyBorder="1"/>
    <xf numFmtId="4" fontId="181" fillId="0" borderId="22" xfId="1" applyNumberFormat="1" applyFont="1" applyBorder="1"/>
    <xf numFmtId="3" fontId="15" fillId="0" borderId="17" xfId="2" applyNumberFormat="1" applyFont="1" applyBorder="1"/>
    <xf numFmtId="3" fontId="15" fillId="0" borderId="12" xfId="2" applyNumberFormat="1" applyFont="1" applyBorder="1"/>
    <xf numFmtId="0" fontId="174" fillId="80" borderId="4" xfId="2" applyFont="1" applyFill="1" applyBorder="1"/>
    <xf numFmtId="0" fontId="15" fillId="0" borderId="27" xfId="2" applyFont="1" applyBorder="1"/>
    <xf numFmtId="0" fontId="174" fillId="80" borderId="32" xfId="2" applyFont="1" applyFill="1" applyBorder="1"/>
    <xf numFmtId="0" fontId="174" fillId="0" borderId="32" xfId="2" applyFont="1" applyBorder="1" applyAlignment="1">
      <alignment vertical="center"/>
    </xf>
    <xf numFmtId="0" fontId="174" fillId="0" borderId="0" xfId="2" applyFont="1" applyAlignment="1">
      <alignment vertical="center"/>
    </xf>
    <xf numFmtId="0" fontId="15" fillId="0" borderId="4" xfId="2" applyFont="1" applyBorder="1"/>
    <xf numFmtId="0" fontId="174" fillId="0" borderId="64" xfId="2" applyFont="1" applyBorder="1" applyAlignment="1">
      <alignment horizontal="left"/>
    </xf>
    <xf numFmtId="0" fontId="174" fillId="0" borderId="26" xfId="2" applyFont="1" applyBorder="1" applyAlignment="1">
      <alignment horizontal="left"/>
    </xf>
    <xf numFmtId="0" fontId="174" fillId="0" borderId="4" xfId="2" applyFont="1" applyBorder="1"/>
    <xf numFmtId="0" fontId="15" fillId="0" borderId="4" xfId="2" applyFont="1" applyBorder="1" applyAlignment="1">
      <alignment horizontal="left"/>
    </xf>
    <xf numFmtId="0" fontId="15" fillId="0" borderId="32" xfId="2" applyFont="1" applyBorder="1" applyAlignment="1">
      <alignment vertical="center"/>
    </xf>
    <xf numFmtId="0" fontId="15" fillId="3" borderId="61" xfId="0" applyFont="1" applyFill="1" applyBorder="1" applyAlignment="1">
      <alignment horizontal="center" wrapText="1"/>
    </xf>
    <xf numFmtId="218" fontId="174" fillId="80" borderId="61" xfId="1" applyNumberFormat="1" applyFont="1" applyFill="1" applyBorder="1"/>
    <xf numFmtId="168" fontId="174" fillId="80" borderId="15" xfId="1" applyNumberFormat="1" applyFont="1" applyFill="1" applyBorder="1"/>
    <xf numFmtId="3" fontId="174" fillId="4" borderId="10" xfId="2" applyNumberFormat="1" applyFont="1" applyFill="1" applyBorder="1"/>
    <xf numFmtId="3" fontId="174" fillId="0" borderId="10" xfId="2" applyNumberFormat="1" applyFont="1" applyBorder="1"/>
    <xf numFmtId="168" fontId="174" fillId="0" borderId="61" xfId="2" applyNumberFormat="1" applyFont="1" applyBorder="1"/>
    <xf numFmtId="220" fontId="174" fillId="0" borderId="10" xfId="1" applyNumberFormat="1" applyFont="1" applyFill="1" applyBorder="1"/>
    <xf numFmtId="3" fontId="174" fillId="69" borderId="61" xfId="2" applyNumberFormat="1" applyFont="1" applyFill="1" applyBorder="1"/>
    <xf numFmtId="218" fontId="174" fillId="80" borderId="15" xfId="1" applyNumberFormat="1" applyFont="1" applyFill="1" applyBorder="1"/>
    <xf numFmtId="220" fontId="174" fillId="0" borderId="15" xfId="1" applyNumberFormat="1" applyFont="1" applyFill="1" applyBorder="1"/>
    <xf numFmtId="220" fontId="174" fillId="0" borderId="31" xfId="1" applyNumberFormat="1" applyFont="1" applyFill="1" applyBorder="1"/>
    <xf numFmtId="167" fontId="174" fillId="0" borderId="19" xfId="14" applyNumberFormat="1" applyFont="1" applyFill="1" applyBorder="1"/>
    <xf numFmtId="167" fontId="174" fillId="0" borderId="20" xfId="14" applyNumberFormat="1" applyFont="1" applyFill="1" applyBorder="1"/>
    <xf numFmtId="168" fontId="15" fillId="0" borderId="30" xfId="2" applyNumberFormat="1" applyFont="1" applyBorder="1"/>
    <xf numFmtId="168" fontId="184" fillId="0" borderId="28" xfId="2" applyNumberFormat="1" applyFont="1" applyBorder="1"/>
    <xf numFmtId="168" fontId="184" fillId="4" borderId="18" xfId="2" applyNumberFormat="1" applyFont="1" applyFill="1" applyBorder="1"/>
    <xf numFmtId="168" fontId="174" fillId="4" borderId="18" xfId="2" applyNumberFormat="1" applyFont="1" applyFill="1" applyBorder="1"/>
    <xf numFmtId="168" fontId="184" fillId="0" borderId="18" xfId="2" applyNumberFormat="1" applyFont="1" applyBorder="1"/>
    <xf numFmtId="168" fontId="174" fillId="4" borderId="18" xfId="1" applyNumberFormat="1" applyFont="1" applyFill="1" applyBorder="1"/>
    <xf numFmtId="168" fontId="178" fillId="4" borderId="13" xfId="4" applyNumberFormat="1" applyFont="1" applyFill="1" applyBorder="1" applyAlignment="1"/>
    <xf numFmtId="168" fontId="178" fillId="4" borderId="18" xfId="4" applyNumberFormat="1" applyFont="1" applyFill="1" applyBorder="1" applyAlignment="1"/>
    <xf numFmtId="168" fontId="174" fillId="4" borderId="13" xfId="4" applyNumberFormat="1" applyFont="1" applyFill="1" applyBorder="1" applyAlignment="1"/>
    <xf numFmtId="168" fontId="174" fillId="4" borderId="18" xfId="4" applyNumberFormat="1" applyFont="1" applyFill="1" applyBorder="1" applyAlignment="1"/>
    <xf numFmtId="3" fontId="184" fillId="4" borderId="18" xfId="2" applyNumberFormat="1" applyFont="1" applyFill="1" applyBorder="1"/>
    <xf numFmtId="43" fontId="174" fillId="0" borderId="28" xfId="1" applyFont="1" applyFill="1" applyBorder="1"/>
    <xf numFmtId="3" fontId="174" fillId="0" borderId="21" xfId="2" applyNumberFormat="1" applyFont="1" applyBorder="1"/>
    <xf numFmtId="3" fontId="174" fillId="69" borderId="21" xfId="2" applyNumberFormat="1" applyFont="1" applyFill="1" applyBorder="1"/>
    <xf numFmtId="3" fontId="184" fillId="0" borderId="28" xfId="2" applyNumberFormat="1" applyFont="1" applyBorder="1"/>
    <xf numFmtId="3" fontId="184" fillId="0" borderId="18" xfId="2" applyNumberFormat="1" applyFont="1" applyBorder="1"/>
    <xf numFmtId="3" fontId="184" fillId="69" borderId="18" xfId="2" applyNumberFormat="1" applyFont="1" applyFill="1" applyBorder="1"/>
    <xf numFmtId="3" fontId="186" fillId="0" borderId="17" xfId="2" applyNumberFormat="1" applyFont="1" applyBorder="1"/>
    <xf numFmtId="218" fontId="174" fillId="4" borderId="18" xfId="1" applyNumberFormat="1" applyFont="1" applyFill="1" applyBorder="1"/>
    <xf numFmtId="4" fontId="174" fillId="4" borderId="18" xfId="2" applyNumberFormat="1" applyFont="1" applyFill="1" applyBorder="1"/>
    <xf numFmtId="167" fontId="174" fillId="4" borderId="18" xfId="14" applyNumberFormat="1" applyFont="1" applyFill="1" applyBorder="1"/>
    <xf numFmtId="3" fontId="174" fillId="4" borderId="13" xfId="2" applyNumberFormat="1" applyFont="1" applyFill="1" applyBorder="1"/>
    <xf numFmtId="3" fontId="174" fillId="4" borderId="13" xfId="1" applyNumberFormat="1" applyFont="1" applyFill="1" applyBorder="1"/>
    <xf numFmtId="9" fontId="178" fillId="4" borderId="13" xfId="4" applyFont="1" applyFill="1" applyBorder="1" applyAlignment="1"/>
    <xf numFmtId="9" fontId="178" fillId="0" borderId="24" xfId="4" applyFont="1" applyBorder="1" applyAlignment="1"/>
    <xf numFmtId="43" fontId="174" fillId="0" borderId="14" xfId="1" applyFont="1" applyFill="1" applyBorder="1"/>
    <xf numFmtId="3" fontId="174" fillId="0" borderId="7" xfId="2" applyNumberFormat="1" applyFont="1" applyBorder="1"/>
    <xf numFmtId="3" fontId="174" fillId="69" borderId="7" xfId="2" applyNumberFormat="1" applyFont="1" applyFill="1" applyBorder="1"/>
    <xf numFmtId="3" fontId="174" fillId="0" borderId="14" xfId="2" applyNumberFormat="1" applyFont="1" applyBorder="1"/>
    <xf numFmtId="3" fontId="174" fillId="0" borderId="13" xfId="2" applyNumberFormat="1" applyFont="1" applyBorder="1"/>
    <xf numFmtId="3" fontId="174" fillId="69" borderId="13" xfId="2" applyNumberFormat="1" applyFont="1" applyFill="1" applyBorder="1"/>
    <xf numFmtId="4" fontId="174" fillId="4" borderId="13" xfId="2" applyNumberFormat="1" applyFont="1" applyFill="1" applyBorder="1"/>
    <xf numFmtId="3" fontId="188" fillId="69" borderId="13" xfId="2" applyNumberFormat="1" applyFont="1" applyFill="1" applyBorder="1"/>
    <xf numFmtId="168" fontId="185" fillId="0" borderId="28" xfId="2" applyNumberFormat="1" applyFont="1" applyBorder="1"/>
    <xf numFmtId="168" fontId="185" fillId="0" borderId="18" xfId="2" applyNumberFormat="1" applyFont="1" applyBorder="1"/>
    <xf numFmtId="168" fontId="174" fillId="0" borderId="10" xfId="1" applyNumberFormat="1" applyFont="1" applyFill="1" applyBorder="1"/>
    <xf numFmtId="9" fontId="239" fillId="0" borderId="10" xfId="4" applyFont="1" applyBorder="1" applyAlignment="1"/>
    <xf numFmtId="9" fontId="174" fillId="0" borderId="10" xfId="4" applyFont="1" applyBorder="1" applyAlignment="1"/>
    <xf numFmtId="9" fontId="239" fillId="0" borderId="13" xfId="4" applyFont="1" applyBorder="1" applyAlignment="1"/>
    <xf numFmtId="9" fontId="239" fillId="0" borderId="18" xfId="4" applyFont="1" applyBorder="1" applyAlignment="1"/>
    <xf numFmtId="9" fontId="174" fillId="0" borderId="13" xfId="4" applyFont="1" applyBorder="1" applyAlignment="1"/>
    <xf numFmtId="9" fontId="174" fillId="0" borderId="18" xfId="4" applyFont="1" applyBorder="1" applyAlignment="1"/>
    <xf numFmtId="168" fontId="15" fillId="89" borderId="21" xfId="2" applyNumberFormat="1" applyFont="1" applyFill="1" applyBorder="1"/>
    <xf numFmtId="218" fontId="174" fillId="0" borderId="7" xfId="1" applyNumberFormat="1" applyFont="1" applyFill="1" applyBorder="1"/>
    <xf numFmtId="218" fontId="174" fillId="0" borderId="6" xfId="1" applyNumberFormat="1" applyFont="1" applyFill="1" applyBorder="1"/>
    <xf numFmtId="168" fontId="185" fillId="0" borderId="21" xfId="2" applyNumberFormat="1" applyFont="1" applyBorder="1"/>
    <xf numFmtId="168" fontId="174" fillId="88" borderId="61" xfId="2" applyNumberFormat="1" applyFont="1" applyFill="1" applyBorder="1"/>
    <xf numFmtId="168" fontId="174" fillId="88" borderId="21" xfId="2" applyNumberFormat="1" applyFont="1" applyFill="1" applyBorder="1"/>
    <xf numFmtId="168" fontId="185" fillId="69" borderId="21" xfId="2" applyNumberFormat="1" applyFont="1" applyFill="1" applyBorder="1"/>
    <xf numFmtId="168" fontId="15" fillId="0" borderId="31" xfId="2" applyNumberFormat="1" applyFont="1" applyBorder="1"/>
    <xf numFmtId="168" fontId="184" fillId="0" borderId="8" xfId="2" applyNumberFormat="1" applyFont="1" applyBorder="1"/>
    <xf numFmtId="168" fontId="184" fillId="0" borderId="17" xfId="2" applyNumberFormat="1" applyFont="1" applyBorder="1"/>
    <xf numFmtId="168" fontId="185" fillId="0" borderId="12" xfId="2" applyNumberFormat="1" applyFont="1" applyBorder="1"/>
    <xf numFmtId="168" fontId="184" fillId="69" borderId="20" xfId="2" applyNumberFormat="1" applyFont="1" applyFill="1" applyBorder="1"/>
    <xf numFmtId="168" fontId="15" fillId="0" borderId="2" xfId="2" applyNumberFormat="1" applyFont="1" applyBorder="1"/>
    <xf numFmtId="3" fontId="230" fillId="79" borderId="11" xfId="3" applyNumberFormat="1" applyFont="1" applyFill="1" applyBorder="1"/>
    <xf numFmtId="3" fontId="230" fillId="79" borderId="12" xfId="3" applyNumberFormat="1" applyFont="1" applyFill="1" applyBorder="1"/>
    <xf numFmtId="3" fontId="230" fillId="0" borderId="12" xfId="0" applyNumberFormat="1" applyFont="1" applyBorder="1"/>
    <xf numFmtId="3" fontId="230" fillId="0" borderId="18" xfId="3" applyNumberFormat="1" applyFont="1" applyBorder="1"/>
    <xf numFmtId="3" fontId="240" fillId="0" borderId="15" xfId="0" applyNumberFormat="1" applyFont="1" applyBorder="1"/>
    <xf numFmtId="3" fontId="240" fillId="0" borderId="16" xfId="0" applyNumberFormat="1" applyFont="1" applyBorder="1"/>
    <xf numFmtId="3" fontId="240" fillId="0" borderId="28" xfId="0" applyNumberFormat="1" applyFont="1" applyBorder="1"/>
    <xf numFmtId="3" fontId="240" fillId="0" borderId="10" xfId="0" applyNumberFormat="1" applyFont="1" applyBorder="1"/>
    <xf numFmtId="3" fontId="240" fillId="0" borderId="11" xfId="0" applyNumberFormat="1" applyFont="1" applyBorder="1"/>
    <xf numFmtId="3" fontId="240" fillId="0" borderId="18" xfId="0" applyNumberFormat="1" applyFont="1" applyBorder="1"/>
    <xf numFmtId="168" fontId="230" fillId="0" borderId="32" xfId="3" applyNumberFormat="1" applyFont="1" applyBorder="1"/>
    <xf numFmtId="168" fontId="230" fillId="0" borderId="9" xfId="3" applyNumberFormat="1" applyFont="1" applyBorder="1"/>
    <xf numFmtId="168" fontId="230" fillId="0" borderId="0" xfId="3" applyNumberFormat="1" applyFont="1"/>
    <xf numFmtId="168" fontId="230" fillId="0" borderId="12" xfId="3" applyNumberFormat="1" applyFont="1" applyBorder="1"/>
    <xf numFmtId="3" fontId="230" fillId="0" borderId="23" xfId="3" applyNumberFormat="1" applyFont="1" applyBorder="1"/>
    <xf numFmtId="3" fontId="230" fillId="0" borderId="30" xfId="3" applyNumberFormat="1" applyFont="1" applyBorder="1"/>
    <xf numFmtId="168" fontId="192" fillId="69" borderId="14" xfId="1298" applyNumberFormat="1" applyFont="1" applyFill="1" applyBorder="1"/>
    <xf numFmtId="3" fontId="188" fillId="0" borderId="16" xfId="1298" applyNumberFormat="1" applyFont="1" applyBorder="1"/>
    <xf numFmtId="3" fontId="188" fillId="0" borderId="11" xfId="1298" applyNumberFormat="1" applyFont="1" applyBorder="1"/>
    <xf numFmtId="3" fontId="3" fillId="0" borderId="4" xfId="1298" applyNumberFormat="1" applyFont="1" applyBorder="1"/>
    <xf numFmtId="3" fontId="4" fillId="0" borderId="64" xfId="1298" applyNumberFormat="1" applyFont="1" applyBorder="1"/>
    <xf numFmtId="168" fontId="4" fillId="69" borderId="29" xfId="1298" applyNumberFormat="1" applyFont="1" applyFill="1" applyBorder="1"/>
    <xf numFmtId="0" fontId="190" fillId="69" borderId="0" xfId="1298" applyFont="1" applyFill="1"/>
    <xf numFmtId="3" fontId="4" fillId="0" borderId="24" xfId="1298" applyNumberFormat="1" applyFont="1" applyBorder="1"/>
    <xf numFmtId="3" fontId="232" fillId="0" borderId="16" xfId="1298" applyNumberFormat="1" applyFont="1" applyBorder="1"/>
    <xf numFmtId="3" fontId="192" fillId="0" borderId="24" xfId="1298" applyNumberFormat="1" applyFont="1" applyBorder="1"/>
    <xf numFmtId="3" fontId="192" fillId="0" borderId="29" xfId="1298" applyNumberFormat="1" applyFont="1" applyBorder="1"/>
    <xf numFmtId="3" fontId="4" fillId="0" borderId="29" xfId="1298" applyNumberFormat="1" applyFont="1" applyBorder="1"/>
    <xf numFmtId="3" fontId="190" fillId="0" borderId="27" xfId="1298" applyNumberFormat="1" applyFont="1" applyBorder="1"/>
    <xf numFmtId="3" fontId="11" fillId="0" borderId="32" xfId="9" applyNumberFormat="1" applyFont="1" applyBorder="1"/>
    <xf numFmtId="3" fontId="5" fillId="0" borderId="32" xfId="9" applyNumberFormat="1" applyBorder="1"/>
    <xf numFmtId="43" fontId="174" fillId="0" borderId="0" xfId="1" applyFont="1" applyFill="1"/>
    <xf numFmtId="168" fontId="4" fillId="0" borderId="0" xfId="6" applyNumberFormat="1" applyFont="1" applyFill="1" applyBorder="1" applyAlignment="1">
      <alignment horizontal="right" vertical="center"/>
    </xf>
    <xf numFmtId="168" fontId="230" fillId="0" borderId="16" xfId="3" applyNumberFormat="1" applyFont="1" applyBorder="1"/>
    <xf numFmtId="168" fontId="230" fillId="0" borderId="11" xfId="3" applyNumberFormat="1" applyFont="1" applyBorder="1"/>
    <xf numFmtId="168" fontId="230" fillId="0" borderId="23" xfId="1" applyNumberFormat="1" applyFont="1" applyFill="1" applyBorder="1" applyAlignment="1">
      <alignment horizontal="right" vertical="center"/>
    </xf>
    <xf numFmtId="3" fontId="4" fillId="87" borderId="14" xfId="0" applyNumberFormat="1" applyFont="1" applyFill="1" applyBorder="1"/>
    <xf numFmtId="3" fontId="4" fillId="87" borderId="16" xfId="0" applyNumberFormat="1" applyFont="1" applyFill="1" applyBorder="1"/>
    <xf numFmtId="3" fontId="4" fillId="87" borderId="13" xfId="3" applyNumberFormat="1" applyFont="1" applyFill="1" applyBorder="1"/>
    <xf numFmtId="3" fontId="4" fillId="87" borderId="11" xfId="3" applyNumberFormat="1" applyFont="1" applyFill="1" applyBorder="1"/>
    <xf numFmtId="3" fontId="4" fillId="87" borderId="13" xfId="0" applyNumberFormat="1" applyFont="1" applyFill="1" applyBorder="1"/>
    <xf numFmtId="3" fontId="4" fillId="87" borderId="11" xfId="0" applyNumberFormat="1" applyFont="1" applyFill="1" applyBorder="1"/>
    <xf numFmtId="3" fontId="3" fillId="87" borderId="13" xfId="3" applyNumberFormat="1" applyFont="1" applyFill="1" applyBorder="1"/>
    <xf numFmtId="3" fontId="3" fillId="87" borderId="11" xfId="3" applyNumberFormat="1" applyFont="1" applyFill="1" applyBorder="1"/>
    <xf numFmtId="3" fontId="3" fillId="87" borderId="12" xfId="3" applyNumberFormat="1" applyFont="1" applyFill="1" applyBorder="1"/>
    <xf numFmtId="3" fontId="10" fillId="87" borderId="8" xfId="3" applyNumberFormat="1" applyFont="1" applyFill="1" applyBorder="1"/>
    <xf numFmtId="3" fontId="10" fillId="87" borderId="32" xfId="3" applyNumberFormat="1" applyFont="1" applyFill="1" applyBorder="1"/>
    <xf numFmtId="3" fontId="10" fillId="87" borderId="9" xfId="3" applyNumberFormat="1" applyFont="1" applyFill="1" applyBorder="1"/>
    <xf numFmtId="3" fontId="10" fillId="87" borderId="17" xfId="3" applyNumberFormat="1" applyFont="1" applyFill="1" applyBorder="1"/>
    <xf numFmtId="3" fontId="10" fillId="87" borderId="0" xfId="3" applyNumberFormat="1" applyFont="1" applyFill="1"/>
    <xf numFmtId="3" fontId="10" fillId="87" borderId="12" xfId="3" applyNumberFormat="1" applyFont="1" applyFill="1" applyBorder="1"/>
    <xf numFmtId="3" fontId="3" fillId="87" borderId="19" xfId="3" applyNumberFormat="1" applyFont="1" applyFill="1" applyBorder="1"/>
    <xf numFmtId="3" fontId="3" fillId="87" borderId="27" xfId="3" applyNumberFormat="1" applyFont="1" applyFill="1" applyBorder="1"/>
    <xf numFmtId="3" fontId="3" fillId="87" borderId="20" xfId="3" applyNumberFormat="1" applyFont="1" applyFill="1" applyBorder="1"/>
    <xf numFmtId="10" fontId="4" fillId="87" borderId="8" xfId="6" applyNumberFormat="1" applyFont="1" applyFill="1" applyBorder="1" applyAlignment="1">
      <alignment horizontal="right" vertical="center"/>
    </xf>
    <xf numFmtId="10" fontId="4" fillId="87" borderId="32" xfId="6" applyNumberFormat="1" applyFont="1" applyFill="1" applyBorder="1" applyAlignment="1">
      <alignment horizontal="right" vertical="center"/>
    </xf>
    <xf numFmtId="10" fontId="4" fillId="87" borderId="17" xfId="6" applyNumberFormat="1" applyFont="1" applyFill="1" applyBorder="1" applyAlignment="1">
      <alignment horizontal="right" vertical="center"/>
    </xf>
    <xf numFmtId="10" fontId="4" fillId="87" borderId="0" xfId="6" applyNumberFormat="1" applyFont="1" applyFill="1" applyBorder="1" applyAlignment="1">
      <alignment horizontal="right" vertical="center"/>
    </xf>
    <xf numFmtId="10" fontId="4" fillId="87" borderId="19" xfId="6" applyNumberFormat="1" applyFont="1" applyFill="1" applyBorder="1" applyAlignment="1">
      <alignment horizontal="right" vertical="center"/>
    </xf>
    <xf numFmtId="10" fontId="4" fillId="87" borderId="27" xfId="6" applyNumberFormat="1" applyFont="1" applyFill="1" applyBorder="1" applyAlignment="1">
      <alignment horizontal="right" vertical="center"/>
    </xf>
    <xf numFmtId="168" fontId="4" fillId="87" borderId="19" xfId="3" applyNumberFormat="1" applyFont="1" applyFill="1" applyBorder="1"/>
    <xf numFmtId="168" fontId="4" fillId="87" borderId="27" xfId="3" applyNumberFormat="1" applyFont="1" applyFill="1" applyBorder="1"/>
    <xf numFmtId="3" fontId="230" fillId="85" borderId="9" xfId="0" applyNumberFormat="1" applyFont="1" applyFill="1" applyBorder="1"/>
    <xf numFmtId="3" fontId="230" fillId="85" borderId="12" xfId="0" applyNumberFormat="1" applyFont="1" applyFill="1" applyBorder="1"/>
    <xf numFmtId="10" fontId="4" fillId="85" borderId="32" xfId="6" applyNumberFormat="1" applyFont="1" applyFill="1" applyBorder="1" applyAlignment="1">
      <alignment horizontal="right" vertical="center"/>
    </xf>
    <xf numFmtId="10" fontId="4" fillId="85" borderId="9" xfId="6" applyNumberFormat="1" applyFont="1" applyFill="1" applyBorder="1" applyAlignment="1">
      <alignment horizontal="right" vertical="center"/>
    </xf>
    <xf numFmtId="3" fontId="240" fillId="85" borderId="32" xfId="3" applyNumberFormat="1" applyFont="1" applyFill="1" applyBorder="1"/>
    <xf numFmtId="3" fontId="240" fillId="85" borderId="9" xfId="3" applyNumberFormat="1" applyFont="1" applyFill="1" applyBorder="1"/>
    <xf numFmtId="3" fontId="240" fillId="85" borderId="0" xfId="3" applyNumberFormat="1" applyFont="1" applyFill="1"/>
    <xf numFmtId="3" fontId="240" fillId="85" borderId="12" xfId="3" applyNumberFormat="1" applyFont="1" applyFill="1" applyBorder="1"/>
    <xf numFmtId="3" fontId="3" fillId="85" borderId="27" xfId="3" applyNumberFormat="1" applyFont="1" applyFill="1" applyBorder="1"/>
    <xf numFmtId="3" fontId="3" fillId="85" borderId="20" xfId="3" applyNumberFormat="1" applyFont="1" applyFill="1" applyBorder="1"/>
    <xf numFmtId="10" fontId="230" fillId="9" borderId="0" xfId="6" applyNumberFormat="1" applyFont="1" applyFill="1" applyBorder="1" applyAlignment="1">
      <alignment horizontal="right" vertical="center"/>
    </xf>
    <xf numFmtId="10" fontId="230" fillId="9" borderId="12" xfId="6" applyNumberFormat="1" applyFont="1" applyFill="1" applyBorder="1" applyAlignment="1">
      <alignment horizontal="right" vertical="center"/>
    </xf>
    <xf numFmtId="10" fontId="4" fillId="9" borderId="27" xfId="6" applyNumberFormat="1" applyFont="1" applyFill="1" applyBorder="1" applyAlignment="1">
      <alignment horizontal="right" vertical="center"/>
    </xf>
    <xf numFmtId="10" fontId="4" fillId="9" borderId="20" xfId="6" applyNumberFormat="1" applyFont="1" applyFill="1" applyBorder="1" applyAlignment="1">
      <alignment horizontal="right" vertical="center"/>
    </xf>
    <xf numFmtId="168" fontId="230" fillId="85" borderId="27" xfId="3" applyNumberFormat="1" applyFont="1" applyFill="1" applyBorder="1"/>
    <xf numFmtId="168" fontId="230" fillId="85" borderId="20" xfId="3" applyNumberFormat="1" applyFont="1" applyFill="1" applyBorder="1"/>
    <xf numFmtId="0" fontId="4" fillId="85" borderId="0" xfId="2" applyFont="1" applyFill="1"/>
    <xf numFmtId="3" fontId="188" fillId="85" borderId="6" xfId="1298" applyNumberFormat="1" applyFont="1" applyFill="1" applyBorder="1"/>
    <xf numFmtId="220" fontId="174" fillId="85" borderId="10" xfId="1" applyNumberFormat="1" applyFont="1" applyFill="1" applyBorder="1"/>
    <xf numFmtId="220" fontId="174" fillId="85" borderId="11" xfId="1" applyNumberFormat="1" applyFont="1" applyFill="1" applyBorder="1"/>
    <xf numFmtId="220" fontId="174" fillId="85" borderId="18" xfId="1" applyNumberFormat="1" applyFont="1" applyFill="1" applyBorder="1"/>
    <xf numFmtId="2" fontId="174" fillId="90" borderId="0" xfId="2" applyNumberFormat="1" applyFont="1" applyFill="1"/>
    <xf numFmtId="4" fontId="174" fillId="0" borderId="0" xfId="2" applyNumberFormat="1" applyFont="1"/>
    <xf numFmtId="168" fontId="3" fillId="85" borderId="10" xfId="3" applyNumberFormat="1" applyFont="1" applyFill="1" applyBorder="1"/>
    <xf numFmtId="168" fontId="3" fillId="85" borderId="11" xfId="3" applyNumberFormat="1" applyFont="1" applyFill="1" applyBorder="1"/>
    <xf numFmtId="168" fontId="3" fillId="85" borderId="18" xfId="3" applyNumberFormat="1" applyFont="1" applyFill="1" applyBorder="1"/>
    <xf numFmtId="10" fontId="4" fillId="85" borderId="15" xfId="6" applyNumberFormat="1" applyFont="1" applyFill="1" applyBorder="1" applyAlignment="1"/>
    <xf numFmtId="10" fontId="4" fillId="85" borderId="16" xfId="6" applyNumberFormat="1" applyFont="1" applyFill="1" applyBorder="1" applyAlignment="1"/>
    <xf numFmtId="10" fontId="4" fillId="85" borderId="28" xfId="6" applyNumberFormat="1" applyFont="1" applyFill="1" applyBorder="1" applyAlignment="1"/>
    <xf numFmtId="222" fontId="174" fillId="90" borderId="0" xfId="1" applyNumberFormat="1" applyFont="1" applyFill="1"/>
    <xf numFmtId="232" fontId="174" fillId="0" borderId="0" xfId="2" applyNumberFormat="1" applyFont="1"/>
    <xf numFmtId="43" fontId="174" fillId="0" borderId="0" xfId="2" applyNumberFormat="1" applyFont="1"/>
    <xf numFmtId="0" fontId="174" fillId="0" borderId="0" xfId="2" applyFont="1" applyAlignment="1">
      <alignment horizontal="right" indent="1"/>
    </xf>
    <xf numFmtId="10" fontId="230" fillId="85" borderId="16" xfId="6" applyNumberFormat="1" applyFont="1" applyFill="1" applyBorder="1" applyAlignment="1"/>
    <xf numFmtId="3" fontId="3" fillId="85" borderId="6" xfId="1298" applyNumberFormat="1" applyFont="1" applyFill="1" applyBorder="1"/>
    <xf numFmtId="10" fontId="174" fillId="0" borderId="30" xfId="4" applyNumberFormat="1" applyFont="1" applyBorder="1" applyAlignment="1"/>
    <xf numFmtId="168" fontId="215" fillId="85" borderId="18" xfId="3" applyNumberFormat="1" applyFont="1" applyFill="1" applyBorder="1"/>
    <xf numFmtId="168" fontId="238" fillId="85" borderId="11" xfId="3" applyNumberFormat="1" applyFont="1" applyFill="1" applyBorder="1"/>
    <xf numFmtId="0" fontId="195" fillId="85" borderId="0" xfId="2" applyFont="1" applyFill="1"/>
    <xf numFmtId="3" fontId="230" fillId="79" borderId="11" xfId="0" applyNumberFormat="1" applyFont="1" applyFill="1" applyBorder="1"/>
    <xf numFmtId="3" fontId="230" fillId="7" borderId="11" xfId="0" applyNumberFormat="1" applyFont="1" applyFill="1" applyBorder="1"/>
    <xf numFmtId="3" fontId="230" fillId="0" borderId="9" xfId="0" applyNumberFormat="1" applyFont="1" applyBorder="1"/>
    <xf numFmtId="3" fontId="4" fillId="0" borderId="12" xfId="0" applyNumberFormat="1" applyFont="1" applyBorder="1"/>
    <xf numFmtId="3" fontId="230" fillId="0" borderId="28" xfId="3" applyNumberFormat="1" applyFont="1" applyBorder="1"/>
    <xf numFmtId="167" fontId="4" fillId="85" borderId="14" xfId="6" applyNumberFormat="1" applyFont="1" applyFill="1" applyBorder="1" applyAlignment="1">
      <alignment horizontal="right" vertical="center"/>
    </xf>
    <xf numFmtId="167" fontId="4" fillId="85" borderId="16" xfId="6" applyNumberFormat="1" applyFont="1" applyFill="1" applyBorder="1" applyAlignment="1">
      <alignment horizontal="right" vertical="center"/>
    </xf>
    <xf numFmtId="167" fontId="4" fillId="85" borderId="28" xfId="6" applyNumberFormat="1" applyFont="1" applyFill="1" applyBorder="1" applyAlignment="1">
      <alignment horizontal="right" vertical="center"/>
    </xf>
    <xf numFmtId="167" fontId="230" fillId="85" borderId="13" xfId="6" applyNumberFormat="1" applyFont="1" applyFill="1" applyBorder="1" applyAlignment="1">
      <alignment horizontal="right" vertical="center"/>
    </xf>
    <xf numFmtId="167" fontId="230" fillId="85" borderId="11" xfId="6" applyNumberFormat="1" applyFont="1" applyFill="1" applyBorder="1" applyAlignment="1">
      <alignment horizontal="right" vertical="center"/>
    </xf>
    <xf numFmtId="167" fontId="230" fillId="85" borderId="18" xfId="6" applyNumberFormat="1" applyFont="1" applyFill="1" applyBorder="1" applyAlignment="1">
      <alignment horizontal="right" vertical="center"/>
    </xf>
    <xf numFmtId="3" fontId="230" fillId="87" borderId="8" xfId="7" applyNumberFormat="1" applyFont="1" applyFill="1" applyBorder="1"/>
    <xf numFmtId="230" fontId="230" fillId="87" borderId="17" xfId="3" applyNumberFormat="1" applyFont="1" applyFill="1" applyBorder="1"/>
    <xf numFmtId="3" fontId="230" fillId="91" borderId="8" xfId="3" applyNumberFormat="1" applyFont="1" applyFill="1" applyBorder="1"/>
    <xf numFmtId="3" fontId="230" fillId="91" borderId="16" xfId="3" applyNumberFormat="1" applyFont="1" applyFill="1" applyBorder="1"/>
    <xf numFmtId="230" fontId="230" fillId="91" borderId="17" xfId="3" applyNumberFormat="1" applyFont="1" applyFill="1" applyBorder="1"/>
    <xf numFmtId="230" fontId="230" fillId="91" borderId="11" xfId="3" applyNumberFormat="1" applyFont="1" applyFill="1" applyBorder="1"/>
    <xf numFmtId="0" fontId="241" fillId="0" borderId="0" xfId="0" applyFont="1"/>
    <xf numFmtId="10" fontId="4" fillId="85" borderId="8" xfId="6" applyNumberFormat="1" applyFont="1" applyFill="1" applyBorder="1" applyAlignment="1">
      <alignment horizontal="right" vertical="center"/>
    </xf>
    <xf numFmtId="10" fontId="230" fillId="9" borderId="17" xfId="6" applyNumberFormat="1" applyFont="1" applyFill="1" applyBorder="1" applyAlignment="1">
      <alignment horizontal="right" vertical="center"/>
    </xf>
    <xf numFmtId="10" fontId="4" fillId="9" borderId="19" xfId="6" applyNumberFormat="1" applyFont="1" applyFill="1" applyBorder="1" applyAlignment="1">
      <alignment horizontal="right" vertical="center"/>
    </xf>
    <xf numFmtId="168" fontId="230" fillId="0" borderId="8" xfId="3" applyNumberFormat="1" applyFont="1" applyBorder="1"/>
    <xf numFmtId="168" fontId="230" fillId="0" borderId="17" xfId="3" applyNumberFormat="1" applyFont="1" applyBorder="1"/>
    <xf numFmtId="168" fontId="230" fillId="85" borderId="19" xfId="3" applyNumberFormat="1" applyFont="1" applyFill="1" applyBorder="1"/>
    <xf numFmtId="3" fontId="240" fillId="85" borderId="8" xfId="3" applyNumberFormat="1" applyFont="1" applyFill="1" applyBorder="1"/>
    <xf numFmtId="3" fontId="240" fillId="85" borderId="17" xfId="3" applyNumberFormat="1" applyFont="1" applyFill="1" applyBorder="1"/>
    <xf numFmtId="3" fontId="3" fillId="85" borderId="19" xfId="3" applyNumberFormat="1" applyFont="1" applyFill="1" applyBorder="1"/>
    <xf numFmtId="3" fontId="4" fillId="87" borderId="64" xfId="0" applyNumberFormat="1" applyFont="1" applyFill="1" applyBorder="1"/>
    <xf numFmtId="3" fontId="4" fillId="87" borderId="26" xfId="3" applyNumberFormat="1" applyFont="1" applyFill="1" applyBorder="1"/>
    <xf numFmtId="3" fontId="4" fillId="87" borderId="26" xfId="0" applyNumberFormat="1" applyFont="1" applyFill="1" applyBorder="1"/>
    <xf numFmtId="3" fontId="230" fillId="85" borderId="0" xfId="0" applyNumberFormat="1" applyFont="1" applyFill="1"/>
    <xf numFmtId="3" fontId="3" fillId="87" borderId="26" xfId="3" applyNumberFormat="1" applyFont="1" applyFill="1" applyBorder="1"/>
    <xf numFmtId="3" fontId="230" fillId="85" borderId="8" xfId="0" applyNumberFormat="1" applyFont="1" applyFill="1" applyBorder="1"/>
    <xf numFmtId="3" fontId="230" fillId="85" borderId="32" xfId="0" applyNumberFormat="1" applyFont="1" applyFill="1" applyBorder="1"/>
    <xf numFmtId="3" fontId="230" fillId="85" borderId="17" xfId="0" applyNumberFormat="1" applyFont="1" applyFill="1" applyBorder="1"/>
    <xf numFmtId="3" fontId="174" fillId="0" borderId="24" xfId="2" applyNumberFormat="1" applyFont="1" applyBorder="1"/>
    <xf numFmtId="3" fontId="174" fillId="0" borderId="23" xfId="2" applyNumberFormat="1" applyFont="1" applyBorder="1"/>
    <xf numFmtId="3" fontId="174" fillId="0" borderId="20" xfId="2" applyNumberFormat="1" applyFont="1" applyBorder="1"/>
    <xf numFmtId="10" fontId="4" fillId="0" borderId="7" xfId="6" applyNumberFormat="1" applyFont="1" applyFill="1" applyBorder="1" applyAlignment="1">
      <alignment horizontal="right" vertical="center"/>
    </xf>
    <xf numFmtId="10" fontId="4" fillId="0" borderId="6" xfId="6" applyNumberFormat="1" applyFont="1" applyFill="1" applyBorder="1" applyAlignment="1">
      <alignment horizontal="right" vertical="center"/>
    </xf>
    <xf numFmtId="10" fontId="4" fillId="0" borderId="21" xfId="6" applyNumberFormat="1" applyFont="1" applyFill="1" applyBorder="1" applyAlignment="1">
      <alignment horizontal="right" vertical="center"/>
    </xf>
    <xf numFmtId="3" fontId="230" fillId="0" borderId="15" xfId="3" applyNumberFormat="1" applyFont="1" applyBorder="1"/>
    <xf numFmtId="3" fontId="230" fillId="91" borderId="28" xfId="3" applyNumberFormat="1" applyFont="1" applyFill="1" applyBorder="1"/>
    <xf numFmtId="230" fontId="230" fillId="91" borderId="18" xfId="3" applyNumberFormat="1" applyFont="1" applyFill="1" applyBorder="1"/>
    <xf numFmtId="168" fontId="216" fillId="0" borderId="63" xfId="7" applyNumberFormat="1" applyFont="1" applyBorder="1"/>
    <xf numFmtId="218" fontId="174" fillId="0" borderId="21" xfId="1" applyNumberFormat="1" applyFont="1" applyFill="1" applyBorder="1"/>
    <xf numFmtId="168" fontId="15" fillId="85" borderId="21" xfId="2" applyNumberFormat="1" applyFont="1" applyFill="1" applyBorder="1"/>
    <xf numFmtId="0" fontId="15" fillId="3" borderId="14" xfId="0" applyFont="1" applyFill="1" applyBorder="1" applyAlignment="1">
      <alignment horizontal="center" wrapText="1"/>
    </xf>
    <xf numFmtId="220" fontId="174" fillId="85" borderId="13" xfId="1" applyNumberFormat="1" applyFont="1" applyFill="1" applyBorder="1"/>
    <xf numFmtId="220" fontId="174" fillId="0" borderId="9" xfId="1" applyNumberFormat="1" applyFont="1" applyFill="1" applyBorder="1"/>
    <xf numFmtId="220" fontId="174" fillId="0" borderId="12" xfId="1" applyNumberFormat="1" applyFont="1" applyFill="1" applyBorder="1"/>
    <xf numFmtId="220" fontId="174" fillId="85" borderId="12" xfId="1" applyNumberFormat="1" applyFont="1" applyFill="1" applyBorder="1"/>
    <xf numFmtId="220" fontId="174" fillId="0" borderId="20" xfId="1" applyNumberFormat="1" applyFont="1" applyFill="1" applyBorder="1"/>
    <xf numFmtId="3" fontId="228" fillId="85" borderId="6" xfId="1298" applyNumberFormat="1" applyFont="1" applyFill="1" applyBorder="1"/>
    <xf numFmtId="167" fontId="174" fillId="0" borderId="10" xfId="14" applyNumberFormat="1" applyFont="1" applyFill="1" applyBorder="1"/>
    <xf numFmtId="167" fontId="242" fillId="0" borderId="10" xfId="14" applyNumberFormat="1" applyFont="1" applyBorder="1"/>
    <xf numFmtId="3" fontId="174" fillId="0" borderId="26" xfId="2" applyNumberFormat="1" applyFont="1" applyBorder="1"/>
    <xf numFmtId="167" fontId="242" fillId="0" borderId="0" xfId="14" applyNumberFormat="1" applyFont="1" applyBorder="1"/>
    <xf numFmtId="167" fontId="242" fillId="0" borderId="11" xfId="14" applyNumberFormat="1" applyFont="1" applyBorder="1"/>
    <xf numFmtId="167" fontId="242" fillId="0" borderId="12" xfId="14" applyNumberFormat="1" applyFont="1" applyBorder="1"/>
    <xf numFmtId="3" fontId="242" fillId="0" borderId="0" xfId="2" applyNumberFormat="1" applyFont="1"/>
    <xf numFmtId="168" fontId="243" fillId="0" borderId="0" xfId="2" applyNumberFormat="1" applyFont="1"/>
    <xf numFmtId="168" fontId="244" fillId="0" borderId="23" xfId="2" applyNumberFormat="1" applyFont="1" applyBorder="1"/>
    <xf numFmtId="168" fontId="242" fillId="0" borderId="24" xfId="2" applyNumberFormat="1" applyFont="1" applyBorder="1"/>
    <xf numFmtId="168" fontId="242" fillId="0" borderId="17" xfId="2" applyNumberFormat="1" applyFont="1" applyBorder="1"/>
    <xf numFmtId="168" fontId="242" fillId="0" borderId="0" xfId="2" applyNumberFormat="1" applyFont="1"/>
    <xf numFmtId="168" fontId="242" fillId="0" borderId="12" xfId="2" applyNumberFormat="1" applyFont="1" applyBorder="1"/>
    <xf numFmtId="168" fontId="244" fillId="0" borderId="30" xfId="2" applyNumberFormat="1" applyFont="1" applyBorder="1"/>
    <xf numFmtId="168" fontId="242" fillId="0" borderId="13" xfId="2" applyNumberFormat="1" applyFont="1" applyBorder="1"/>
    <xf numFmtId="168" fontId="242" fillId="0" borderId="11" xfId="2" applyNumberFormat="1" applyFont="1" applyBorder="1"/>
    <xf numFmtId="168" fontId="242" fillId="0" borderId="18" xfId="2" applyNumberFormat="1" applyFont="1" applyBorder="1"/>
    <xf numFmtId="168" fontId="184" fillId="0" borderId="26" xfId="2" applyNumberFormat="1" applyFont="1" applyBorder="1"/>
    <xf numFmtId="168" fontId="242" fillId="0" borderId="23" xfId="2" applyNumberFormat="1" applyFont="1" applyBorder="1"/>
    <xf numFmtId="168" fontId="242" fillId="0" borderId="30" xfId="2" applyNumberFormat="1" applyFont="1" applyBorder="1"/>
    <xf numFmtId="168" fontId="242" fillId="0" borderId="10" xfId="2" applyNumberFormat="1" applyFont="1" applyBorder="1"/>
    <xf numFmtId="168" fontId="244" fillId="0" borderId="24" xfId="2" applyNumberFormat="1" applyFont="1" applyBorder="1"/>
    <xf numFmtId="0" fontId="158" fillId="6" borderId="3" xfId="1283" applyFont="1" applyFill="1" applyBorder="1" applyAlignment="1">
      <alignment horizontal="center" vertical="center"/>
    </xf>
    <xf numFmtId="0" fontId="158" fillId="6" borderId="4" xfId="1283" applyFont="1" applyFill="1" applyBorder="1" applyAlignment="1">
      <alignment horizontal="center" vertical="center"/>
    </xf>
    <xf numFmtId="0" fontId="158" fillId="6" borderId="5" xfId="1283" applyFont="1" applyFill="1" applyBorder="1" applyAlignment="1">
      <alignment horizontal="center" vertical="center"/>
    </xf>
    <xf numFmtId="0" fontId="159" fillId="76" borderId="0" xfId="11" applyFont="1" applyFill="1" applyAlignment="1">
      <alignment horizontal="center" vertical="center"/>
    </xf>
    <xf numFmtId="0" fontId="158" fillId="2" borderId="3" xfId="1283" applyFont="1" applyFill="1" applyBorder="1" applyAlignment="1">
      <alignment horizontal="center"/>
    </xf>
    <xf numFmtId="0" fontId="158" fillId="2" borderId="4" xfId="1283" applyFont="1" applyFill="1" applyBorder="1" applyAlignment="1">
      <alignment horizontal="center"/>
    </xf>
    <xf numFmtId="0" fontId="158" fillId="2" borderId="5" xfId="1283" applyFont="1" applyFill="1" applyBorder="1" applyAlignment="1">
      <alignment horizontal="center"/>
    </xf>
    <xf numFmtId="0" fontId="157" fillId="9" borderId="0" xfId="852" applyFont="1" applyFill="1" applyAlignment="1">
      <alignment horizontal="center" vertical="center"/>
    </xf>
    <xf numFmtId="0" fontId="152" fillId="70" borderId="0" xfId="852" applyFont="1" applyFill="1" applyAlignment="1">
      <alignment horizontal="center" vertical="center"/>
    </xf>
    <xf numFmtId="0" fontId="155" fillId="72" borderId="0" xfId="852" applyFont="1" applyFill="1" applyAlignment="1">
      <alignment horizontal="center" vertical="center"/>
    </xf>
    <xf numFmtId="0" fontId="156" fillId="74" borderId="0" xfId="852" applyFont="1" applyFill="1" applyAlignment="1">
      <alignment horizontal="center" vertical="center"/>
    </xf>
    <xf numFmtId="0" fontId="157" fillId="75" borderId="0" xfId="852" applyFont="1" applyFill="1" applyAlignment="1">
      <alignment horizontal="center" vertical="center"/>
    </xf>
    <xf numFmtId="0" fontId="156" fillId="7" borderId="0" xfId="852" applyFont="1" applyFill="1" applyAlignment="1">
      <alignment horizontal="center" vertical="center"/>
    </xf>
    <xf numFmtId="0" fontId="159" fillId="76" borderId="22" xfId="852" applyFont="1" applyFill="1" applyBorder="1" applyAlignment="1">
      <alignment horizontal="center"/>
    </xf>
    <xf numFmtId="0" fontId="158" fillId="6" borderId="22" xfId="1283" applyFont="1" applyFill="1" applyBorder="1" applyAlignment="1">
      <alignment horizontal="center" vertical="center"/>
    </xf>
    <xf numFmtId="0" fontId="220" fillId="0" borderId="0" xfId="2" applyFont="1" applyAlignment="1">
      <alignment horizontal="left" vertical="center" wrapText="1"/>
    </xf>
    <xf numFmtId="0" fontId="188" fillId="0" borderId="0" xfId="2" applyFont="1" applyAlignment="1">
      <alignment horizontal="left" vertical="center" wrapText="1"/>
    </xf>
    <xf numFmtId="0" fontId="6" fillId="6" borderId="3" xfId="2" applyFont="1" applyFill="1" applyBorder="1" applyAlignment="1">
      <alignment horizontal="center" vertical="center"/>
    </xf>
    <xf numFmtId="0" fontId="6" fillId="6" borderId="4" xfId="2" applyFont="1" applyFill="1" applyBorder="1" applyAlignment="1">
      <alignment horizontal="center" vertical="center"/>
    </xf>
    <xf numFmtId="0" fontId="6" fillId="6" borderId="5"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3" fillId="0" borderId="0" xfId="3" applyFont="1" applyAlignment="1">
      <alignment horizontal="center"/>
    </xf>
    <xf numFmtId="0" fontId="220" fillId="7" borderId="0" xfId="3" applyFont="1" applyFill="1" applyAlignment="1">
      <alignment horizontal="left" vertical="center" wrapText="1"/>
    </xf>
    <xf numFmtId="0" fontId="220" fillId="0" borderId="0" xfId="3" applyFont="1" applyAlignment="1">
      <alignment horizontal="left" vertical="center" wrapText="1"/>
    </xf>
    <xf numFmtId="0" fontId="15" fillId="3" borderId="3" xfId="2" applyFont="1" applyFill="1" applyBorder="1" applyAlignment="1">
      <alignment horizontal="center" vertical="center" wrapText="1"/>
    </xf>
    <xf numFmtId="0" fontId="15" fillId="3" borderId="5" xfId="2" applyFont="1" applyFill="1" applyBorder="1" applyAlignment="1">
      <alignment horizontal="center" vertical="center" wrapText="1"/>
    </xf>
    <xf numFmtId="0" fontId="15" fillId="2" borderId="3" xfId="2" applyFont="1" applyFill="1" applyBorder="1" applyAlignment="1">
      <alignment horizontal="center"/>
    </xf>
    <xf numFmtId="0" fontId="15" fillId="2" borderId="4" xfId="2" applyFont="1" applyFill="1" applyBorder="1" applyAlignment="1">
      <alignment horizontal="center"/>
    </xf>
    <xf numFmtId="0" fontId="15" fillId="2" borderId="5" xfId="2" applyFont="1" applyFill="1" applyBorder="1" applyAlignment="1">
      <alignment horizontal="center"/>
    </xf>
    <xf numFmtId="0" fontId="15" fillId="0" borderId="0" xfId="2" applyFont="1" applyAlignment="1">
      <alignment horizontal="center"/>
    </xf>
    <xf numFmtId="0" fontId="15" fillId="3" borderId="4" xfId="2" applyFont="1" applyFill="1" applyBorder="1" applyAlignment="1">
      <alignment horizontal="center" vertical="center" wrapText="1"/>
    </xf>
    <xf numFmtId="0" fontId="3" fillId="0" borderId="0" xfId="1298" applyFont="1" applyAlignment="1">
      <alignment horizontal="center"/>
    </xf>
    <xf numFmtId="0" fontId="11" fillId="0" borderId="0" xfId="9" applyFont="1" applyAlignment="1">
      <alignment horizontal="center" wrapText="1"/>
    </xf>
    <xf numFmtId="0" fontId="196" fillId="0" borderId="7" xfId="0" applyFont="1" applyBorder="1" applyAlignment="1">
      <alignment horizontal="left" vertical="center"/>
    </xf>
    <xf numFmtId="0" fontId="196" fillId="0" borderId="63" xfId="0" applyFont="1" applyBorder="1" applyAlignment="1">
      <alignment horizontal="left" vertical="center"/>
    </xf>
    <xf numFmtId="0" fontId="196" fillId="0" borderId="3" xfId="0" applyFont="1" applyBorder="1" applyAlignment="1">
      <alignment horizontal="center" vertical="center"/>
    </xf>
    <xf numFmtId="0" fontId="196" fillId="0" borderId="5" xfId="0" applyFont="1" applyBorder="1" applyAlignment="1">
      <alignment horizontal="center" vertical="center"/>
    </xf>
    <xf numFmtId="3" fontId="200" fillId="0" borderId="3" xfId="0" applyNumberFormat="1" applyFont="1" applyBorder="1" applyAlignment="1">
      <alignment horizontal="center" vertical="center"/>
    </xf>
    <xf numFmtId="0" fontId="200" fillId="0" borderId="5" xfId="0" applyFont="1" applyBorder="1" applyAlignment="1">
      <alignment horizontal="center" vertical="center"/>
    </xf>
    <xf numFmtId="1" fontId="199" fillId="0" borderId="3" xfId="0" applyNumberFormat="1" applyFont="1" applyBorder="1" applyAlignment="1">
      <alignment horizontal="center" vertical="center"/>
    </xf>
    <xf numFmtId="1" fontId="199" fillId="0" borderId="61" xfId="0" applyNumberFormat="1" applyFont="1" applyBorder="1" applyAlignment="1">
      <alignment horizontal="center" vertical="center"/>
    </xf>
    <xf numFmtId="1" fontId="199" fillId="0" borderId="4" xfId="0" applyNumberFormat="1" applyFont="1" applyBorder="1" applyAlignment="1">
      <alignment horizontal="center" vertical="center"/>
    </xf>
    <xf numFmtId="3" fontId="198" fillId="0" borderId="26" xfId="0" applyNumberFormat="1" applyFont="1" applyBorder="1" applyAlignment="1">
      <alignment horizontal="center" vertical="center"/>
    </xf>
    <xf numFmtId="3" fontId="198" fillId="0" borderId="12" xfId="0" applyNumberFormat="1" applyFont="1" applyBorder="1" applyAlignment="1">
      <alignment horizontal="center" vertical="center"/>
    </xf>
    <xf numFmtId="0" fontId="196" fillId="4" borderId="5" xfId="0" applyFont="1" applyFill="1" applyBorder="1" applyAlignment="1">
      <alignment horizontal="center" vertical="center"/>
    </xf>
    <xf numFmtId="0" fontId="196" fillId="4" borderId="22" xfId="0" applyFont="1" applyFill="1" applyBorder="1" applyAlignment="1">
      <alignment horizontal="center" vertical="center"/>
    </xf>
    <xf numFmtId="0" fontId="194" fillId="4" borderId="22" xfId="0" applyFont="1" applyFill="1" applyBorder="1" applyAlignment="1">
      <alignment horizontal="center" vertical="center"/>
    </xf>
    <xf numFmtId="3" fontId="198" fillId="0" borderId="64" xfId="0" applyNumberFormat="1" applyFont="1" applyBorder="1" applyAlignment="1">
      <alignment horizontal="center" vertical="center"/>
    </xf>
    <xf numFmtId="3" fontId="198" fillId="0" borderId="9" xfId="0" applyNumberFormat="1" applyFont="1" applyBorder="1" applyAlignment="1">
      <alignment horizontal="center" vertical="center"/>
    </xf>
    <xf numFmtId="0" fontId="196" fillId="4" borderId="14" xfId="0" applyFont="1" applyFill="1" applyBorder="1" applyAlignment="1">
      <alignment horizontal="center" vertical="center" wrapText="1"/>
    </xf>
    <xf numFmtId="0" fontId="196" fillId="4" borderId="24" xfId="0" applyFont="1" applyFill="1" applyBorder="1" applyAlignment="1">
      <alignment horizontal="center" vertical="center" wrapText="1"/>
    </xf>
    <xf numFmtId="0" fontId="196" fillId="4" borderId="64" xfId="0" applyFont="1" applyFill="1" applyBorder="1" applyAlignment="1">
      <alignment horizontal="center" vertical="center" wrapText="1"/>
    </xf>
    <xf numFmtId="0" fontId="196" fillId="4" borderId="29" xfId="0" applyFont="1" applyFill="1" applyBorder="1" applyAlignment="1">
      <alignment horizontal="center" vertical="center" wrapText="1"/>
    </xf>
    <xf numFmtId="0" fontId="196" fillId="4" borderId="16" xfId="0" applyFont="1" applyFill="1" applyBorder="1" applyAlignment="1">
      <alignment horizontal="center" vertical="center" wrapText="1"/>
    </xf>
    <xf numFmtId="0" fontId="196" fillId="4" borderId="23" xfId="0" applyFont="1" applyFill="1" applyBorder="1" applyAlignment="1">
      <alignment horizontal="center" vertical="center" wrapText="1"/>
    </xf>
    <xf numFmtId="0" fontId="196" fillId="4" borderId="28" xfId="0" applyFont="1" applyFill="1" applyBorder="1" applyAlignment="1">
      <alignment horizontal="center" vertical="center" wrapText="1"/>
    </xf>
    <xf numFmtId="0" fontId="196" fillId="4" borderId="13" xfId="0" applyFont="1" applyFill="1" applyBorder="1" applyAlignment="1">
      <alignment horizontal="center" vertical="center" wrapText="1"/>
    </xf>
    <xf numFmtId="0" fontId="196" fillId="4" borderId="26" xfId="0" applyFont="1" applyFill="1" applyBorder="1" applyAlignment="1">
      <alignment horizontal="center" vertical="center" wrapText="1"/>
    </xf>
    <xf numFmtId="0" fontId="196" fillId="4" borderId="3" xfId="0" applyFont="1" applyFill="1" applyBorder="1" applyAlignment="1">
      <alignment horizontal="center" vertical="center" wrapText="1"/>
    </xf>
    <xf numFmtId="0" fontId="196" fillId="4" borderId="5" xfId="0" applyFont="1" applyFill="1" applyBorder="1" applyAlignment="1">
      <alignment horizontal="center" vertical="center" wrapText="1"/>
    </xf>
    <xf numFmtId="0" fontId="196" fillId="4" borderId="4" xfId="0" applyFont="1" applyFill="1" applyBorder="1" applyAlignment="1">
      <alignment horizontal="center" vertical="center" wrapText="1"/>
    </xf>
    <xf numFmtId="0" fontId="196" fillId="4" borderId="22" xfId="0" applyFont="1" applyFill="1" applyBorder="1" applyAlignment="1">
      <alignment horizontal="center" vertical="center" wrapText="1"/>
    </xf>
    <xf numFmtId="0" fontId="196" fillId="4" borderId="3" xfId="0" applyFont="1" applyFill="1" applyBorder="1" applyAlignment="1">
      <alignment horizontal="center" vertical="center"/>
    </xf>
    <xf numFmtId="0" fontId="196" fillId="4" borderId="4" xfId="0" applyFont="1" applyFill="1" applyBorder="1" applyAlignment="1">
      <alignment horizontal="center" vertical="center"/>
    </xf>
  </cellXfs>
  <cellStyles count="1606">
    <cellStyle name="%_2DP_in" xfId="20" xr:uid="{00000000-0005-0000-0000-000000000000}"/>
    <cellStyle name="%_2DP_out" xfId="21" xr:uid="{00000000-0005-0000-0000-000001000000}"/>
    <cellStyle name="_example template 14" xfId="22" xr:uid="{00000000-0005-0000-0000-000002000000}"/>
    <cellStyle name="£'000" xfId="23" xr:uid="{00000000-0005-0000-0000-000003000000}"/>
    <cellStyle name="£k" xfId="24" xr:uid="{00000000-0005-0000-0000-000004000000}"/>
    <cellStyle name="0_DP_in" xfId="25" xr:uid="{00000000-0005-0000-0000-000005000000}"/>
    <cellStyle name="0_DP_out" xfId="26" xr:uid="{00000000-0005-0000-0000-000006000000}"/>
    <cellStyle name="1 antraštė" xfId="27" xr:uid="{00000000-0005-0000-0000-000007000000}"/>
    <cellStyle name="2 antraštė" xfId="28" xr:uid="{00000000-0005-0000-0000-000008000000}"/>
    <cellStyle name="2_DP_in" xfId="29" xr:uid="{00000000-0005-0000-0000-000009000000}"/>
    <cellStyle name="2_DP_out" xfId="30" xr:uid="{00000000-0005-0000-0000-00000A000000}"/>
    <cellStyle name="20 % - Aksentti1" xfId="31" xr:uid="{00000000-0005-0000-0000-00000B000000}"/>
    <cellStyle name="20 % - Aksentti1 2" xfId="32" xr:uid="{00000000-0005-0000-0000-00000C000000}"/>
    <cellStyle name="20 % - Aksentti1 2 2" xfId="856" xr:uid="{00000000-0005-0000-0000-00000D000000}"/>
    <cellStyle name="20 % - Aksentti1 3" xfId="855" xr:uid="{00000000-0005-0000-0000-00000E000000}"/>
    <cellStyle name="20 % - Aksentti2" xfId="33" xr:uid="{00000000-0005-0000-0000-00000F000000}"/>
    <cellStyle name="20 % - Aksentti2 2" xfId="34" xr:uid="{00000000-0005-0000-0000-000010000000}"/>
    <cellStyle name="20 % - Aksentti2 2 2" xfId="858" xr:uid="{00000000-0005-0000-0000-000011000000}"/>
    <cellStyle name="20 % - Aksentti2 3" xfId="857" xr:uid="{00000000-0005-0000-0000-000012000000}"/>
    <cellStyle name="20 % - Aksentti3" xfId="35" xr:uid="{00000000-0005-0000-0000-000013000000}"/>
    <cellStyle name="20 % - Aksentti3 2" xfId="36" xr:uid="{00000000-0005-0000-0000-000014000000}"/>
    <cellStyle name="20 % - Aksentti3 2 2" xfId="860" xr:uid="{00000000-0005-0000-0000-000015000000}"/>
    <cellStyle name="20 % - Aksentti3 3" xfId="859" xr:uid="{00000000-0005-0000-0000-000016000000}"/>
    <cellStyle name="20 % - Aksentti4" xfId="37" xr:uid="{00000000-0005-0000-0000-000017000000}"/>
    <cellStyle name="20 % - Aksentti4 2" xfId="38" xr:uid="{00000000-0005-0000-0000-000018000000}"/>
    <cellStyle name="20 % - Aksentti4 2 2" xfId="862" xr:uid="{00000000-0005-0000-0000-000019000000}"/>
    <cellStyle name="20 % - Aksentti4 3" xfId="861" xr:uid="{00000000-0005-0000-0000-00001A000000}"/>
    <cellStyle name="20 % - Aksentti5" xfId="39" xr:uid="{00000000-0005-0000-0000-00001B000000}"/>
    <cellStyle name="20 % - Aksentti5 2" xfId="40" xr:uid="{00000000-0005-0000-0000-00001C000000}"/>
    <cellStyle name="20 % - Aksentti5 2 2" xfId="864" xr:uid="{00000000-0005-0000-0000-00001D000000}"/>
    <cellStyle name="20 % - Aksentti5 3" xfId="863" xr:uid="{00000000-0005-0000-0000-00001E000000}"/>
    <cellStyle name="20 % - Aksentti6" xfId="41" xr:uid="{00000000-0005-0000-0000-00001F000000}"/>
    <cellStyle name="20 % - Aksentti6 2" xfId="42" xr:uid="{00000000-0005-0000-0000-000020000000}"/>
    <cellStyle name="20 % - Aksentti6 2 2" xfId="866" xr:uid="{00000000-0005-0000-0000-000021000000}"/>
    <cellStyle name="20 % - Aksentti6 3" xfId="865" xr:uid="{00000000-0005-0000-0000-000022000000}"/>
    <cellStyle name="20 % - Akzent1" xfId="43" xr:uid="{00000000-0005-0000-0000-000023000000}"/>
    <cellStyle name="20 % - Akzent2" xfId="44" xr:uid="{00000000-0005-0000-0000-000024000000}"/>
    <cellStyle name="20 % - Akzent3" xfId="45" xr:uid="{00000000-0005-0000-0000-000025000000}"/>
    <cellStyle name="20 % - Akzent4" xfId="46" xr:uid="{00000000-0005-0000-0000-000026000000}"/>
    <cellStyle name="20 % - Akzent5" xfId="47" xr:uid="{00000000-0005-0000-0000-000027000000}"/>
    <cellStyle name="20 % - Akzent6" xfId="48" xr:uid="{00000000-0005-0000-0000-000028000000}"/>
    <cellStyle name="20 % - Markeringsfarve1" xfId="49" xr:uid="{00000000-0005-0000-0000-000029000000}"/>
    <cellStyle name="20 % - Markeringsfarve1 2" xfId="867" xr:uid="{00000000-0005-0000-0000-00002A000000}"/>
    <cellStyle name="20 % - Markeringsfarve2" xfId="50" xr:uid="{00000000-0005-0000-0000-00002B000000}"/>
    <cellStyle name="20 % - Markeringsfarve2 2" xfId="868" xr:uid="{00000000-0005-0000-0000-00002C000000}"/>
    <cellStyle name="20 % - Markeringsfarve3" xfId="51" xr:uid="{00000000-0005-0000-0000-00002D000000}"/>
    <cellStyle name="20 % - Markeringsfarve3 2" xfId="869" xr:uid="{00000000-0005-0000-0000-00002E000000}"/>
    <cellStyle name="20 % - Markeringsfarve4" xfId="52" xr:uid="{00000000-0005-0000-0000-00002F000000}"/>
    <cellStyle name="20 % - Markeringsfarve4 2" xfId="870" xr:uid="{00000000-0005-0000-0000-000030000000}"/>
    <cellStyle name="20 % - Markeringsfarve5" xfId="53" xr:uid="{00000000-0005-0000-0000-000031000000}"/>
    <cellStyle name="20 % - Markeringsfarve5 2" xfId="871" xr:uid="{00000000-0005-0000-0000-000032000000}"/>
    <cellStyle name="20 % - Markeringsfarve6" xfId="54" xr:uid="{00000000-0005-0000-0000-000033000000}"/>
    <cellStyle name="20 % - Markeringsfarve6 2" xfId="872" xr:uid="{00000000-0005-0000-0000-000034000000}"/>
    <cellStyle name="20 % - Accent1" xfId="55" xr:uid="{00000000-0005-0000-0000-000035000000}"/>
    <cellStyle name="20 % - Accent1 2" xfId="56" xr:uid="{00000000-0005-0000-0000-000036000000}"/>
    <cellStyle name="20 % - Accent1 2 2" xfId="874" xr:uid="{00000000-0005-0000-0000-000037000000}"/>
    <cellStyle name="20 % - Accent1 3" xfId="873" xr:uid="{00000000-0005-0000-0000-000038000000}"/>
    <cellStyle name="20 % - Accent2" xfId="57" xr:uid="{00000000-0005-0000-0000-000039000000}"/>
    <cellStyle name="20 % - Accent2 2" xfId="58" xr:uid="{00000000-0005-0000-0000-00003A000000}"/>
    <cellStyle name="20 % - Accent2 2 2" xfId="876" xr:uid="{00000000-0005-0000-0000-00003B000000}"/>
    <cellStyle name="20 % - Accent2 3" xfId="875" xr:uid="{00000000-0005-0000-0000-00003C000000}"/>
    <cellStyle name="20 % - Accent3" xfId="59" xr:uid="{00000000-0005-0000-0000-00003D000000}"/>
    <cellStyle name="20 % - Accent3 2" xfId="60" xr:uid="{00000000-0005-0000-0000-00003E000000}"/>
    <cellStyle name="20 % - Accent3 2 2" xfId="878" xr:uid="{00000000-0005-0000-0000-00003F000000}"/>
    <cellStyle name="20 % - Accent3 3" xfId="877" xr:uid="{00000000-0005-0000-0000-000040000000}"/>
    <cellStyle name="20 % - Accent4" xfId="61" xr:uid="{00000000-0005-0000-0000-000041000000}"/>
    <cellStyle name="20 % - Accent4 2" xfId="62" xr:uid="{00000000-0005-0000-0000-000042000000}"/>
    <cellStyle name="20 % - Accent4 2 2" xfId="880" xr:uid="{00000000-0005-0000-0000-000043000000}"/>
    <cellStyle name="20 % - Accent4 3" xfId="879" xr:uid="{00000000-0005-0000-0000-000044000000}"/>
    <cellStyle name="20 % - Accent5" xfId="63" xr:uid="{00000000-0005-0000-0000-000045000000}"/>
    <cellStyle name="20 % - Accent5 2" xfId="64" xr:uid="{00000000-0005-0000-0000-000046000000}"/>
    <cellStyle name="20 % - Accent5 2 2" xfId="882" xr:uid="{00000000-0005-0000-0000-000047000000}"/>
    <cellStyle name="20 % - Accent5 3" xfId="881" xr:uid="{00000000-0005-0000-0000-000048000000}"/>
    <cellStyle name="20 % - Accent6" xfId="65" xr:uid="{00000000-0005-0000-0000-000049000000}"/>
    <cellStyle name="20 % - Accent6 2" xfId="66" xr:uid="{00000000-0005-0000-0000-00004A000000}"/>
    <cellStyle name="20 % - Accent6 2 2" xfId="884" xr:uid="{00000000-0005-0000-0000-00004B000000}"/>
    <cellStyle name="20 % - Accent6 3" xfId="883" xr:uid="{00000000-0005-0000-0000-00004C000000}"/>
    <cellStyle name="20% - 1. jelölőszín 2" xfId="1095" xr:uid="{00000000-0005-0000-0000-00004D000000}"/>
    <cellStyle name="20% - 2. jelölőszín 2" xfId="1096" xr:uid="{00000000-0005-0000-0000-00004E000000}"/>
    <cellStyle name="20% - 3. jelölőszín 2" xfId="1097" xr:uid="{00000000-0005-0000-0000-00004F000000}"/>
    <cellStyle name="20% - 4. jelölőszín 2" xfId="1098" xr:uid="{00000000-0005-0000-0000-000050000000}"/>
    <cellStyle name="20% - 5. jelölőszín 2" xfId="1099" xr:uid="{00000000-0005-0000-0000-000051000000}"/>
    <cellStyle name="20% - 6. jelölőszín 2" xfId="1100" xr:uid="{00000000-0005-0000-0000-000052000000}"/>
    <cellStyle name="20% - Accent1 2" xfId="67" xr:uid="{00000000-0005-0000-0000-000053000000}"/>
    <cellStyle name="20% - Accent1 2 2" xfId="885" xr:uid="{00000000-0005-0000-0000-000054000000}"/>
    <cellStyle name="20% - Accent2 2" xfId="68" xr:uid="{00000000-0005-0000-0000-000055000000}"/>
    <cellStyle name="20% - Accent2 2 2" xfId="886" xr:uid="{00000000-0005-0000-0000-000056000000}"/>
    <cellStyle name="20% - Accent3 2" xfId="69" xr:uid="{00000000-0005-0000-0000-000057000000}"/>
    <cellStyle name="20% - Accent3 2 2" xfId="887" xr:uid="{00000000-0005-0000-0000-000058000000}"/>
    <cellStyle name="20% - Accent4 2" xfId="70" xr:uid="{00000000-0005-0000-0000-000059000000}"/>
    <cellStyle name="20% - Accent4 2 2" xfId="888" xr:uid="{00000000-0005-0000-0000-00005A000000}"/>
    <cellStyle name="20% - Accent5 2" xfId="71" xr:uid="{00000000-0005-0000-0000-00005B000000}"/>
    <cellStyle name="20% - Accent5 2 2" xfId="889" xr:uid="{00000000-0005-0000-0000-00005C000000}"/>
    <cellStyle name="20% - Accent6 2" xfId="72" xr:uid="{00000000-0005-0000-0000-00005D000000}"/>
    <cellStyle name="20% - Accent6 2 2" xfId="890" xr:uid="{00000000-0005-0000-0000-00005E000000}"/>
    <cellStyle name="20% - Akzent1" xfId="73" xr:uid="{00000000-0005-0000-0000-00005F000000}"/>
    <cellStyle name="20% - Akzent2" xfId="74" xr:uid="{00000000-0005-0000-0000-000060000000}"/>
    <cellStyle name="20% - Akzent3" xfId="75" xr:uid="{00000000-0005-0000-0000-000061000000}"/>
    <cellStyle name="20% - Akzent4" xfId="76" xr:uid="{00000000-0005-0000-0000-000062000000}"/>
    <cellStyle name="20% - Akzent5" xfId="77" xr:uid="{00000000-0005-0000-0000-000063000000}"/>
    <cellStyle name="20% - Akzent6" xfId="78" xr:uid="{00000000-0005-0000-0000-000064000000}"/>
    <cellStyle name="20% - Dekorfärg1" xfId="79" xr:uid="{00000000-0005-0000-0000-000065000000}"/>
    <cellStyle name="20% - Dekorfärg1 2" xfId="891" xr:uid="{00000000-0005-0000-0000-000066000000}"/>
    <cellStyle name="20% - Dekorfärg2" xfId="80" xr:uid="{00000000-0005-0000-0000-000067000000}"/>
    <cellStyle name="20% - Dekorfärg2 2" xfId="892" xr:uid="{00000000-0005-0000-0000-000068000000}"/>
    <cellStyle name="20% - Dekorfärg3" xfId="81" xr:uid="{00000000-0005-0000-0000-000069000000}"/>
    <cellStyle name="20% - Dekorfärg3 2" xfId="893" xr:uid="{00000000-0005-0000-0000-00006A000000}"/>
    <cellStyle name="20% - Dekorfärg4" xfId="82" xr:uid="{00000000-0005-0000-0000-00006B000000}"/>
    <cellStyle name="20% - Dekorfärg4 2" xfId="894" xr:uid="{00000000-0005-0000-0000-00006C000000}"/>
    <cellStyle name="20% - Dekorfärg5" xfId="83" xr:uid="{00000000-0005-0000-0000-00006D000000}"/>
    <cellStyle name="20% - Dekorfärg5 2" xfId="895" xr:uid="{00000000-0005-0000-0000-00006E000000}"/>
    <cellStyle name="20% - Dekorfärg6" xfId="84" xr:uid="{00000000-0005-0000-0000-00006F000000}"/>
    <cellStyle name="20% - Dekorfärg6 2" xfId="896" xr:uid="{00000000-0005-0000-0000-000070000000}"/>
    <cellStyle name="20% - Énfasis1" xfId="85" xr:uid="{00000000-0005-0000-0000-000071000000}"/>
    <cellStyle name="20% - Énfasis1 2" xfId="897" xr:uid="{00000000-0005-0000-0000-000072000000}"/>
    <cellStyle name="20% - Énfasis2" xfId="86" xr:uid="{00000000-0005-0000-0000-000073000000}"/>
    <cellStyle name="20% - Énfasis2 2" xfId="898" xr:uid="{00000000-0005-0000-0000-000074000000}"/>
    <cellStyle name="20% - Énfasis3" xfId="87" xr:uid="{00000000-0005-0000-0000-000075000000}"/>
    <cellStyle name="20% - Énfasis3 2" xfId="899" xr:uid="{00000000-0005-0000-0000-000076000000}"/>
    <cellStyle name="20% - Énfasis4" xfId="88" xr:uid="{00000000-0005-0000-0000-000077000000}"/>
    <cellStyle name="20% - Énfasis4 2" xfId="900" xr:uid="{00000000-0005-0000-0000-000078000000}"/>
    <cellStyle name="20% - Énfasis5" xfId="89" xr:uid="{00000000-0005-0000-0000-000079000000}"/>
    <cellStyle name="20% - Énfasis5 2" xfId="901" xr:uid="{00000000-0005-0000-0000-00007A000000}"/>
    <cellStyle name="20% - Énfasis6" xfId="90" xr:uid="{00000000-0005-0000-0000-00007B000000}"/>
    <cellStyle name="20% - Énfasis6 2" xfId="902" xr:uid="{00000000-0005-0000-0000-00007C000000}"/>
    <cellStyle name="20% – paryškinimas 1" xfId="91" xr:uid="{00000000-0005-0000-0000-00007D000000}"/>
    <cellStyle name="20% – paryškinimas 1 2" xfId="903" xr:uid="{00000000-0005-0000-0000-00007E000000}"/>
    <cellStyle name="20% – paryškinimas 2" xfId="92" xr:uid="{00000000-0005-0000-0000-00007F000000}"/>
    <cellStyle name="20% – paryškinimas 2 2" xfId="904" xr:uid="{00000000-0005-0000-0000-000080000000}"/>
    <cellStyle name="20% – paryškinimas 3" xfId="93" xr:uid="{00000000-0005-0000-0000-000081000000}"/>
    <cellStyle name="20% – paryškinimas 3 2" xfId="905" xr:uid="{00000000-0005-0000-0000-000082000000}"/>
    <cellStyle name="20% – paryškinimas 4" xfId="94" xr:uid="{00000000-0005-0000-0000-000083000000}"/>
    <cellStyle name="20% – paryškinimas 4 2" xfId="906" xr:uid="{00000000-0005-0000-0000-000084000000}"/>
    <cellStyle name="20% – paryškinimas 5" xfId="95" xr:uid="{00000000-0005-0000-0000-000085000000}"/>
    <cellStyle name="20% – paryškinimas 5 2" xfId="907" xr:uid="{00000000-0005-0000-0000-000086000000}"/>
    <cellStyle name="20% – paryškinimas 6" xfId="96" xr:uid="{00000000-0005-0000-0000-000087000000}"/>
    <cellStyle name="20% – paryškinimas 6 2" xfId="908" xr:uid="{00000000-0005-0000-0000-000088000000}"/>
    <cellStyle name="20% – rõhk1" xfId="97" xr:uid="{00000000-0005-0000-0000-000089000000}"/>
    <cellStyle name="20% – rõhk1 2" xfId="909" xr:uid="{00000000-0005-0000-0000-00008A000000}"/>
    <cellStyle name="20% – rõhk1 3" xfId="1101" xr:uid="{00000000-0005-0000-0000-00008B000000}"/>
    <cellStyle name="20% – rõhk2" xfId="98" xr:uid="{00000000-0005-0000-0000-00008C000000}"/>
    <cellStyle name="20% – rõhk2 2" xfId="910" xr:uid="{00000000-0005-0000-0000-00008D000000}"/>
    <cellStyle name="20% – rõhk2 3" xfId="1102" xr:uid="{00000000-0005-0000-0000-00008E000000}"/>
    <cellStyle name="20% – rõhk3" xfId="99" xr:uid="{00000000-0005-0000-0000-00008F000000}"/>
    <cellStyle name="20% – rõhk3 2" xfId="911" xr:uid="{00000000-0005-0000-0000-000090000000}"/>
    <cellStyle name="20% – rõhk3 3" xfId="1103" xr:uid="{00000000-0005-0000-0000-000091000000}"/>
    <cellStyle name="20% – rõhk4" xfId="100" xr:uid="{00000000-0005-0000-0000-000092000000}"/>
    <cellStyle name="20% – rõhk4 2" xfId="912" xr:uid="{00000000-0005-0000-0000-000093000000}"/>
    <cellStyle name="20% – rõhk4 3" xfId="1104" xr:uid="{00000000-0005-0000-0000-000094000000}"/>
    <cellStyle name="20% – rõhk5" xfId="101" xr:uid="{00000000-0005-0000-0000-000095000000}"/>
    <cellStyle name="20% – rõhk5 2" xfId="913" xr:uid="{00000000-0005-0000-0000-000096000000}"/>
    <cellStyle name="20% – rõhk5 3" xfId="1105" xr:uid="{00000000-0005-0000-0000-000097000000}"/>
    <cellStyle name="20% – rõhk6" xfId="102" xr:uid="{00000000-0005-0000-0000-000098000000}"/>
    <cellStyle name="20% – rõhk6 2" xfId="914" xr:uid="{00000000-0005-0000-0000-000099000000}"/>
    <cellStyle name="20% – rõhk6 3" xfId="1106" xr:uid="{00000000-0005-0000-0000-00009A000000}"/>
    <cellStyle name="3 antraštė" xfId="103" xr:uid="{00000000-0005-0000-0000-00009B000000}"/>
    <cellStyle name="4 antraštė" xfId="104" xr:uid="{00000000-0005-0000-0000-00009C000000}"/>
    <cellStyle name="40 % - Aksentti1" xfId="105" xr:uid="{00000000-0005-0000-0000-00009D000000}"/>
    <cellStyle name="40 % - Aksentti1 2" xfId="106" xr:uid="{00000000-0005-0000-0000-00009E000000}"/>
    <cellStyle name="40 % - Aksentti1 2 2" xfId="916" xr:uid="{00000000-0005-0000-0000-00009F000000}"/>
    <cellStyle name="40 % - Aksentti1 3" xfId="915" xr:uid="{00000000-0005-0000-0000-0000A0000000}"/>
    <cellStyle name="40 % - Aksentti2" xfId="107" xr:uid="{00000000-0005-0000-0000-0000A1000000}"/>
    <cellStyle name="40 % - Aksentti2 2" xfId="108" xr:uid="{00000000-0005-0000-0000-0000A2000000}"/>
    <cellStyle name="40 % - Aksentti2 2 2" xfId="918" xr:uid="{00000000-0005-0000-0000-0000A3000000}"/>
    <cellStyle name="40 % - Aksentti2 3" xfId="917" xr:uid="{00000000-0005-0000-0000-0000A4000000}"/>
    <cellStyle name="40 % - Aksentti3" xfId="109" xr:uid="{00000000-0005-0000-0000-0000A5000000}"/>
    <cellStyle name="40 % - Aksentti3 2" xfId="110" xr:uid="{00000000-0005-0000-0000-0000A6000000}"/>
    <cellStyle name="40 % - Aksentti3 2 2" xfId="920" xr:uid="{00000000-0005-0000-0000-0000A7000000}"/>
    <cellStyle name="40 % - Aksentti3 3" xfId="919" xr:uid="{00000000-0005-0000-0000-0000A8000000}"/>
    <cellStyle name="40 % - Aksentti4" xfId="111" xr:uid="{00000000-0005-0000-0000-0000A9000000}"/>
    <cellStyle name="40 % - Aksentti4 2" xfId="112" xr:uid="{00000000-0005-0000-0000-0000AA000000}"/>
    <cellStyle name="40 % - Aksentti4 2 2" xfId="922" xr:uid="{00000000-0005-0000-0000-0000AB000000}"/>
    <cellStyle name="40 % - Aksentti4 3" xfId="921" xr:uid="{00000000-0005-0000-0000-0000AC000000}"/>
    <cellStyle name="40 % - Aksentti5" xfId="113" xr:uid="{00000000-0005-0000-0000-0000AD000000}"/>
    <cellStyle name="40 % - Aksentti5 2" xfId="114" xr:uid="{00000000-0005-0000-0000-0000AE000000}"/>
    <cellStyle name="40 % - Aksentti5 2 2" xfId="924" xr:uid="{00000000-0005-0000-0000-0000AF000000}"/>
    <cellStyle name="40 % - Aksentti5 3" xfId="923" xr:uid="{00000000-0005-0000-0000-0000B0000000}"/>
    <cellStyle name="40 % - Aksentti6" xfId="115" xr:uid="{00000000-0005-0000-0000-0000B1000000}"/>
    <cellStyle name="40 % - Aksentti6 2" xfId="116" xr:uid="{00000000-0005-0000-0000-0000B2000000}"/>
    <cellStyle name="40 % - Aksentti6 2 2" xfId="926" xr:uid="{00000000-0005-0000-0000-0000B3000000}"/>
    <cellStyle name="40 % - Aksentti6 3" xfId="925" xr:uid="{00000000-0005-0000-0000-0000B4000000}"/>
    <cellStyle name="40 % - Akzent1" xfId="117" xr:uid="{00000000-0005-0000-0000-0000B5000000}"/>
    <cellStyle name="40 % - Akzent2" xfId="118" xr:uid="{00000000-0005-0000-0000-0000B6000000}"/>
    <cellStyle name="40 % - Akzent3" xfId="119" xr:uid="{00000000-0005-0000-0000-0000B7000000}"/>
    <cellStyle name="40 % - Akzent4" xfId="120" xr:uid="{00000000-0005-0000-0000-0000B8000000}"/>
    <cellStyle name="40 % - Akzent5" xfId="121" xr:uid="{00000000-0005-0000-0000-0000B9000000}"/>
    <cellStyle name="40 % - Akzent6" xfId="122" xr:uid="{00000000-0005-0000-0000-0000BA000000}"/>
    <cellStyle name="40 % - Markeringsfarve1" xfId="123" xr:uid="{00000000-0005-0000-0000-0000BB000000}"/>
    <cellStyle name="40 % - Markeringsfarve1 2" xfId="927" xr:uid="{00000000-0005-0000-0000-0000BC000000}"/>
    <cellStyle name="40 % - Markeringsfarve2" xfId="124" xr:uid="{00000000-0005-0000-0000-0000BD000000}"/>
    <cellStyle name="40 % - Markeringsfarve2 2" xfId="928" xr:uid="{00000000-0005-0000-0000-0000BE000000}"/>
    <cellStyle name="40 % - Markeringsfarve3" xfId="125" xr:uid="{00000000-0005-0000-0000-0000BF000000}"/>
    <cellStyle name="40 % - Markeringsfarve3 2" xfId="929" xr:uid="{00000000-0005-0000-0000-0000C0000000}"/>
    <cellStyle name="40 % - Markeringsfarve4" xfId="126" xr:uid="{00000000-0005-0000-0000-0000C1000000}"/>
    <cellStyle name="40 % - Markeringsfarve4 2" xfId="930" xr:uid="{00000000-0005-0000-0000-0000C2000000}"/>
    <cellStyle name="40 % - Markeringsfarve5" xfId="127" xr:uid="{00000000-0005-0000-0000-0000C3000000}"/>
    <cellStyle name="40 % - Markeringsfarve5 2" xfId="931" xr:uid="{00000000-0005-0000-0000-0000C4000000}"/>
    <cellStyle name="40 % - Markeringsfarve6" xfId="128" xr:uid="{00000000-0005-0000-0000-0000C5000000}"/>
    <cellStyle name="40 % - Markeringsfarve6 2" xfId="932" xr:uid="{00000000-0005-0000-0000-0000C6000000}"/>
    <cellStyle name="40 % - Accent1" xfId="129" xr:uid="{00000000-0005-0000-0000-0000C7000000}"/>
    <cellStyle name="40 % - Accent1 2" xfId="130" xr:uid="{00000000-0005-0000-0000-0000C8000000}"/>
    <cellStyle name="40 % - Accent1 2 2" xfId="934" xr:uid="{00000000-0005-0000-0000-0000C9000000}"/>
    <cellStyle name="40 % - Accent1 3" xfId="933" xr:uid="{00000000-0005-0000-0000-0000CA000000}"/>
    <cellStyle name="40 % - Accent2" xfId="131" xr:uid="{00000000-0005-0000-0000-0000CB000000}"/>
    <cellStyle name="40 % - Accent2 2" xfId="132" xr:uid="{00000000-0005-0000-0000-0000CC000000}"/>
    <cellStyle name="40 % - Accent2 2 2" xfId="936" xr:uid="{00000000-0005-0000-0000-0000CD000000}"/>
    <cellStyle name="40 % - Accent2 3" xfId="935" xr:uid="{00000000-0005-0000-0000-0000CE000000}"/>
    <cellStyle name="40 % - Accent3" xfId="133" xr:uid="{00000000-0005-0000-0000-0000CF000000}"/>
    <cellStyle name="40 % - Accent3 2" xfId="134" xr:uid="{00000000-0005-0000-0000-0000D0000000}"/>
    <cellStyle name="40 % - Accent3 2 2" xfId="938" xr:uid="{00000000-0005-0000-0000-0000D1000000}"/>
    <cellStyle name="40 % - Accent3 3" xfId="937" xr:uid="{00000000-0005-0000-0000-0000D2000000}"/>
    <cellStyle name="40 % - Accent4" xfId="135" xr:uid="{00000000-0005-0000-0000-0000D3000000}"/>
    <cellStyle name="40 % - Accent4 2" xfId="136" xr:uid="{00000000-0005-0000-0000-0000D4000000}"/>
    <cellStyle name="40 % - Accent4 2 2" xfId="940" xr:uid="{00000000-0005-0000-0000-0000D5000000}"/>
    <cellStyle name="40 % - Accent4 3" xfId="939" xr:uid="{00000000-0005-0000-0000-0000D6000000}"/>
    <cellStyle name="40 % - Accent5" xfId="137" xr:uid="{00000000-0005-0000-0000-0000D7000000}"/>
    <cellStyle name="40 % - Accent5 2" xfId="138" xr:uid="{00000000-0005-0000-0000-0000D8000000}"/>
    <cellStyle name="40 % - Accent5 2 2" xfId="942" xr:uid="{00000000-0005-0000-0000-0000D9000000}"/>
    <cellStyle name="40 % - Accent5 3" xfId="941" xr:uid="{00000000-0005-0000-0000-0000DA000000}"/>
    <cellStyle name="40 % - Accent6" xfId="139" xr:uid="{00000000-0005-0000-0000-0000DB000000}"/>
    <cellStyle name="40 % - Accent6 2" xfId="140" xr:uid="{00000000-0005-0000-0000-0000DC000000}"/>
    <cellStyle name="40 % - Accent6 2 2" xfId="944" xr:uid="{00000000-0005-0000-0000-0000DD000000}"/>
    <cellStyle name="40 % - Accent6 3" xfId="943" xr:uid="{00000000-0005-0000-0000-0000DE000000}"/>
    <cellStyle name="40% - 1. jelölőszín 2" xfId="1107" xr:uid="{00000000-0005-0000-0000-0000DF000000}"/>
    <cellStyle name="40% - 2. jelölőszín 2" xfId="1108" xr:uid="{00000000-0005-0000-0000-0000E0000000}"/>
    <cellStyle name="40% - 3. jelölőszín 2" xfId="1109" xr:uid="{00000000-0005-0000-0000-0000E1000000}"/>
    <cellStyle name="40% - 4. jelölőszín 2" xfId="1110" xr:uid="{00000000-0005-0000-0000-0000E2000000}"/>
    <cellStyle name="40% - 5. jelölőszín 2" xfId="1111" xr:uid="{00000000-0005-0000-0000-0000E3000000}"/>
    <cellStyle name="40% - 6. jelölőszín 2" xfId="1112" xr:uid="{00000000-0005-0000-0000-0000E4000000}"/>
    <cellStyle name="40% - Accent1 2" xfId="141" xr:uid="{00000000-0005-0000-0000-0000E5000000}"/>
    <cellStyle name="40% - Accent1 2 2" xfId="945" xr:uid="{00000000-0005-0000-0000-0000E6000000}"/>
    <cellStyle name="40% - Accent2 2" xfId="142" xr:uid="{00000000-0005-0000-0000-0000E7000000}"/>
    <cellStyle name="40% - Accent2 2 2" xfId="946" xr:uid="{00000000-0005-0000-0000-0000E8000000}"/>
    <cellStyle name="40% - Accent3 2" xfId="143" xr:uid="{00000000-0005-0000-0000-0000E9000000}"/>
    <cellStyle name="40% - Accent3 2 2" xfId="947" xr:uid="{00000000-0005-0000-0000-0000EA000000}"/>
    <cellStyle name="40% - Accent4 2" xfId="144" xr:uid="{00000000-0005-0000-0000-0000EB000000}"/>
    <cellStyle name="40% - Accent4 2 2" xfId="948" xr:uid="{00000000-0005-0000-0000-0000EC000000}"/>
    <cellStyle name="40% - Accent5 2" xfId="145" xr:uid="{00000000-0005-0000-0000-0000ED000000}"/>
    <cellStyle name="40% - Accent5 2 2" xfId="949" xr:uid="{00000000-0005-0000-0000-0000EE000000}"/>
    <cellStyle name="40% - Accent6 2" xfId="146" xr:uid="{00000000-0005-0000-0000-0000EF000000}"/>
    <cellStyle name="40% - Accent6 2 2" xfId="950" xr:uid="{00000000-0005-0000-0000-0000F0000000}"/>
    <cellStyle name="40% - Akzent1" xfId="147" xr:uid="{00000000-0005-0000-0000-0000F1000000}"/>
    <cellStyle name="40% - Akzent2" xfId="148" xr:uid="{00000000-0005-0000-0000-0000F2000000}"/>
    <cellStyle name="40% - Akzent3" xfId="149" xr:uid="{00000000-0005-0000-0000-0000F3000000}"/>
    <cellStyle name="40% - Akzent4" xfId="150" xr:uid="{00000000-0005-0000-0000-0000F4000000}"/>
    <cellStyle name="40% - Akzent5" xfId="151" xr:uid="{00000000-0005-0000-0000-0000F5000000}"/>
    <cellStyle name="40% - Akzent6" xfId="152" xr:uid="{00000000-0005-0000-0000-0000F6000000}"/>
    <cellStyle name="40% - Dekorfärg1" xfId="153" xr:uid="{00000000-0005-0000-0000-0000F7000000}"/>
    <cellStyle name="40% - Dekorfärg1 2" xfId="951" xr:uid="{00000000-0005-0000-0000-0000F8000000}"/>
    <cellStyle name="40% - Dekorfärg2" xfId="154" xr:uid="{00000000-0005-0000-0000-0000F9000000}"/>
    <cellStyle name="40% - Dekorfärg2 2" xfId="952" xr:uid="{00000000-0005-0000-0000-0000FA000000}"/>
    <cellStyle name="40% - Dekorfärg3" xfId="155" xr:uid="{00000000-0005-0000-0000-0000FB000000}"/>
    <cellStyle name="40% - Dekorfärg3 2" xfId="953" xr:uid="{00000000-0005-0000-0000-0000FC000000}"/>
    <cellStyle name="40% - Dekorfärg4" xfId="156" xr:uid="{00000000-0005-0000-0000-0000FD000000}"/>
    <cellStyle name="40% - Dekorfärg4 2" xfId="954" xr:uid="{00000000-0005-0000-0000-0000FE000000}"/>
    <cellStyle name="40% - Dekorfärg5" xfId="157" xr:uid="{00000000-0005-0000-0000-0000FF000000}"/>
    <cellStyle name="40% - Dekorfärg5 2" xfId="955" xr:uid="{00000000-0005-0000-0000-000000010000}"/>
    <cellStyle name="40% - Dekorfärg6" xfId="158" xr:uid="{00000000-0005-0000-0000-000001010000}"/>
    <cellStyle name="40% - Dekorfärg6 2" xfId="956" xr:uid="{00000000-0005-0000-0000-000002010000}"/>
    <cellStyle name="40% - Énfasis1" xfId="159" xr:uid="{00000000-0005-0000-0000-000003010000}"/>
    <cellStyle name="40% - Énfasis1 2" xfId="957" xr:uid="{00000000-0005-0000-0000-000004010000}"/>
    <cellStyle name="40% - Énfasis2" xfId="160" xr:uid="{00000000-0005-0000-0000-000005010000}"/>
    <cellStyle name="40% - Énfasis2 2" xfId="958" xr:uid="{00000000-0005-0000-0000-000006010000}"/>
    <cellStyle name="40% - Énfasis3" xfId="161" xr:uid="{00000000-0005-0000-0000-000007010000}"/>
    <cellStyle name="40% - Énfasis3 2" xfId="959" xr:uid="{00000000-0005-0000-0000-000008010000}"/>
    <cellStyle name="40% - Énfasis4" xfId="162" xr:uid="{00000000-0005-0000-0000-000009010000}"/>
    <cellStyle name="40% - Énfasis4 2" xfId="960" xr:uid="{00000000-0005-0000-0000-00000A010000}"/>
    <cellStyle name="40% - Énfasis5" xfId="163" xr:uid="{00000000-0005-0000-0000-00000B010000}"/>
    <cellStyle name="40% - Énfasis5 2" xfId="961" xr:uid="{00000000-0005-0000-0000-00000C010000}"/>
    <cellStyle name="40% - Énfasis6" xfId="164" xr:uid="{00000000-0005-0000-0000-00000D010000}"/>
    <cellStyle name="40% - Énfasis6 2" xfId="962" xr:uid="{00000000-0005-0000-0000-00000E010000}"/>
    <cellStyle name="40% – paryškinimas 1" xfId="165" xr:uid="{00000000-0005-0000-0000-00000F010000}"/>
    <cellStyle name="40% – paryškinimas 1 2" xfId="963" xr:uid="{00000000-0005-0000-0000-000010010000}"/>
    <cellStyle name="40% – paryškinimas 2" xfId="166" xr:uid="{00000000-0005-0000-0000-000011010000}"/>
    <cellStyle name="40% – paryškinimas 2 2" xfId="964" xr:uid="{00000000-0005-0000-0000-000012010000}"/>
    <cellStyle name="40% – paryškinimas 3" xfId="167" xr:uid="{00000000-0005-0000-0000-000013010000}"/>
    <cellStyle name="40% – paryškinimas 3 2" xfId="965" xr:uid="{00000000-0005-0000-0000-000014010000}"/>
    <cellStyle name="40% – paryškinimas 4" xfId="168" xr:uid="{00000000-0005-0000-0000-000015010000}"/>
    <cellStyle name="40% – paryškinimas 4 2" xfId="966" xr:uid="{00000000-0005-0000-0000-000016010000}"/>
    <cellStyle name="40% – paryškinimas 5" xfId="169" xr:uid="{00000000-0005-0000-0000-000017010000}"/>
    <cellStyle name="40% – paryškinimas 5 2" xfId="967" xr:uid="{00000000-0005-0000-0000-000018010000}"/>
    <cellStyle name="40% – paryškinimas 6" xfId="170" xr:uid="{00000000-0005-0000-0000-000019010000}"/>
    <cellStyle name="40% – paryškinimas 6 2" xfId="968" xr:uid="{00000000-0005-0000-0000-00001A010000}"/>
    <cellStyle name="40% – rõhk1" xfId="171" xr:uid="{00000000-0005-0000-0000-00001B010000}"/>
    <cellStyle name="40% – rõhk1 2" xfId="969" xr:uid="{00000000-0005-0000-0000-00001C010000}"/>
    <cellStyle name="40% – rõhk1 3" xfId="1113" xr:uid="{00000000-0005-0000-0000-00001D010000}"/>
    <cellStyle name="40% – rõhk2" xfId="172" xr:uid="{00000000-0005-0000-0000-00001E010000}"/>
    <cellStyle name="40% – rõhk2 2" xfId="970" xr:uid="{00000000-0005-0000-0000-00001F010000}"/>
    <cellStyle name="40% – rõhk2 3" xfId="1114" xr:uid="{00000000-0005-0000-0000-000020010000}"/>
    <cellStyle name="40% – rõhk3" xfId="173" xr:uid="{00000000-0005-0000-0000-000021010000}"/>
    <cellStyle name="40% – rõhk3 2" xfId="971" xr:uid="{00000000-0005-0000-0000-000022010000}"/>
    <cellStyle name="40% – rõhk3 3" xfId="1115" xr:uid="{00000000-0005-0000-0000-000023010000}"/>
    <cellStyle name="40% – rõhk4" xfId="174" xr:uid="{00000000-0005-0000-0000-000024010000}"/>
    <cellStyle name="40% – rõhk4 2" xfId="972" xr:uid="{00000000-0005-0000-0000-000025010000}"/>
    <cellStyle name="40% – rõhk4 3" xfId="1116" xr:uid="{00000000-0005-0000-0000-000026010000}"/>
    <cellStyle name="40% – rõhk5" xfId="175" xr:uid="{00000000-0005-0000-0000-000027010000}"/>
    <cellStyle name="40% – rõhk5 2" xfId="973" xr:uid="{00000000-0005-0000-0000-000028010000}"/>
    <cellStyle name="40% – rõhk5 3" xfId="1117" xr:uid="{00000000-0005-0000-0000-000029010000}"/>
    <cellStyle name="40% – rõhk6" xfId="176" xr:uid="{00000000-0005-0000-0000-00002A010000}"/>
    <cellStyle name="40% – rõhk6 2" xfId="974" xr:uid="{00000000-0005-0000-0000-00002B010000}"/>
    <cellStyle name="40% – rõhk6 3" xfId="1118" xr:uid="{00000000-0005-0000-0000-00002C010000}"/>
    <cellStyle name="60 % - Aksentti1" xfId="177" xr:uid="{00000000-0005-0000-0000-00002D010000}"/>
    <cellStyle name="60 % - Aksentti2" xfId="178" xr:uid="{00000000-0005-0000-0000-00002E010000}"/>
    <cellStyle name="60 % - Aksentti3" xfId="179" xr:uid="{00000000-0005-0000-0000-00002F010000}"/>
    <cellStyle name="60 % - Aksentti4" xfId="180" xr:uid="{00000000-0005-0000-0000-000030010000}"/>
    <cellStyle name="60 % - Aksentti5" xfId="181" xr:uid="{00000000-0005-0000-0000-000031010000}"/>
    <cellStyle name="60 % - Aksentti6" xfId="182" xr:uid="{00000000-0005-0000-0000-000032010000}"/>
    <cellStyle name="60 % - Akzent1" xfId="183" xr:uid="{00000000-0005-0000-0000-000033010000}"/>
    <cellStyle name="60 % - Akzent2" xfId="184" xr:uid="{00000000-0005-0000-0000-000034010000}"/>
    <cellStyle name="60 % - Akzent3" xfId="185" xr:uid="{00000000-0005-0000-0000-000035010000}"/>
    <cellStyle name="60 % - Akzent4" xfId="186" xr:uid="{00000000-0005-0000-0000-000036010000}"/>
    <cellStyle name="60 % - Akzent5" xfId="187" xr:uid="{00000000-0005-0000-0000-000037010000}"/>
    <cellStyle name="60 % - Akzent6" xfId="188" xr:uid="{00000000-0005-0000-0000-000038010000}"/>
    <cellStyle name="60 % - Markeringsfarve1" xfId="189" xr:uid="{00000000-0005-0000-0000-000039010000}"/>
    <cellStyle name="60 % - Markeringsfarve2" xfId="190" xr:uid="{00000000-0005-0000-0000-00003A010000}"/>
    <cellStyle name="60 % - Markeringsfarve3" xfId="191" xr:uid="{00000000-0005-0000-0000-00003B010000}"/>
    <cellStyle name="60 % - Markeringsfarve4" xfId="192" xr:uid="{00000000-0005-0000-0000-00003C010000}"/>
    <cellStyle name="60 % - Markeringsfarve5" xfId="193" xr:uid="{00000000-0005-0000-0000-00003D010000}"/>
    <cellStyle name="60 % - Markeringsfarve6" xfId="194" xr:uid="{00000000-0005-0000-0000-00003E010000}"/>
    <cellStyle name="60 % - Accent1" xfId="195" xr:uid="{00000000-0005-0000-0000-00003F010000}"/>
    <cellStyle name="60 % - Accent1 2" xfId="1119" xr:uid="{00000000-0005-0000-0000-000040010000}"/>
    <cellStyle name="60 % - Accent2" xfId="196" xr:uid="{00000000-0005-0000-0000-000041010000}"/>
    <cellStyle name="60 % - Accent2 2" xfId="1120" xr:uid="{00000000-0005-0000-0000-000042010000}"/>
    <cellStyle name="60 % - Accent3" xfId="197" xr:uid="{00000000-0005-0000-0000-000043010000}"/>
    <cellStyle name="60 % - Accent3 2" xfId="1121" xr:uid="{00000000-0005-0000-0000-000044010000}"/>
    <cellStyle name="60 % - Accent4" xfId="198" xr:uid="{00000000-0005-0000-0000-000045010000}"/>
    <cellStyle name="60 % - Accent4 2" xfId="1122" xr:uid="{00000000-0005-0000-0000-000046010000}"/>
    <cellStyle name="60 % - Accent5" xfId="199" xr:uid="{00000000-0005-0000-0000-000047010000}"/>
    <cellStyle name="60 % - Accent5 2" xfId="1123" xr:uid="{00000000-0005-0000-0000-000048010000}"/>
    <cellStyle name="60 % - Accent6" xfId="200" xr:uid="{00000000-0005-0000-0000-000049010000}"/>
    <cellStyle name="60 % - Accent6 2" xfId="1124" xr:uid="{00000000-0005-0000-0000-00004A010000}"/>
    <cellStyle name="60% - 1. jelölőszín 2" xfId="1125" xr:uid="{00000000-0005-0000-0000-00004B010000}"/>
    <cellStyle name="60% - 2. jelölőszín 2" xfId="1126" xr:uid="{00000000-0005-0000-0000-00004C010000}"/>
    <cellStyle name="60% - 3. jelölőszín 2" xfId="1127" xr:uid="{00000000-0005-0000-0000-00004D010000}"/>
    <cellStyle name="60% - 4. jelölőszín 2" xfId="1128" xr:uid="{00000000-0005-0000-0000-00004E010000}"/>
    <cellStyle name="60% - 5. jelölőszín 2" xfId="1129" xr:uid="{00000000-0005-0000-0000-00004F010000}"/>
    <cellStyle name="60% - 6. jelölőszín 2" xfId="1130" xr:uid="{00000000-0005-0000-0000-000050010000}"/>
    <cellStyle name="60% - Accent1 2" xfId="201" xr:uid="{00000000-0005-0000-0000-000051010000}"/>
    <cellStyle name="60% - Accent1 3" xfId="202" xr:uid="{00000000-0005-0000-0000-000052010000}"/>
    <cellStyle name="60% - Accent2 2" xfId="203" xr:uid="{00000000-0005-0000-0000-000053010000}"/>
    <cellStyle name="60% - Accent3 2" xfId="204" xr:uid="{00000000-0005-0000-0000-000054010000}"/>
    <cellStyle name="60% - Accent4 2" xfId="205" xr:uid="{00000000-0005-0000-0000-000055010000}"/>
    <cellStyle name="60% - Accent5 2" xfId="206" xr:uid="{00000000-0005-0000-0000-000056010000}"/>
    <cellStyle name="60% - Accent6 2" xfId="207" xr:uid="{00000000-0005-0000-0000-000057010000}"/>
    <cellStyle name="60% - Akzent1" xfId="208" xr:uid="{00000000-0005-0000-0000-000058010000}"/>
    <cellStyle name="60% - Akzent2" xfId="209" xr:uid="{00000000-0005-0000-0000-000059010000}"/>
    <cellStyle name="60% - Akzent3" xfId="210" xr:uid="{00000000-0005-0000-0000-00005A010000}"/>
    <cellStyle name="60% - Akzent4" xfId="211" xr:uid="{00000000-0005-0000-0000-00005B010000}"/>
    <cellStyle name="60% - Akzent5" xfId="212" xr:uid="{00000000-0005-0000-0000-00005C010000}"/>
    <cellStyle name="60% - Akzent6" xfId="213" xr:uid="{00000000-0005-0000-0000-00005D010000}"/>
    <cellStyle name="60% - Dekorfärg1" xfId="214" xr:uid="{00000000-0005-0000-0000-00005E010000}"/>
    <cellStyle name="60% - Dekorfärg2" xfId="215" xr:uid="{00000000-0005-0000-0000-00005F010000}"/>
    <cellStyle name="60% - Dekorfärg3" xfId="216" xr:uid="{00000000-0005-0000-0000-000060010000}"/>
    <cellStyle name="60% - Dekorfärg4" xfId="217" xr:uid="{00000000-0005-0000-0000-000061010000}"/>
    <cellStyle name="60% - Dekorfärg5" xfId="218" xr:uid="{00000000-0005-0000-0000-000062010000}"/>
    <cellStyle name="60% - Dekorfärg6" xfId="219" xr:uid="{00000000-0005-0000-0000-000063010000}"/>
    <cellStyle name="60% - Énfasis1" xfId="220" xr:uid="{00000000-0005-0000-0000-000064010000}"/>
    <cellStyle name="60% - Énfasis2" xfId="221" xr:uid="{00000000-0005-0000-0000-000065010000}"/>
    <cellStyle name="60% - Énfasis3" xfId="222" xr:uid="{00000000-0005-0000-0000-000066010000}"/>
    <cellStyle name="60% - Énfasis4" xfId="223" xr:uid="{00000000-0005-0000-0000-000067010000}"/>
    <cellStyle name="60% - Énfasis5" xfId="224" xr:uid="{00000000-0005-0000-0000-000068010000}"/>
    <cellStyle name="60% - Énfasis6" xfId="225" xr:uid="{00000000-0005-0000-0000-000069010000}"/>
    <cellStyle name="60% – paryškinimas 1" xfId="226" xr:uid="{00000000-0005-0000-0000-00006A010000}"/>
    <cellStyle name="60% – paryškinimas 2" xfId="227" xr:uid="{00000000-0005-0000-0000-00006B010000}"/>
    <cellStyle name="60% – paryškinimas 3" xfId="228" xr:uid="{00000000-0005-0000-0000-00006C010000}"/>
    <cellStyle name="60% – paryškinimas 4" xfId="229" xr:uid="{00000000-0005-0000-0000-00006D010000}"/>
    <cellStyle name="60% – paryškinimas 5" xfId="230" xr:uid="{00000000-0005-0000-0000-00006E010000}"/>
    <cellStyle name="60% – paryškinimas 6" xfId="231" xr:uid="{00000000-0005-0000-0000-00006F010000}"/>
    <cellStyle name="60% – rõhk1" xfId="232" xr:uid="{00000000-0005-0000-0000-000070010000}"/>
    <cellStyle name="60% – rõhk1 2" xfId="1131" xr:uid="{00000000-0005-0000-0000-000071010000}"/>
    <cellStyle name="60% – rõhk1 3" xfId="1132" xr:uid="{00000000-0005-0000-0000-000072010000}"/>
    <cellStyle name="60% – rõhk2" xfId="233" xr:uid="{00000000-0005-0000-0000-000073010000}"/>
    <cellStyle name="60% – rõhk2 2" xfId="1133" xr:uid="{00000000-0005-0000-0000-000074010000}"/>
    <cellStyle name="60% – rõhk2 3" xfId="1134" xr:uid="{00000000-0005-0000-0000-000075010000}"/>
    <cellStyle name="60% – rõhk3" xfId="234" xr:uid="{00000000-0005-0000-0000-000076010000}"/>
    <cellStyle name="60% – rõhk3 2" xfId="1135" xr:uid="{00000000-0005-0000-0000-000077010000}"/>
    <cellStyle name="60% – rõhk3 3" xfId="1136" xr:uid="{00000000-0005-0000-0000-000078010000}"/>
    <cellStyle name="60% – rõhk4" xfId="235" xr:uid="{00000000-0005-0000-0000-000079010000}"/>
    <cellStyle name="60% – rõhk4 2" xfId="1137" xr:uid="{00000000-0005-0000-0000-00007A010000}"/>
    <cellStyle name="60% – rõhk4 3" xfId="1138" xr:uid="{00000000-0005-0000-0000-00007B010000}"/>
    <cellStyle name="60% – rõhk5" xfId="236" xr:uid="{00000000-0005-0000-0000-00007C010000}"/>
    <cellStyle name="60% – rõhk5 2" xfId="1139" xr:uid="{00000000-0005-0000-0000-00007D010000}"/>
    <cellStyle name="60% – rõhk5 3" xfId="1140" xr:uid="{00000000-0005-0000-0000-00007E010000}"/>
    <cellStyle name="60% – rõhk6" xfId="237" xr:uid="{00000000-0005-0000-0000-00007F010000}"/>
    <cellStyle name="60% – rõhk6 2" xfId="1141" xr:uid="{00000000-0005-0000-0000-000080010000}"/>
    <cellStyle name="60% – rõhk6 3" xfId="1142" xr:uid="{00000000-0005-0000-0000-000081010000}"/>
    <cellStyle name="AA Nombre" xfId="238" xr:uid="{00000000-0005-0000-0000-000082010000}"/>
    <cellStyle name="Accent1 2" xfId="239" xr:uid="{00000000-0005-0000-0000-000083010000}"/>
    <cellStyle name="Accent1 2 2" xfId="18" xr:uid="{00000000-0005-0000-0000-000084010000}"/>
    <cellStyle name="Accent1 2 2 2" xfId="240" xr:uid="{00000000-0005-0000-0000-000085010000}"/>
    <cellStyle name="Accent1 2 3" xfId="1143" xr:uid="{00000000-0005-0000-0000-000086010000}"/>
    <cellStyle name="Accent1 3" xfId="1144" xr:uid="{00000000-0005-0000-0000-000087010000}"/>
    <cellStyle name="Accent2" xfId="1281" builtinId="33"/>
    <cellStyle name="Accent2 2" xfId="241" xr:uid="{00000000-0005-0000-0000-000089010000}"/>
    <cellStyle name="Accent3 2" xfId="242" xr:uid="{00000000-0005-0000-0000-00008A010000}"/>
    <cellStyle name="Accent4 2" xfId="243" xr:uid="{00000000-0005-0000-0000-00008B010000}"/>
    <cellStyle name="Accent5 2" xfId="244" xr:uid="{00000000-0005-0000-0000-00008C010000}"/>
    <cellStyle name="Accent6" xfId="1282" builtinId="49"/>
    <cellStyle name="Accent6 2" xfId="245" xr:uid="{00000000-0005-0000-0000-00008E010000}"/>
    <cellStyle name="Advarselstekst" xfId="246" xr:uid="{00000000-0005-0000-0000-00008F010000}"/>
    <cellStyle name="Aiškinamasis tekstas" xfId="247" xr:uid="{00000000-0005-0000-0000-000090010000}"/>
    <cellStyle name="Aksentti1" xfId="248" xr:uid="{00000000-0005-0000-0000-000091010000}"/>
    <cellStyle name="Aksentti2" xfId="249" xr:uid="{00000000-0005-0000-0000-000092010000}"/>
    <cellStyle name="Aksentti3" xfId="250" xr:uid="{00000000-0005-0000-0000-000093010000}"/>
    <cellStyle name="Aksentti4" xfId="251" xr:uid="{00000000-0005-0000-0000-000094010000}"/>
    <cellStyle name="Aksentti5" xfId="252" xr:uid="{00000000-0005-0000-0000-000095010000}"/>
    <cellStyle name="Aksentti6" xfId="253" xr:uid="{00000000-0005-0000-0000-000096010000}"/>
    <cellStyle name="Akzent1" xfId="254" xr:uid="{00000000-0005-0000-0000-000097010000}"/>
    <cellStyle name="Akzent2" xfId="255" xr:uid="{00000000-0005-0000-0000-000098010000}"/>
    <cellStyle name="Akzent3" xfId="256" xr:uid="{00000000-0005-0000-0000-000099010000}"/>
    <cellStyle name="Akzent4" xfId="257" xr:uid="{00000000-0005-0000-0000-00009A010000}"/>
    <cellStyle name="Akzent5" xfId="258" xr:uid="{00000000-0005-0000-0000-00009B010000}"/>
    <cellStyle name="Akzent6" xfId="259" xr:uid="{00000000-0005-0000-0000-00009C010000}"/>
    <cellStyle name="Anos" xfId="260" xr:uid="{00000000-0005-0000-0000-00009D010000}"/>
    <cellStyle name="Anteckning" xfId="261" xr:uid="{00000000-0005-0000-0000-00009E010000}"/>
    <cellStyle name="Anteckning 2" xfId="1460" xr:uid="{00000000-0005-0000-0000-00009F010000}"/>
    <cellStyle name="Anteckning 3" xfId="1453" xr:uid="{00000000-0005-0000-0000-0000A0010000}"/>
    <cellStyle name="Arvutus" xfId="262" xr:uid="{00000000-0005-0000-0000-0000A1010000}"/>
    <cellStyle name="Arvutus 2" xfId="1145" xr:uid="{00000000-0005-0000-0000-0000A2010000}"/>
    <cellStyle name="Arvutus 2 2" xfId="1461" xr:uid="{00000000-0005-0000-0000-0000A3010000}"/>
    <cellStyle name="Arvutus 3" xfId="1146" xr:uid="{00000000-0005-0000-0000-0000A4010000}"/>
    <cellStyle name="assumption 1" xfId="263" xr:uid="{00000000-0005-0000-0000-0000A5010000}"/>
    <cellStyle name="assumption 2" xfId="264" xr:uid="{00000000-0005-0000-0000-0000A6010000}"/>
    <cellStyle name="assumption 4" xfId="265" xr:uid="{00000000-0005-0000-0000-0000A7010000}"/>
    <cellStyle name="Assumption Date" xfId="266" xr:uid="{00000000-0005-0000-0000-0000A8010000}"/>
    <cellStyle name="Ausgabe" xfId="267" xr:uid="{00000000-0005-0000-0000-0000A9010000}"/>
    <cellStyle name="Avertissement" xfId="268" xr:uid="{00000000-0005-0000-0000-0000AA010000}"/>
    <cellStyle name="Avertissement 2" xfId="1147" xr:uid="{00000000-0005-0000-0000-0000AB010000}"/>
    <cellStyle name="Bad" xfId="1280" builtinId="27"/>
    <cellStyle name="Bad 2" xfId="269" xr:uid="{00000000-0005-0000-0000-0000AD010000}"/>
    <cellStyle name="Bemærk!" xfId="270" xr:uid="{00000000-0005-0000-0000-0000AE010000}"/>
    <cellStyle name="Bemærk! 2" xfId="1462" xr:uid="{00000000-0005-0000-0000-0000AF010000}"/>
    <cellStyle name="Bemærk! 3" xfId="1454" xr:uid="{00000000-0005-0000-0000-0000B0010000}"/>
    <cellStyle name="Beräkning" xfId="271" xr:uid="{00000000-0005-0000-0000-0000B1010000}"/>
    <cellStyle name="Beräkning 2" xfId="1463" xr:uid="{00000000-0005-0000-0000-0000B2010000}"/>
    <cellStyle name="Beräkning 3" xfId="1596" xr:uid="{00000000-0005-0000-0000-0000B3010000}"/>
    <cellStyle name="Berechnung" xfId="272" xr:uid="{00000000-0005-0000-0000-0000B4010000}"/>
    <cellStyle name="Beregning" xfId="273" xr:uid="{00000000-0005-0000-0000-0000B5010000}"/>
    <cellStyle name="Beregning 2" xfId="1464" xr:uid="{00000000-0005-0000-0000-0000B6010000}"/>
    <cellStyle name="Beregning 3" xfId="1455" xr:uid="{00000000-0005-0000-0000-0000B7010000}"/>
    <cellStyle name="Bevitel 2" xfId="1148" xr:uid="{00000000-0005-0000-0000-0000B8010000}"/>
    <cellStyle name="BlankRow" xfId="274" xr:uid="{00000000-0005-0000-0000-0000B9010000}"/>
    <cellStyle name="Blogas" xfId="275" xr:uid="{00000000-0005-0000-0000-0000BA010000}"/>
    <cellStyle name="Bra" xfId="276" xr:uid="{00000000-0005-0000-0000-0000BB010000}"/>
    <cellStyle name="Buena" xfId="277" xr:uid="{00000000-0005-0000-0000-0000BC010000}"/>
    <cellStyle name="bullet" xfId="278" xr:uid="{00000000-0005-0000-0000-0000BD010000}"/>
    <cellStyle name="Calander_heading" xfId="279" xr:uid="{00000000-0005-0000-0000-0000BE010000}"/>
    <cellStyle name="Calc" xfId="280" xr:uid="{00000000-0005-0000-0000-0000BF010000}"/>
    <cellStyle name="Calc - Blue" xfId="281" xr:uid="{00000000-0005-0000-0000-0000C0010000}"/>
    <cellStyle name="Calc - Feed" xfId="282" xr:uid="{00000000-0005-0000-0000-0000C1010000}"/>
    <cellStyle name="Calc - Green" xfId="283" xr:uid="{00000000-0005-0000-0000-0000C2010000}"/>
    <cellStyle name="Calc - Grey" xfId="284" xr:uid="{00000000-0005-0000-0000-0000C3010000}"/>
    <cellStyle name="Calc - Index" xfId="285" xr:uid="{00000000-0005-0000-0000-0000C4010000}"/>
    <cellStyle name="Calc - White" xfId="286" xr:uid="{00000000-0005-0000-0000-0000C5010000}"/>
    <cellStyle name="Calc - yellow" xfId="287" xr:uid="{00000000-0005-0000-0000-0000C6010000}"/>
    <cellStyle name="Calc - yellow 2" xfId="975" xr:uid="{00000000-0005-0000-0000-0000C7010000}"/>
    <cellStyle name="Calc White" xfId="1289" xr:uid="{00000000-0005-0000-0000-0000C8010000}"/>
    <cellStyle name="Calc White Percent" xfId="1285" xr:uid="{00000000-0005-0000-0000-0000C9010000}"/>
    <cellStyle name="Calc_BizMo" xfId="288" xr:uid="{00000000-0005-0000-0000-0000CA010000}"/>
    <cellStyle name="Calcul" xfId="289" xr:uid="{00000000-0005-0000-0000-0000CB010000}"/>
    <cellStyle name="Calcul 2" xfId="1149" xr:uid="{00000000-0005-0000-0000-0000CC010000}"/>
    <cellStyle name="Calcul 3" xfId="1456" xr:uid="{00000000-0005-0000-0000-0000CD010000}"/>
    <cellStyle name="Calculation 2" xfId="290" xr:uid="{00000000-0005-0000-0000-0000CE010000}"/>
    <cellStyle name="Calculation 2 2" xfId="1466" xr:uid="{00000000-0005-0000-0000-0000CF010000}"/>
    <cellStyle name="Calculation 2 3" xfId="1457" xr:uid="{00000000-0005-0000-0000-0000D0010000}"/>
    <cellStyle name="Cálculo" xfId="291" xr:uid="{00000000-0005-0000-0000-0000D1010000}"/>
    <cellStyle name="Cálculo 2" xfId="1467" xr:uid="{00000000-0005-0000-0000-0000D2010000}"/>
    <cellStyle name="Cálculo 3" xfId="1599" xr:uid="{00000000-0005-0000-0000-0000D3010000}"/>
    <cellStyle name="Celda de comprobación" xfId="292" xr:uid="{00000000-0005-0000-0000-0000D4010000}"/>
    <cellStyle name="Celda vinculada" xfId="293" xr:uid="{00000000-0005-0000-0000-0000D5010000}"/>
    <cellStyle name="Cellule liée" xfId="294" xr:uid="{00000000-0005-0000-0000-0000D6010000}"/>
    <cellStyle name="Cellule liée 2" xfId="1150" xr:uid="{00000000-0005-0000-0000-0000D7010000}"/>
    <cellStyle name="Check Box" xfId="295" xr:uid="{00000000-0005-0000-0000-0000D8010000}"/>
    <cellStyle name="Check Box Input" xfId="296" xr:uid="{00000000-0005-0000-0000-0000D9010000}"/>
    <cellStyle name="Check Box_First Capital Connect Financial Model" xfId="297" xr:uid="{00000000-0005-0000-0000-0000DA010000}"/>
    <cellStyle name="Check Cell 2" xfId="298" xr:uid="{00000000-0005-0000-0000-0000DB010000}"/>
    <cellStyle name="Cím 2" xfId="1151" xr:uid="{00000000-0005-0000-0000-0000DC010000}"/>
    <cellStyle name="Címsor 1 2" xfId="1152" xr:uid="{00000000-0005-0000-0000-0000DD010000}"/>
    <cellStyle name="Címsor 2 2" xfId="1153" xr:uid="{00000000-0005-0000-0000-0000DE010000}"/>
    <cellStyle name="Címsor 3 2" xfId="1154" xr:uid="{00000000-0005-0000-0000-0000DF010000}"/>
    <cellStyle name="Címsor 4 2" xfId="1155" xr:uid="{00000000-0005-0000-0000-0000E0010000}"/>
    <cellStyle name="Column Title" xfId="299" xr:uid="{00000000-0005-0000-0000-0000E1010000}"/>
    <cellStyle name="Comma" xfId="1" builtinId="3"/>
    <cellStyle name="comma (2)" xfId="301" xr:uid="{00000000-0005-0000-0000-0000E3010000}"/>
    <cellStyle name="Comma 10" xfId="302" xr:uid="{00000000-0005-0000-0000-0000E4010000}"/>
    <cellStyle name="Comma 10 2" xfId="976" xr:uid="{00000000-0005-0000-0000-0000E5010000}"/>
    <cellStyle name="Comma 10 2 2" xfId="1304" xr:uid="{00000000-0005-0000-0000-0000E6010000}"/>
    <cellStyle name="Comma 10 2 3" xfId="1373" xr:uid="{00000000-0005-0000-0000-0000E7010000}"/>
    <cellStyle name="Comma 11" xfId="303" xr:uid="{00000000-0005-0000-0000-0000E8010000}"/>
    <cellStyle name="Comma 11 2" xfId="977" xr:uid="{00000000-0005-0000-0000-0000E9010000}"/>
    <cellStyle name="Comma 11 2 2" xfId="1305" xr:uid="{00000000-0005-0000-0000-0000EA010000}"/>
    <cellStyle name="Comma 11 2 3" xfId="1374" xr:uid="{00000000-0005-0000-0000-0000EB010000}"/>
    <cellStyle name="Comma 12" xfId="1092" xr:uid="{00000000-0005-0000-0000-0000EC010000}"/>
    <cellStyle name="Comma 12 2" xfId="1089" xr:uid="{00000000-0005-0000-0000-0000ED010000}"/>
    <cellStyle name="Comma 12 2 2" xfId="1365" xr:uid="{00000000-0005-0000-0000-0000EE010000}"/>
    <cellStyle name="Comma 12 2 3" xfId="1434" xr:uid="{00000000-0005-0000-0000-0000EF010000}"/>
    <cellStyle name="Comma 13" xfId="1156" xr:uid="{00000000-0005-0000-0000-0000F0010000}"/>
    <cellStyle name="Comma 14" xfId="1157" xr:uid="{00000000-0005-0000-0000-0000F1010000}"/>
    <cellStyle name="Comma 15" xfId="1158" xr:uid="{00000000-0005-0000-0000-0000F2010000}"/>
    <cellStyle name="Comma 16" xfId="1159" xr:uid="{00000000-0005-0000-0000-0000F3010000}"/>
    <cellStyle name="Comma 17" xfId="300" xr:uid="{00000000-0005-0000-0000-0000F4010000}"/>
    <cellStyle name="Comma 18" xfId="1284" xr:uid="{00000000-0005-0000-0000-0000F5010000}"/>
    <cellStyle name="Comma 18 2" xfId="1368" xr:uid="{00000000-0005-0000-0000-0000F6010000}"/>
    <cellStyle name="Comma 18 3" xfId="1436" xr:uid="{00000000-0005-0000-0000-0000F7010000}"/>
    <cellStyle name="Comma 19" xfId="1299" xr:uid="{00000000-0005-0000-0000-0000F8010000}"/>
    <cellStyle name="Comma 2" xfId="304" xr:uid="{00000000-0005-0000-0000-0000F9010000}"/>
    <cellStyle name="Comma 2 2" xfId="305" xr:uid="{00000000-0005-0000-0000-0000FA010000}"/>
    <cellStyle name="Comma 2 2 2" xfId="979" xr:uid="{00000000-0005-0000-0000-0000FB010000}"/>
    <cellStyle name="Comma 2 2 2 2" xfId="1307" xr:uid="{00000000-0005-0000-0000-0000FC010000}"/>
    <cellStyle name="Comma 2 2 2 3" xfId="1376" xr:uid="{00000000-0005-0000-0000-0000FD010000}"/>
    <cellStyle name="Comma 2 2 3" xfId="1469" xr:uid="{00000000-0005-0000-0000-0000FE010000}"/>
    <cellStyle name="Comma 2 3" xfId="306" xr:uid="{00000000-0005-0000-0000-0000FF010000}"/>
    <cellStyle name="Comma 2 3 2" xfId="307" xr:uid="{00000000-0005-0000-0000-000000020000}"/>
    <cellStyle name="Comma 2 3 2 2" xfId="19" xr:uid="{00000000-0005-0000-0000-000001020000}"/>
    <cellStyle name="Comma 2 3 2 2 2" xfId="308" xr:uid="{00000000-0005-0000-0000-000002020000}"/>
    <cellStyle name="Comma 2 3 2 2 3" xfId="1300" xr:uid="{00000000-0005-0000-0000-000003020000}"/>
    <cellStyle name="Comma 2 3 2 3" xfId="981" xr:uid="{00000000-0005-0000-0000-000004020000}"/>
    <cellStyle name="Comma 2 3 2 3 2" xfId="1309" xr:uid="{00000000-0005-0000-0000-000005020000}"/>
    <cellStyle name="Comma 2 3 2 3 3" xfId="1378" xr:uid="{00000000-0005-0000-0000-000006020000}"/>
    <cellStyle name="Comma 2 3 3" xfId="980" xr:uid="{00000000-0005-0000-0000-000007020000}"/>
    <cellStyle name="Comma 2 3 3 2" xfId="1308" xr:uid="{00000000-0005-0000-0000-000008020000}"/>
    <cellStyle name="Comma 2 3 3 3" xfId="1377" xr:uid="{00000000-0005-0000-0000-000009020000}"/>
    <cellStyle name="Comma 2 4" xfId="978" xr:uid="{00000000-0005-0000-0000-00000A020000}"/>
    <cellStyle name="Comma 2 4 2" xfId="1306" xr:uid="{00000000-0005-0000-0000-00000B020000}"/>
    <cellStyle name="Comma 2 4 3" xfId="1375" xr:uid="{00000000-0005-0000-0000-00000C020000}"/>
    <cellStyle name="Comma 2 5" xfId="1288" xr:uid="{00000000-0005-0000-0000-00000D020000}"/>
    <cellStyle name="Comma 2 5 2" xfId="1369" xr:uid="{00000000-0005-0000-0000-00000E020000}"/>
    <cellStyle name="Comma 2 5 3" xfId="1437" xr:uid="{00000000-0005-0000-0000-00000F020000}"/>
    <cellStyle name="Comma 2 6" xfId="1440" xr:uid="{00000000-0005-0000-0000-000010020000}"/>
    <cellStyle name="Comma 20" xfId="1303" xr:uid="{00000000-0005-0000-0000-000011020000}"/>
    <cellStyle name="Comma 21" xfId="1367" xr:uid="{00000000-0005-0000-0000-000012020000}"/>
    <cellStyle name="Comma 22" xfId="1370" xr:uid="{00000000-0005-0000-0000-000013020000}"/>
    <cellStyle name="Comma 23" xfId="1605" xr:uid="{00000000-0005-0000-0000-000014020000}"/>
    <cellStyle name="Comma 24" xfId="1439" xr:uid="{00000000-0005-0000-0000-000015020000}"/>
    <cellStyle name="Comma 3" xfId="309" xr:uid="{00000000-0005-0000-0000-000016020000}"/>
    <cellStyle name="Comma 3 2" xfId="982" xr:uid="{00000000-0005-0000-0000-000017020000}"/>
    <cellStyle name="Comma 3 2 2" xfId="1310" xr:uid="{00000000-0005-0000-0000-000018020000}"/>
    <cellStyle name="Comma 3 2 3" xfId="1379" xr:uid="{00000000-0005-0000-0000-000019020000}"/>
    <cellStyle name="Comma 3 2 4" xfId="1470" xr:uid="{00000000-0005-0000-0000-00001A020000}"/>
    <cellStyle name="Comma 3 3" xfId="1160" xr:uid="{00000000-0005-0000-0000-00001B020000}"/>
    <cellStyle name="Comma 3 3 2" xfId="1366" xr:uid="{00000000-0005-0000-0000-00001C020000}"/>
    <cellStyle name="Comma 3 3 3" xfId="1435" xr:uid="{00000000-0005-0000-0000-00001D020000}"/>
    <cellStyle name="Comma 3 4" xfId="1441" xr:uid="{00000000-0005-0000-0000-00001E020000}"/>
    <cellStyle name="Comma 32" xfId="1161" xr:uid="{00000000-0005-0000-0000-00001F020000}"/>
    <cellStyle name="Comma 4" xfId="310" xr:uid="{00000000-0005-0000-0000-000020020000}"/>
    <cellStyle name="Comma 4 2" xfId="983" xr:uid="{00000000-0005-0000-0000-000021020000}"/>
    <cellStyle name="Comma 4 2 2" xfId="1311" xr:uid="{00000000-0005-0000-0000-000022020000}"/>
    <cellStyle name="Comma 4 2 3" xfId="1380" xr:uid="{00000000-0005-0000-0000-000023020000}"/>
    <cellStyle name="Comma 4 2 4" xfId="1471" xr:uid="{00000000-0005-0000-0000-000024020000}"/>
    <cellStyle name="Comma 4 3" xfId="1162" xr:uid="{00000000-0005-0000-0000-000025020000}"/>
    <cellStyle name="Comma 4 4" xfId="1442" xr:uid="{00000000-0005-0000-0000-000026020000}"/>
    <cellStyle name="Comma 5" xfId="311" xr:uid="{00000000-0005-0000-0000-000027020000}"/>
    <cellStyle name="Comma 5 2" xfId="984" xr:uid="{00000000-0005-0000-0000-000028020000}"/>
    <cellStyle name="Comma 5 2 2" xfId="1312" xr:uid="{00000000-0005-0000-0000-000029020000}"/>
    <cellStyle name="Comma 5 2 3" xfId="1381" xr:uid="{00000000-0005-0000-0000-00002A020000}"/>
    <cellStyle name="Comma 5 2 4" xfId="1472" xr:uid="{00000000-0005-0000-0000-00002B020000}"/>
    <cellStyle name="Comma 5 3" xfId="1443" xr:uid="{00000000-0005-0000-0000-00002C020000}"/>
    <cellStyle name="Comma 6" xfId="312" xr:uid="{00000000-0005-0000-0000-00002D020000}"/>
    <cellStyle name="Comma 6 2" xfId="985" xr:uid="{00000000-0005-0000-0000-00002E020000}"/>
    <cellStyle name="Comma 6 2 2" xfId="1313" xr:uid="{00000000-0005-0000-0000-00002F020000}"/>
    <cellStyle name="Comma 6 2 3" xfId="1382" xr:uid="{00000000-0005-0000-0000-000030020000}"/>
    <cellStyle name="Comma 6 2 4" xfId="1473" xr:uid="{00000000-0005-0000-0000-000031020000}"/>
    <cellStyle name="Comma 6 3" xfId="1444" xr:uid="{00000000-0005-0000-0000-000032020000}"/>
    <cellStyle name="Comma 7" xfId="313" xr:uid="{00000000-0005-0000-0000-000033020000}"/>
    <cellStyle name="Comma 7 2" xfId="986" xr:uid="{00000000-0005-0000-0000-000034020000}"/>
    <cellStyle name="Comma 7 2 2" xfId="1314" xr:uid="{00000000-0005-0000-0000-000035020000}"/>
    <cellStyle name="Comma 7 2 3" xfId="1383" xr:uid="{00000000-0005-0000-0000-000036020000}"/>
    <cellStyle name="Comma 7 2 4" xfId="1474" xr:uid="{00000000-0005-0000-0000-000037020000}"/>
    <cellStyle name="Comma 7 3" xfId="1445" xr:uid="{00000000-0005-0000-0000-000038020000}"/>
    <cellStyle name="Comma 8" xfId="314" xr:uid="{00000000-0005-0000-0000-000039020000}"/>
    <cellStyle name="Comma 8 2" xfId="987" xr:uid="{00000000-0005-0000-0000-00003A020000}"/>
    <cellStyle name="Comma 8 2 2" xfId="1315" xr:uid="{00000000-0005-0000-0000-00003B020000}"/>
    <cellStyle name="Comma 8 2 3" xfId="1384" xr:uid="{00000000-0005-0000-0000-00003C020000}"/>
    <cellStyle name="Comma 8 2 4" xfId="1475" xr:uid="{00000000-0005-0000-0000-00003D020000}"/>
    <cellStyle name="Comma 8 3" xfId="1446" xr:uid="{00000000-0005-0000-0000-00003E020000}"/>
    <cellStyle name="Comma 9" xfId="16" xr:uid="{00000000-0005-0000-0000-00003F020000}"/>
    <cellStyle name="Comma 9 2" xfId="988" xr:uid="{00000000-0005-0000-0000-000040020000}"/>
    <cellStyle name="Comma 9 2 2" xfId="1316" xr:uid="{00000000-0005-0000-0000-000041020000}"/>
    <cellStyle name="Comma 9 2 3" xfId="1385" xr:uid="{00000000-0005-0000-0000-000042020000}"/>
    <cellStyle name="Comma 9 3" xfId="1163" xr:uid="{00000000-0005-0000-0000-000043020000}"/>
    <cellStyle name="Comma 9 4" xfId="315" xr:uid="{00000000-0005-0000-0000-000044020000}"/>
    <cellStyle name="Comma 9 5" xfId="1601" xr:uid="{00000000-0005-0000-0000-000045020000}"/>
    <cellStyle name="Comma(2)" xfId="316" xr:uid="{00000000-0005-0000-0000-000046020000}"/>
    <cellStyle name="Commentaire" xfId="317" xr:uid="{00000000-0005-0000-0000-000047020000}"/>
    <cellStyle name="Commentaire 2" xfId="318" xr:uid="{00000000-0005-0000-0000-000048020000}"/>
    <cellStyle name="Commentaire 2 2" xfId="1476" xr:uid="{00000000-0005-0000-0000-000049020000}"/>
    <cellStyle name="Commentaire 3" xfId="1164" xr:uid="{00000000-0005-0000-0000-00004A020000}"/>
    <cellStyle name="Control Check" xfId="319" xr:uid="{00000000-0005-0000-0000-00004B020000}"/>
    <cellStyle name="control table footer 1" xfId="320" xr:uid="{00000000-0005-0000-0000-00004C020000}"/>
    <cellStyle name="control table header 1" xfId="321" xr:uid="{00000000-0005-0000-0000-00004D020000}"/>
    <cellStyle name="control table header 1 2" xfId="1484" xr:uid="{00000000-0005-0000-0000-00004E020000}"/>
    <cellStyle name="Curren - Style1" xfId="322" xr:uid="{00000000-0005-0000-0000-00004F020000}"/>
    <cellStyle name="Curren - Style4" xfId="323" xr:uid="{00000000-0005-0000-0000-000050020000}"/>
    <cellStyle name="Currency 2" xfId="324" xr:uid="{00000000-0005-0000-0000-000051020000}"/>
    <cellStyle name="Currency 2 2" xfId="989" xr:uid="{00000000-0005-0000-0000-000052020000}"/>
    <cellStyle name="Currency 2 2 2" xfId="1317" xr:uid="{00000000-0005-0000-0000-000053020000}"/>
    <cellStyle name="Currency 2 2 3" xfId="1386" xr:uid="{00000000-0005-0000-0000-000054020000}"/>
    <cellStyle name="Dålig" xfId="325" xr:uid="{00000000-0005-0000-0000-000055020000}"/>
    <cellStyle name="Data" xfId="326" xr:uid="{00000000-0005-0000-0000-000056020000}"/>
    <cellStyle name="Date" xfId="327" xr:uid="{00000000-0005-0000-0000-000057020000}"/>
    <cellStyle name="Deviant" xfId="328" xr:uid="{00000000-0005-0000-0000-000058020000}"/>
    <cellStyle name="Dezimal [0]_aM120029" xfId="329" xr:uid="{00000000-0005-0000-0000-000059020000}"/>
    <cellStyle name="Dezimal_aM120029" xfId="330" xr:uid="{00000000-0005-0000-0000-00005A020000}"/>
    <cellStyle name="Effect Symbol" xfId="331" xr:uid="{00000000-0005-0000-0000-00005B020000}"/>
    <cellStyle name="Eingabe" xfId="332" xr:uid="{00000000-0005-0000-0000-00005C020000}"/>
    <cellStyle name="Ellenőrzőcella 2" xfId="1165" xr:uid="{00000000-0005-0000-0000-00005D020000}"/>
    <cellStyle name="Encabezado 4" xfId="333" xr:uid="{00000000-0005-0000-0000-00005E020000}"/>
    <cellStyle name="Énfasis1" xfId="334" xr:uid="{00000000-0005-0000-0000-00005F020000}"/>
    <cellStyle name="Énfasis2" xfId="335" xr:uid="{00000000-0005-0000-0000-000060020000}"/>
    <cellStyle name="Énfasis3" xfId="336" xr:uid="{00000000-0005-0000-0000-000061020000}"/>
    <cellStyle name="Énfasis4" xfId="337" xr:uid="{00000000-0005-0000-0000-000062020000}"/>
    <cellStyle name="Énfasis5" xfId="338" xr:uid="{00000000-0005-0000-0000-000063020000}"/>
    <cellStyle name="Énfasis6" xfId="339" xr:uid="{00000000-0005-0000-0000-000064020000}"/>
    <cellStyle name="Entrada" xfId="340" xr:uid="{00000000-0005-0000-0000-000065020000}"/>
    <cellStyle name="Entrada 2" xfId="1482" xr:uid="{00000000-0005-0000-0000-000066020000}"/>
    <cellStyle name="Entrada 3" xfId="1458" xr:uid="{00000000-0005-0000-0000-000067020000}"/>
    <cellStyle name="Entrée" xfId="341" xr:uid="{00000000-0005-0000-0000-000068020000}"/>
    <cellStyle name="Entrée 2" xfId="1166" xr:uid="{00000000-0005-0000-0000-000069020000}"/>
    <cellStyle name="Entrée 3" xfId="1459" xr:uid="{00000000-0005-0000-0000-00006A020000}"/>
    <cellStyle name="Ergebnis" xfId="342" xr:uid="{00000000-0005-0000-0000-00006B020000}"/>
    <cellStyle name="Erklärender Text" xfId="343" xr:uid="{00000000-0005-0000-0000-00006C020000}"/>
    <cellStyle name="Euro" xfId="344" xr:uid="{00000000-0005-0000-0000-00006D020000}"/>
    <cellStyle name="Euro 2" xfId="345" xr:uid="{00000000-0005-0000-0000-00006E020000}"/>
    <cellStyle name="Euro 2 2" xfId="1167" xr:uid="{00000000-0005-0000-0000-00006F020000}"/>
    <cellStyle name="Euro 3" xfId="346" xr:uid="{00000000-0005-0000-0000-000070020000}"/>
    <cellStyle name="Euro 4" xfId="347" xr:uid="{00000000-0005-0000-0000-000071020000}"/>
    <cellStyle name="Euro 5" xfId="348" xr:uid="{00000000-0005-0000-0000-000072020000}"/>
    <cellStyle name="Euro 6" xfId="349" xr:uid="{00000000-0005-0000-0000-000073020000}"/>
    <cellStyle name="Euro 7" xfId="350" xr:uid="{00000000-0005-0000-0000-000074020000}"/>
    <cellStyle name="Euro 8" xfId="1168" xr:uid="{00000000-0005-0000-0000-000075020000}"/>
    <cellStyle name="Euro 9" xfId="1169" xr:uid="{00000000-0005-0000-0000-000076020000}"/>
    <cellStyle name="Exception" xfId="351" xr:uid="{00000000-0005-0000-0000-000077020000}"/>
    <cellStyle name="Explanatory Text 2" xfId="352" xr:uid="{00000000-0005-0000-0000-000078020000}"/>
    <cellStyle name="External Links" xfId="353" xr:uid="{00000000-0005-0000-0000-000079020000}"/>
    <cellStyle name="Extra Large" xfId="354" xr:uid="{00000000-0005-0000-0000-00007A020000}"/>
    <cellStyle name="EY House" xfId="355" xr:uid="{00000000-0005-0000-0000-00007B020000}"/>
    <cellStyle name="EY%colcalc" xfId="356" xr:uid="{00000000-0005-0000-0000-00007C020000}"/>
    <cellStyle name="EY%input" xfId="357" xr:uid="{00000000-0005-0000-0000-00007D020000}"/>
    <cellStyle name="EY%rowcalc" xfId="358" xr:uid="{00000000-0005-0000-0000-00007E020000}"/>
    <cellStyle name="EY0dp" xfId="359" xr:uid="{00000000-0005-0000-0000-00007F020000}"/>
    <cellStyle name="EY1dp" xfId="360" xr:uid="{00000000-0005-0000-0000-000080020000}"/>
    <cellStyle name="EY2dp" xfId="361" xr:uid="{00000000-0005-0000-0000-000081020000}"/>
    <cellStyle name="EY3dp" xfId="362" xr:uid="{00000000-0005-0000-0000-000082020000}"/>
    <cellStyle name="EYColumnHeading" xfId="363" xr:uid="{00000000-0005-0000-0000-000083020000}"/>
    <cellStyle name="EYHeading1" xfId="364" xr:uid="{00000000-0005-0000-0000-000084020000}"/>
    <cellStyle name="EYheading2" xfId="365" xr:uid="{00000000-0005-0000-0000-000085020000}"/>
    <cellStyle name="EYheading3" xfId="366" xr:uid="{00000000-0005-0000-0000-000086020000}"/>
    <cellStyle name="EYnumber" xfId="367" xr:uid="{00000000-0005-0000-0000-000087020000}"/>
    <cellStyle name="EYSheetHeader1" xfId="368" xr:uid="{00000000-0005-0000-0000-000088020000}"/>
    <cellStyle name="EYtext" xfId="369" xr:uid="{00000000-0005-0000-0000-000089020000}"/>
    <cellStyle name="Factor" xfId="370" xr:uid="{00000000-0005-0000-0000-00008A020000}"/>
    <cellStyle name="Färg1" xfId="371" xr:uid="{00000000-0005-0000-0000-00008B020000}"/>
    <cellStyle name="Färg2" xfId="372" xr:uid="{00000000-0005-0000-0000-00008C020000}"/>
    <cellStyle name="Färg3" xfId="373" xr:uid="{00000000-0005-0000-0000-00008D020000}"/>
    <cellStyle name="Färg4" xfId="374" xr:uid="{00000000-0005-0000-0000-00008E020000}"/>
    <cellStyle name="Färg5" xfId="375" xr:uid="{00000000-0005-0000-0000-00008F020000}"/>
    <cellStyle name="Färg6" xfId="376" xr:uid="{00000000-0005-0000-0000-000090020000}"/>
    <cellStyle name="Feed Label" xfId="377" xr:uid="{00000000-0005-0000-0000-000091020000}"/>
    <cellStyle name="Feeder Field" xfId="378" xr:uid="{00000000-0005-0000-0000-000092020000}"/>
    <cellStyle name="Feeder Field 2" xfId="1485" xr:uid="{00000000-0005-0000-0000-000093020000}"/>
    <cellStyle name="Feeder Field 3" xfId="1465" xr:uid="{00000000-0005-0000-0000-000094020000}"/>
    <cellStyle name="Figyelmeztetés 2" xfId="1170" xr:uid="{00000000-0005-0000-0000-000095020000}"/>
    <cellStyle name="Fine" xfId="379" xr:uid="{00000000-0005-0000-0000-000096020000}"/>
    <cellStyle name="Fixed3 - Style3" xfId="380" xr:uid="{00000000-0005-0000-0000-000097020000}"/>
    <cellStyle name="Förklarande text" xfId="381" xr:uid="{00000000-0005-0000-0000-000098020000}"/>
    <cellStyle name="Forklarende tekst" xfId="382" xr:uid="{00000000-0005-0000-0000-000099020000}"/>
    <cellStyle name="From" xfId="383" xr:uid="{00000000-0005-0000-0000-00009A020000}"/>
    <cellStyle name="FS_reporting" xfId="384" xr:uid="{00000000-0005-0000-0000-00009B020000}"/>
    <cellStyle name="Gap" xfId="385" xr:uid="{00000000-0005-0000-0000-00009C020000}"/>
    <cellStyle name="Gap 2" xfId="990" xr:uid="{00000000-0005-0000-0000-00009D020000}"/>
    <cellStyle name="Geras" xfId="386" xr:uid="{00000000-0005-0000-0000-00009E020000}"/>
    <cellStyle name="God" xfId="387" xr:uid="{00000000-0005-0000-0000-00009F020000}"/>
    <cellStyle name="Good 2" xfId="388" xr:uid="{00000000-0005-0000-0000-0000A0020000}"/>
    <cellStyle name="Greyed out" xfId="389" xr:uid="{00000000-0005-0000-0000-0000A1020000}"/>
    <cellStyle name="Gut" xfId="390" xr:uid="{00000000-0005-0000-0000-0000A2020000}"/>
    <cellStyle name="Halb" xfId="391" xr:uid="{00000000-0005-0000-0000-0000A3020000}"/>
    <cellStyle name="Halb 2" xfId="1171" xr:uid="{00000000-0005-0000-0000-0000A4020000}"/>
    <cellStyle name="Halb 3" xfId="1172" xr:uid="{00000000-0005-0000-0000-0000A5020000}"/>
    <cellStyle name="Hea" xfId="392" xr:uid="{00000000-0005-0000-0000-0000A6020000}"/>
    <cellStyle name="Hea 2" xfId="1173" xr:uid="{00000000-0005-0000-0000-0000A7020000}"/>
    <cellStyle name="Hea 3" xfId="1174" xr:uid="{00000000-0005-0000-0000-0000A8020000}"/>
    <cellStyle name="Header" xfId="393" xr:uid="{00000000-0005-0000-0000-0000A9020000}"/>
    <cellStyle name="Heading" xfId="394" xr:uid="{00000000-0005-0000-0000-0000AA020000}"/>
    <cellStyle name="Heading 1 2" xfId="395" xr:uid="{00000000-0005-0000-0000-0000AB020000}"/>
    <cellStyle name="Heading 2 2" xfId="396" xr:uid="{00000000-0005-0000-0000-0000AC020000}"/>
    <cellStyle name="Heading 3 2" xfId="397" xr:uid="{00000000-0005-0000-0000-0000AD020000}"/>
    <cellStyle name="Heading 4 2" xfId="398" xr:uid="{00000000-0005-0000-0000-0000AE020000}"/>
    <cellStyle name="HELV8BLUE" xfId="399" xr:uid="{00000000-0005-0000-0000-0000AF020000}"/>
    <cellStyle name="Hivatkozott cella 2" xfId="1175" xr:uid="{00000000-0005-0000-0000-0000B0020000}"/>
    <cellStyle name="Hoiatustekst" xfId="400" xr:uid="{00000000-0005-0000-0000-0000B1020000}"/>
    <cellStyle name="Hoiatustekst 2" xfId="1176" xr:uid="{00000000-0005-0000-0000-0000B2020000}"/>
    <cellStyle name="Hoiatustekst 3" xfId="1177" xr:uid="{00000000-0005-0000-0000-0000B3020000}"/>
    <cellStyle name="Huomautus" xfId="401" xr:uid="{00000000-0005-0000-0000-0000B4020000}"/>
    <cellStyle name="Huomautus 2" xfId="402" xr:uid="{00000000-0005-0000-0000-0000B5020000}"/>
    <cellStyle name="Huomautus 3" xfId="1468" xr:uid="{00000000-0005-0000-0000-0000B6020000}"/>
    <cellStyle name="Huono" xfId="403" xr:uid="{00000000-0005-0000-0000-0000B7020000}"/>
    <cellStyle name="hvb mjhgvhgv" xfId="404" xr:uid="{00000000-0005-0000-0000-0000B8020000}"/>
    <cellStyle name="Hyperlink 2" xfId="405" xr:uid="{00000000-0005-0000-0000-0000B9020000}"/>
    <cellStyle name="Hyperlink 2 2" xfId="1293" xr:uid="{00000000-0005-0000-0000-0000BA020000}"/>
    <cellStyle name="Hyperlink 3" xfId="10" xr:uid="{00000000-0005-0000-0000-0000BB020000}"/>
    <cellStyle name="Hyvä" xfId="406" xr:uid="{00000000-0005-0000-0000-0000BC020000}"/>
    <cellStyle name="Incorrecto" xfId="407" xr:uid="{00000000-0005-0000-0000-0000BD020000}"/>
    <cellStyle name="Indata" xfId="408" xr:uid="{00000000-0005-0000-0000-0000BE020000}"/>
    <cellStyle name="Indata 2" xfId="1486" xr:uid="{00000000-0005-0000-0000-0000BF020000}"/>
    <cellStyle name="Indata 3" xfId="1477" xr:uid="{00000000-0005-0000-0000-0000C0020000}"/>
    <cellStyle name="Index FITT" xfId="409" xr:uid="{00000000-0005-0000-0000-0000C1020000}"/>
    <cellStyle name="Input (StyleA)" xfId="410" xr:uid="{00000000-0005-0000-0000-0000C2020000}"/>
    <cellStyle name="Input (StyleA) 2" xfId="1478" xr:uid="{00000000-0005-0000-0000-0000C3020000}"/>
    <cellStyle name="Input 1" xfId="411" xr:uid="{00000000-0005-0000-0000-0000C4020000}"/>
    <cellStyle name="Input 1 - User" xfId="1296" xr:uid="{00000000-0005-0000-0000-0000C5020000}"/>
    <cellStyle name="Input 2" xfId="412" xr:uid="{00000000-0005-0000-0000-0000C6020000}"/>
    <cellStyle name="Input 2 - Developer" xfId="1297" xr:uid="{00000000-0005-0000-0000-0000C7020000}"/>
    <cellStyle name="Input 3" xfId="413" xr:uid="{00000000-0005-0000-0000-0000C8020000}"/>
    <cellStyle name="Input 4" xfId="414" xr:uid="{00000000-0005-0000-0000-0000C9020000}"/>
    <cellStyle name="Input 5" xfId="415" xr:uid="{00000000-0005-0000-0000-0000CA020000}"/>
    <cellStyle name="Input 6" xfId="416" xr:uid="{00000000-0005-0000-0000-0000CB020000}"/>
    <cellStyle name="Input Cell" xfId="417" xr:uid="{00000000-0005-0000-0000-0000CC020000}"/>
    <cellStyle name="Input Cell 2" xfId="1487" xr:uid="{00000000-0005-0000-0000-0000CD020000}"/>
    <cellStyle name="Input Cell 3" xfId="1479" xr:uid="{00000000-0005-0000-0000-0000CE020000}"/>
    <cellStyle name="Insatisfaisant" xfId="418" xr:uid="{00000000-0005-0000-0000-0000CF020000}"/>
    <cellStyle name="Insatisfaisant 2" xfId="1178" xr:uid="{00000000-0005-0000-0000-0000D0020000}"/>
    <cellStyle name="Instructions" xfId="419" xr:uid="{00000000-0005-0000-0000-0000D1020000}"/>
    <cellStyle name="Įspėjimo tekstas" xfId="420" xr:uid="{00000000-0005-0000-0000-0000D2020000}"/>
    <cellStyle name="Išvestis" xfId="421" xr:uid="{00000000-0005-0000-0000-0000D3020000}"/>
    <cellStyle name="Išvestis 2" xfId="1489" xr:uid="{00000000-0005-0000-0000-0000D4020000}"/>
    <cellStyle name="Išvestis 3" xfId="1480" xr:uid="{00000000-0005-0000-0000-0000D5020000}"/>
    <cellStyle name="Įvestis" xfId="422" xr:uid="{00000000-0005-0000-0000-0000D6020000}"/>
    <cellStyle name="Įvestis 2" xfId="1490" xr:uid="{00000000-0005-0000-0000-0000D7020000}"/>
    <cellStyle name="Įvestis 3" xfId="1481" xr:uid="{00000000-0005-0000-0000-0000D8020000}"/>
    <cellStyle name="Jegyzet 2" xfId="1179" xr:uid="{00000000-0005-0000-0000-0000D9020000}"/>
    <cellStyle name="Jelölőszín (1) 2" xfId="1180" xr:uid="{00000000-0005-0000-0000-0000DA020000}"/>
    <cellStyle name="Jelölőszín (2) 2" xfId="1181" xr:uid="{00000000-0005-0000-0000-0000DB020000}"/>
    <cellStyle name="Jelölőszín (3) 2" xfId="1182" xr:uid="{00000000-0005-0000-0000-0000DC020000}"/>
    <cellStyle name="Jelölőszín (4) 2" xfId="1183" xr:uid="{00000000-0005-0000-0000-0000DD020000}"/>
    <cellStyle name="Jelölőszín (5) 2" xfId="1184" xr:uid="{00000000-0005-0000-0000-0000DE020000}"/>
    <cellStyle name="Jelölőszín (6) 2" xfId="1185" xr:uid="{00000000-0005-0000-0000-0000DF020000}"/>
    <cellStyle name="Jó 2" xfId="1186" xr:uid="{00000000-0005-0000-0000-0000E0020000}"/>
    <cellStyle name="Kimenet 2" xfId="1187" xr:uid="{00000000-0005-0000-0000-0000E1020000}"/>
    <cellStyle name="Kokku" xfId="423" xr:uid="{00000000-0005-0000-0000-0000E2020000}"/>
    <cellStyle name="Kokku 2" xfId="1188" xr:uid="{00000000-0005-0000-0000-0000E3020000}"/>
    <cellStyle name="Kokku 2 2" xfId="1491" xr:uid="{00000000-0005-0000-0000-0000E4020000}"/>
    <cellStyle name="Kokku 3" xfId="1189" xr:uid="{00000000-0005-0000-0000-0000E5020000}"/>
    <cellStyle name="Komma 2" xfId="424" xr:uid="{00000000-0005-0000-0000-0000E6020000}"/>
    <cellStyle name="Komma 2 2" xfId="991" xr:uid="{00000000-0005-0000-0000-0000E7020000}"/>
    <cellStyle name="Komma 2 2 2" xfId="1318" xr:uid="{00000000-0005-0000-0000-0000E8020000}"/>
    <cellStyle name="Komma 2 2 3" xfId="1387" xr:uid="{00000000-0005-0000-0000-0000E9020000}"/>
    <cellStyle name="Komma 3" xfId="425" xr:uid="{00000000-0005-0000-0000-0000EA020000}"/>
    <cellStyle name="Komma 3 2" xfId="992" xr:uid="{00000000-0005-0000-0000-0000EB020000}"/>
    <cellStyle name="Komma 3 2 2" xfId="1319" xr:uid="{00000000-0005-0000-0000-0000EC020000}"/>
    <cellStyle name="Komma 3 2 3" xfId="1388" xr:uid="{00000000-0005-0000-0000-0000ED020000}"/>
    <cellStyle name="Komma 4" xfId="426" xr:uid="{00000000-0005-0000-0000-0000EE020000}"/>
    <cellStyle name="Komma 4 2" xfId="993" xr:uid="{00000000-0005-0000-0000-0000EF020000}"/>
    <cellStyle name="Komma 4 2 2" xfId="1320" xr:uid="{00000000-0005-0000-0000-0000F0020000}"/>
    <cellStyle name="Komma 4 2 3" xfId="1389" xr:uid="{00000000-0005-0000-0000-0000F1020000}"/>
    <cellStyle name="Kontrollcell" xfId="427" xr:uid="{00000000-0005-0000-0000-0000F2020000}"/>
    <cellStyle name="Kontroller celle" xfId="428" xr:uid="{00000000-0005-0000-0000-0000F3020000}"/>
    <cellStyle name="Kontrolli lahtrit" xfId="429" xr:uid="{00000000-0005-0000-0000-0000F4020000}"/>
    <cellStyle name="Kontrolli lahtrit 2" xfId="1190" xr:uid="{00000000-0005-0000-0000-0000F5020000}"/>
    <cellStyle name="Kontrolli lahtrit 3" xfId="1191" xr:uid="{00000000-0005-0000-0000-0000F6020000}"/>
    <cellStyle name="KPMG Heading 1" xfId="430" xr:uid="{00000000-0005-0000-0000-0000F7020000}"/>
    <cellStyle name="KPMG Heading 2" xfId="431" xr:uid="{00000000-0005-0000-0000-0000F8020000}"/>
    <cellStyle name="KPMG Heading 3" xfId="432" xr:uid="{00000000-0005-0000-0000-0000F9020000}"/>
    <cellStyle name="KPMG Heading 4" xfId="433" xr:uid="{00000000-0005-0000-0000-0000FA020000}"/>
    <cellStyle name="KPMG Normal" xfId="434" xr:uid="{00000000-0005-0000-0000-0000FB020000}"/>
    <cellStyle name="KPMG Normal Text" xfId="435" xr:uid="{00000000-0005-0000-0000-0000FC020000}"/>
    <cellStyle name="Lable_1" xfId="436" xr:uid="{00000000-0005-0000-0000-0000FD020000}"/>
    <cellStyle name="Länkad cell" xfId="437" xr:uid="{00000000-0005-0000-0000-0000FE020000}"/>
    <cellStyle name="Large" xfId="438" xr:uid="{00000000-0005-0000-0000-0000FF020000}"/>
    <cellStyle name="Laskenta" xfId="439" xr:uid="{00000000-0005-0000-0000-000000030000}"/>
    <cellStyle name="Laskenta 2" xfId="1493" xr:uid="{00000000-0005-0000-0000-000001030000}"/>
    <cellStyle name="Laskenta 3" xfId="1483" xr:uid="{00000000-0005-0000-0000-000002030000}"/>
    <cellStyle name="Lingitud lahter" xfId="440" xr:uid="{00000000-0005-0000-0000-000003030000}"/>
    <cellStyle name="Lingitud lahter 2" xfId="1192" xr:uid="{00000000-0005-0000-0000-000004030000}"/>
    <cellStyle name="Lingitud lahter 3" xfId="1193" xr:uid="{00000000-0005-0000-0000-000005030000}"/>
    <cellStyle name="Linked Cell 2" xfId="441" xr:uid="{00000000-0005-0000-0000-000006030000}"/>
    <cellStyle name="Linkitetty solu" xfId="442" xr:uid="{00000000-0005-0000-0000-000007030000}"/>
    <cellStyle name="Lookup References" xfId="443" xr:uid="{00000000-0005-0000-0000-000008030000}"/>
    <cellStyle name="Magyarázó szöveg 2" xfId="1194" xr:uid="{00000000-0005-0000-0000-000009030000}"/>
    <cellStyle name="Markeringsfarve1" xfId="444" xr:uid="{00000000-0005-0000-0000-00000A030000}"/>
    <cellStyle name="Markeringsfarve2" xfId="445" xr:uid="{00000000-0005-0000-0000-00000B030000}"/>
    <cellStyle name="Markeringsfarve3" xfId="446" xr:uid="{00000000-0005-0000-0000-00000C030000}"/>
    <cellStyle name="Markeringsfarve4" xfId="447" xr:uid="{00000000-0005-0000-0000-00000D030000}"/>
    <cellStyle name="Markeringsfarve5" xfId="448" xr:uid="{00000000-0005-0000-0000-00000E030000}"/>
    <cellStyle name="Markeringsfarve6" xfId="449" xr:uid="{00000000-0005-0000-0000-00000F030000}"/>
    <cellStyle name="Märkus" xfId="450" xr:uid="{00000000-0005-0000-0000-000010030000}"/>
    <cellStyle name="Märkus 2" xfId="1195" xr:uid="{00000000-0005-0000-0000-000011030000}"/>
    <cellStyle name="Märkus 2 2" xfId="1495" xr:uid="{00000000-0005-0000-0000-000012030000}"/>
    <cellStyle name="Märkus 3" xfId="1196" xr:uid="{00000000-0005-0000-0000-000013030000}"/>
    <cellStyle name="Medium" xfId="451" xr:uid="{00000000-0005-0000-0000-000014030000}"/>
    <cellStyle name="Migliaia (0)_Brazil" xfId="452" xr:uid="{00000000-0005-0000-0000-000015030000}"/>
    <cellStyle name="Migliaia [0] 2" xfId="453" xr:uid="{00000000-0005-0000-0000-000016030000}"/>
    <cellStyle name="Migliaia [0] 2 2" xfId="454" xr:uid="{00000000-0005-0000-0000-000017030000}"/>
    <cellStyle name="Migliaia [0] 2 2 2" xfId="995" xr:uid="{00000000-0005-0000-0000-000018030000}"/>
    <cellStyle name="Migliaia [0] 2 2 2 2" xfId="1322" xr:uid="{00000000-0005-0000-0000-000019030000}"/>
    <cellStyle name="Migliaia [0] 2 2 2 3" xfId="1391" xr:uid="{00000000-0005-0000-0000-00001A030000}"/>
    <cellStyle name="Migliaia [0] 2 3" xfId="994" xr:uid="{00000000-0005-0000-0000-00001B030000}"/>
    <cellStyle name="Migliaia [0] 2 3 2" xfId="1321" xr:uid="{00000000-0005-0000-0000-00001C030000}"/>
    <cellStyle name="Migliaia [0] 2 3 3" xfId="1390" xr:uid="{00000000-0005-0000-0000-00001D030000}"/>
    <cellStyle name="Migliaia [0] 3" xfId="455" xr:uid="{00000000-0005-0000-0000-00001E030000}"/>
    <cellStyle name="Migliaia [0] 3 2" xfId="456" xr:uid="{00000000-0005-0000-0000-00001F030000}"/>
    <cellStyle name="Migliaia [0] 3 2 2" xfId="997" xr:uid="{00000000-0005-0000-0000-000020030000}"/>
    <cellStyle name="Migliaia [0] 3 2 2 2" xfId="1324" xr:uid="{00000000-0005-0000-0000-000021030000}"/>
    <cellStyle name="Migliaia [0] 3 2 2 3" xfId="1393" xr:uid="{00000000-0005-0000-0000-000022030000}"/>
    <cellStyle name="Migliaia [0] 3 3" xfId="996" xr:uid="{00000000-0005-0000-0000-000023030000}"/>
    <cellStyle name="Migliaia [0] 3 3 2" xfId="1323" xr:uid="{00000000-0005-0000-0000-000024030000}"/>
    <cellStyle name="Migliaia [0] 3 3 3" xfId="1392" xr:uid="{00000000-0005-0000-0000-000025030000}"/>
    <cellStyle name="Migliaia [0] 4" xfId="457" xr:uid="{00000000-0005-0000-0000-000026030000}"/>
    <cellStyle name="Migliaia [0] 4 2" xfId="458" xr:uid="{00000000-0005-0000-0000-000027030000}"/>
    <cellStyle name="Migliaia [0] 4 2 2" xfId="999" xr:uid="{00000000-0005-0000-0000-000028030000}"/>
    <cellStyle name="Migliaia [0] 4 2 2 2" xfId="1326" xr:uid="{00000000-0005-0000-0000-000029030000}"/>
    <cellStyle name="Migliaia [0] 4 2 2 3" xfId="1395" xr:uid="{00000000-0005-0000-0000-00002A030000}"/>
    <cellStyle name="Migliaia [0] 4 3" xfId="998" xr:uid="{00000000-0005-0000-0000-00002B030000}"/>
    <cellStyle name="Migliaia [0] 4 3 2" xfId="1325" xr:uid="{00000000-0005-0000-0000-00002C030000}"/>
    <cellStyle name="Migliaia [0] 4 3 3" xfId="1394" xr:uid="{00000000-0005-0000-0000-00002D030000}"/>
    <cellStyle name="Migliaia [0] 5" xfId="459" xr:uid="{00000000-0005-0000-0000-00002E030000}"/>
    <cellStyle name="Migliaia [0] 5 2" xfId="460" xr:uid="{00000000-0005-0000-0000-00002F030000}"/>
    <cellStyle name="Migliaia [0] 5 2 2" xfId="1001" xr:uid="{00000000-0005-0000-0000-000030030000}"/>
    <cellStyle name="Migliaia [0] 5 2 2 2" xfId="1328" xr:uid="{00000000-0005-0000-0000-000031030000}"/>
    <cellStyle name="Migliaia [0] 5 2 2 3" xfId="1397" xr:uid="{00000000-0005-0000-0000-000032030000}"/>
    <cellStyle name="Migliaia [0] 5 3" xfId="1000" xr:uid="{00000000-0005-0000-0000-000033030000}"/>
    <cellStyle name="Migliaia [0] 5 3 2" xfId="1327" xr:uid="{00000000-0005-0000-0000-000034030000}"/>
    <cellStyle name="Migliaia [0] 5 3 3" xfId="1396" xr:uid="{00000000-0005-0000-0000-000035030000}"/>
    <cellStyle name="Migliaia [0] 6" xfId="461" xr:uid="{00000000-0005-0000-0000-000036030000}"/>
    <cellStyle name="Migliaia [0] 6 2" xfId="1002" xr:uid="{00000000-0005-0000-0000-000037030000}"/>
    <cellStyle name="Migliaia [0] 6 2 2" xfId="1329" xr:uid="{00000000-0005-0000-0000-000038030000}"/>
    <cellStyle name="Migliaia [0] 6 2 3" xfId="1398" xr:uid="{00000000-0005-0000-0000-000039030000}"/>
    <cellStyle name="Migliaia [0] 7" xfId="462" xr:uid="{00000000-0005-0000-0000-00003A030000}"/>
    <cellStyle name="Migliaia [0] 7 2" xfId="1003" xr:uid="{00000000-0005-0000-0000-00003B030000}"/>
    <cellStyle name="Migliaia [0] 7 2 2" xfId="1330" xr:uid="{00000000-0005-0000-0000-00003C030000}"/>
    <cellStyle name="Migliaia [0] 7 2 3" xfId="1399" xr:uid="{00000000-0005-0000-0000-00003D030000}"/>
    <cellStyle name="Migliaia 10" xfId="463" xr:uid="{00000000-0005-0000-0000-00003E030000}"/>
    <cellStyle name="Migliaia 10 2" xfId="1004" xr:uid="{00000000-0005-0000-0000-00003F030000}"/>
    <cellStyle name="Migliaia 10 2 2" xfId="1331" xr:uid="{00000000-0005-0000-0000-000040030000}"/>
    <cellStyle name="Migliaia 10 2 3" xfId="1400" xr:uid="{00000000-0005-0000-0000-000041030000}"/>
    <cellStyle name="Migliaia 11" xfId="464" xr:uid="{00000000-0005-0000-0000-000042030000}"/>
    <cellStyle name="Migliaia 11 2" xfId="1005" xr:uid="{00000000-0005-0000-0000-000043030000}"/>
    <cellStyle name="Migliaia 11 2 2" xfId="1332" xr:uid="{00000000-0005-0000-0000-000044030000}"/>
    <cellStyle name="Migliaia 11 2 3" xfId="1401" xr:uid="{00000000-0005-0000-0000-000045030000}"/>
    <cellStyle name="Migliaia 12" xfId="465" xr:uid="{00000000-0005-0000-0000-000046030000}"/>
    <cellStyle name="Migliaia 12 2" xfId="1006" xr:uid="{00000000-0005-0000-0000-000047030000}"/>
    <cellStyle name="Migliaia 12 2 2" xfId="1333" xr:uid="{00000000-0005-0000-0000-000048030000}"/>
    <cellStyle name="Migliaia 12 2 3" xfId="1402" xr:uid="{00000000-0005-0000-0000-000049030000}"/>
    <cellStyle name="Migliaia 13" xfId="466" xr:uid="{00000000-0005-0000-0000-00004A030000}"/>
    <cellStyle name="Migliaia 13 2" xfId="1007" xr:uid="{00000000-0005-0000-0000-00004B030000}"/>
    <cellStyle name="Migliaia 13 2 2" xfId="1334" xr:uid="{00000000-0005-0000-0000-00004C030000}"/>
    <cellStyle name="Migliaia 13 2 3" xfId="1403" xr:uid="{00000000-0005-0000-0000-00004D030000}"/>
    <cellStyle name="Migliaia 14" xfId="467" xr:uid="{00000000-0005-0000-0000-00004E030000}"/>
    <cellStyle name="Migliaia 14 2" xfId="1008" xr:uid="{00000000-0005-0000-0000-00004F030000}"/>
    <cellStyle name="Migliaia 14 2 2" xfId="1335" xr:uid="{00000000-0005-0000-0000-000050030000}"/>
    <cellStyle name="Migliaia 14 2 3" xfId="1404" xr:uid="{00000000-0005-0000-0000-000051030000}"/>
    <cellStyle name="Migliaia 15" xfId="468" xr:uid="{00000000-0005-0000-0000-000052030000}"/>
    <cellStyle name="Migliaia 15 2" xfId="1009" xr:uid="{00000000-0005-0000-0000-000053030000}"/>
    <cellStyle name="Migliaia 15 2 2" xfId="1336" xr:uid="{00000000-0005-0000-0000-000054030000}"/>
    <cellStyle name="Migliaia 15 2 3" xfId="1405" xr:uid="{00000000-0005-0000-0000-000055030000}"/>
    <cellStyle name="Migliaia 16" xfId="469" xr:uid="{00000000-0005-0000-0000-000056030000}"/>
    <cellStyle name="Migliaia 16 2" xfId="1010" xr:uid="{00000000-0005-0000-0000-000057030000}"/>
    <cellStyle name="Migliaia 16 2 2" xfId="1337" xr:uid="{00000000-0005-0000-0000-000058030000}"/>
    <cellStyle name="Migliaia 16 2 3" xfId="1406" xr:uid="{00000000-0005-0000-0000-000059030000}"/>
    <cellStyle name="Migliaia 17" xfId="470" xr:uid="{00000000-0005-0000-0000-00005A030000}"/>
    <cellStyle name="Migliaia 17 2" xfId="1011" xr:uid="{00000000-0005-0000-0000-00005B030000}"/>
    <cellStyle name="Migliaia 17 2 2" xfId="1338" xr:uid="{00000000-0005-0000-0000-00005C030000}"/>
    <cellStyle name="Migliaia 17 2 3" xfId="1407" xr:uid="{00000000-0005-0000-0000-00005D030000}"/>
    <cellStyle name="Migliaia 18" xfId="471" xr:uid="{00000000-0005-0000-0000-00005E030000}"/>
    <cellStyle name="Migliaia 18 2" xfId="1012" xr:uid="{00000000-0005-0000-0000-00005F030000}"/>
    <cellStyle name="Migliaia 18 2 2" xfId="1339" xr:uid="{00000000-0005-0000-0000-000060030000}"/>
    <cellStyle name="Migliaia 18 2 3" xfId="1408" xr:uid="{00000000-0005-0000-0000-000061030000}"/>
    <cellStyle name="Migliaia 19" xfId="472" xr:uid="{00000000-0005-0000-0000-000062030000}"/>
    <cellStyle name="Migliaia 19 2" xfId="1013" xr:uid="{00000000-0005-0000-0000-000063030000}"/>
    <cellStyle name="Migliaia 19 2 2" xfId="1340" xr:uid="{00000000-0005-0000-0000-000064030000}"/>
    <cellStyle name="Migliaia 19 2 3" xfId="1409" xr:uid="{00000000-0005-0000-0000-000065030000}"/>
    <cellStyle name="Migliaia 2" xfId="473" xr:uid="{00000000-0005-0000-0000-000066030000}"/>
    <cellStyle name="Migliaia 2 2" xfId="474" xr:uid="{00000000-0005-0000-0000-000067030000}"/>
    <cellStyle name="Migliaia 2 2 2" xfId="1015" xr:uid="{00000000-0005-0000-0000-000068030000}"/>
    <cellStyle name="Migliaia 2 2 2 2" xfId="1342" xr:uid="{00000000-0005-0000-0000-000069030000}"/>
    <cellStyle name="Migliaia 2 2 2 3" xfId="1411" xr:uid="{00000000-0005-0000-0000-00006A030000}"/>
    <cellStyle name="Migliaia 2 3" xfId="1014" xr:uid="{00000000-0005-0000-0000-00006B030000}"/>
    <cellStyle name="Migliaia 2 3 2" xfId="1341" xr:uid="{00000000-0005-0000-0000-00006C030000}"/>
    <cellStyle name="Migliaia 2 3 3" xfId="1410" xr:uid="{00000000-0005-0000-0000-00006D030000}"/>
    <cellStyle name="Migliaia 20" xfId="475" xr:uid="{00000000-0005-0000-0000-00006E030000}"/>
    <cellStyle name="Migliaia 20 2" xfId="1016" xr:uid="{00000000-0005-0000-0000-00006F030000}"/>
    <cellStyle name="Migliaia 20 2 2" xfId="1343" xr:uid="{00000000-0005-0000-0000-000070030000}"/>
    <cellStyle name="Migliaia 20 2 3" xfId="1412" xr:uid="{00000000-0005-0000-0000-000071030000}"/>
    <cellStyle name="Migliaia 21" xfId="476" xr:uid="{00000000-0005-0000-0000-000072030000}"/>
    <cellStyle name="Migliaia 21 2" xfId="1017" xr:uid="{00000000-0005-0000-0000-000073030000}"/>
    <cellStyle name="Migliaia 21 2 2" xfId="1344" xr:uid="{00000000-0005-0000-0000-000074030000}"/>
    <cellStyle name="Migliaia 21 2 3" xfId="1413" xr:uid="{00000000-0005-0000-0000-000075030000}"/>
    <cellStyle name="Migliaia 22" xfId="477" xr:uid="{00000000-0005-0000-0000-000076030000}"/>
    <cellStyle name="Migliaia 22 2" xfId="1018" xr:uid="{00000000-0005-0000-0000-000077030000}"/>
    <cellStyle name="Migliaia 22 2 2" xfId="1345" xr:uid="{00000000-0005-0000-0000-000078030000}"/>
    <cellStyle name="Migliaia 22 2 3" xfId="1414" xr:uid="{00000000-0005-0000-0000-000079030000}"/>
    <cellStyle name="Migliaia 23" xfId="478" xr:uid="{00000000-0005-0000-0000-00007A030000}"/>
    <cellStyle name="Migliaia 23 2" xfId="1019" xr:uid="{00000000-0005-0000-0000-00007B030000}"/>
    <cellStyle name="Migliaia 23 2 2" xfId="1346" xr:uid="{00000000-0005-0000-0000-00007C030000}"/>
    <cellStyle name="Migliaia 23 2 3" xfId="1415" xr:uid="{00000000-0005-0000-0000-00007D030000}"/>
    <cellStyle name="Migliaia 24" xfId="479" xr:uid="{00000000-0005-0000-0000-00007E030000}"/>
    <cellStyle name="Migliaia 24 2" xfId="1020" xr:uid="{00000000-0005-0000-0000-00007F030000}"/>
    <cellStyle name="Migliaia 24 2 2" xfId="1347" xr:uid="{00000000-0005-0000-0000-000080030000}"/>
    <cellStyle name="Migliaia 24 2 3" xfId="1416" xr:uid="{00000000-0005-0000-0000-000081030000}"/>
    <cellStyle name="Migliaia 25" xfId="480" xr:uid="{00000000-0005-0000-0000-000082030000}"/>
    <cellStyle name="Migliaia 25 2" xfId="1021" xr:uid="{00000000-0005-0000-0000-000083030000}"/>
    <cellStyle name="Migliaia 25 2 2" xfId="1348" xr:uid="{00000000-0005-0000-0000-000084030000}"/>
    <cellStyle name="Migliaia 25 2 3" xfId="1417" xr:uid="{00000000-0005-0000-0000-000085030000}"/>
    <cellStyle name="Migliaia 26" xfId="481" xr:uid="{00000000-0005-0000-0000-000086030000}"/>
    <cellStyle name="Migliaia 26 2" xfId="1022" xr:uid="{00000000-0005-0000-0000-000087030000}"/>
    <cellStyle name="Migliaia 26 2 2" xfId="1349" xr:uid="{00000000-0005-0000-0000-000088030000}"/>
    <cellStyle name="Migliaia 26 2 3" xfId="1418" xr:uid="{00000000-0005-0000-0000-000089030000}"/>
    <cellStyle name="Migliaia 27" xfId="482" xr:uid="{00000000-0005-0000-0000-00008A030000}"/>
    <cellStyle name="Migliaia 27 2" xfId="1023" xr:uid="{00000000-0005-0000-0000-00008B030000}"/>
    <cellStyle name="Migliaia 27 2 2" xfId="1350" xr:uid="{00000000-0005-0000-0000-00008C030000}"/>
    <cellStyle name="Migliaia 27 2 3" xfId="1419" xr:uid="{00000000-0005-0000-0000-00008D030000}"/>
    <cellStyle name="Migliaia 28" xfId="483" xr:uid="{00000000-0005-0000-0000-00008E030000}"/>
    <cellStyle name="Migliaia 28 2" xfId="1024" xr:uid="{00000000-0005-0000-0000-00008F030000}"/>
    <cellStyle name="Migliaia 28 2 2" xfId="1351" xr:uid="{00000000-0005-0000-0000-000090030000}"/>
    <cellStyle name="Migliaia 28 2 3" xfId="1420" xr:uid="{00000000-0005-0000-0000-000091030000}"/>
    <cellStyle name="Migliaia 29" xfId="484" xr:uid="{00000000-0005-0000-0000-000092030000}"/>
    <cellStyle name="Migliaia 29 2" xfId="1025" xr:uid="{00000000-0005-0000-0000-000093030000}"/>
    <cellStyle name="Migliaia 29 2 2" xfId="1352" xr:uid="{00000000-0005-0000-0000-000094030000}"/>
    <cellStyle name="Migliaia 29 2 3" xfId="1421" xr:uid="{00000000-0005-0000-0000-000095030000}"/>
    <cellStyle name="Migliaia 29 3" xfId="1301" xr:uid="{00000000-0005-0000-0000-000096030000}"/>
    <cellStyle name="Migliaia 29 4" xfId="1371" xr:uid="{00000000-0005-0000-0000-000097030000}"/>
    <cellStyle name="Migliaia 3" xfId="485" xr:uid="{00000000-0005-0000-0000-000098030000}"/>
    <cellStyle name="Migliaia 3 2" xfId="486" xr:uid="{00000000-0005-0000-0000-000099030000}"/>
    <cellStyle name="Migliaia 3 2 2" xfId="1027" xr:uid="{00000000-0005-0000-0000-00009A030000}"/>
    <cellStyle name="Migliaia 3 2 2 2" xfId="1354" xr:uid="{00000000-0005-0000-0000-00009B030000}"/>
    <cellStyle name="Migliaia 3 2 2 3" xfId="1423" xr:uid="{00000000-0005-0000-0000-00009C030000}"/>
    <cellStyle name="Migliaia 3 3" xfId="1026" xr:uid="{00000000-0005-0000-0000-00009D030000}"/>
    <cellStyle name="Migliaia 3 3 2" xfId="1353" xr:uid="{00000000-0005-0000-0000-00009E030000}"/>
    <cellStyle name="Migliaia 3 3 3" xfId="1422" xr:uid="{00000000-0005-0000-0000-00009F030000}"/>
    <cellStyle name="Migliaia 30" xfId="487" xr:uid="{00000000-0005-0000-0000-0000A0030000}"/>
    <cellStyle name="Migliaia 30 2" xfId="1028" xr:uid="{00000000-0005-0000-0000-0000A1030000}"/>
    <cellStyle name="Migliaia 30 2 2" xfId="1355" xr:uid="{00000000-0005-0000-0000-0000A2030000}"/>
    <cellStyle name="Migliaia 30 2 3" xfId="1424" xr:uid="{00000000-0005-0000-0000-0000A3030000}"/>
    <cellStyle name="Migliaia 30 3" xfId="1302" xr:uid="{00000000-0005-0000-0000-0000A4030000}"/>
    <cellStyle name="Migliaia 30 4" xfId="1372" xr:uid="{00000000-0005-0000-0000-0000A5030000}"/>
    <cellStyle name="Migliaia 31" xfId="488" xr:uid="{00000000-0005-0000-0000-0000A6030000}"/>
    <cellStyle name="Migliaia 31 2" xfId="1029" xr:uid="{00000000-0005-0000-0000-0000A7030000}"/>
    <cellStyle name="Migliaia 31 2 2" xfId="1356" xr:uid="{00000000-0005-0000-0000-0000A8030000}"/>
    <cellStyle name="Migliaia 31 2 3" xfId="1425" xr:uid="{00000000-0005-0000-0000-0000A9030000}"/>
    <cellStyle name="Migliaia 32" xfId="489" xr:uid="{00000000-0005-0000-0000-0000AA030000}"/>
    <cellStyle name="Migliaia 32 2" xfId="1030" xr:uid="{00000000-0005-0000-0000-0000AB030000}"/>
    <cellStyle name="Migliaia 32 2 2" xfId="1357" xr:uid="{00000000-0005-0000-0000-0000AC030000}"/>
    <cellStyle name="Migliaia 32 2 3" xfId="1426" xr:uid="{00000000-0005-0000-0000-0000AD030000}"/>
    <cellStyle name="Migliaia 33" xfId="490" xr:uid="{00000000-0005-0000-0000-0000AE030000}"/>
    <cellStyle name="Migliaia 33 2" xfId="1031" xr:uid="{00000000-0005-0000-0000-0000AF030000}"/>
    <cellStyle name="Migliaia 33 2 2" xfId="1358" xr:uid="{00000000-0005-0000-0000-0000B0030000}"/>
    <cellStyle name="Migliaia 33 2 3" xfId="1427" xr:uid="{00000000-0005-0000-0000-0000B1030000}"/>
    <cellStyle name="Migliaia 4" xfId="491" xr:uid="{00000000-0005-0000-0000-0000B2030000}"/>
    <cellStyle name="Migliaia 4 2" xfId="1032" xr:uid="{00000000-0005-0000-0000-0000B3030000}"/>
    <cellStyle name="Migliaia 4 2 2" xfId="1359" xr:uid="{00000000-0005-0000-0000-0000B4030000}"/>
    <cellStyle name="Migliaia 4 2 3" xfId="1428" xr:uid="{00000000-0005-0000-0000-0000B5030000}"/>
    <cellStyle name="Migliaia 5" xfId="492" xr:uid="{00000000-0005-0000-0000-0000B6030000}"/>
    <cellStyle name="Migliaia 5 2" xfId="1033" xr:uid="{00000000-0005-0000-0000-0000B7030000}"/>
    <cellStyle name="Migliaia 5 2 2" xfId="1360" xr:uid="{00000000-0005-0000-0000-0000B8030000}"/>
    <cellStyle name="Migliaia 5 2 3" xfId="1429" xr:uid="{00000000-0005-0000-0000-0000B9030000}"/>
    <cellStyle name="Migliaia 6" xfId="493" xr:uid="{00000000-0005-0000-0000-0000BA030000}"/>
    <cellStyle name="Migliaia 6 2" xfId="1034" xr:uid="{00000000-0005-0000-0000-0000BB030000}"/>
    <cellStyle name="Migliaia 6 2 2" xfId="1361" xr:uid="{00000000-0005-0000-0000-0000BC030000}"/>
    <cellStyle name="Migliaia 6 2 3" xfId="1430" xr:uid="{00000000-0005-0000-0000-0000BD030000}"/>
    <cellStyle name="Migliaia 6 3" xfId="1197" xr:uid="{00000000-0005-0000-0000-0000BE030000}"/>
    <cellStyle name="Migliaia 7" xfId="494" xr:uid="{00000000-0005-0000-0000-0000BF030000}"/>
    <cellStyle name="Migliaia 7 2" xfId="1035" xr:uid="{00000000-0005-0000-0000-0000C0030000}"/>
    <cellStyle name="Migliaia 7 2 2" xfId="1362" xr:uid="{00000000-0005-0000-0000-0000C1030000}"/>
    <cellStyle name="Migliaia 7 2 3" xfId="1431" xr:uid="{00000000-0005-0000-0000-0000C2030000}"/>
    <cellStyle name="Migliaia 8" xfId="495" xr:uid="{00000000-0005-0000-0000-0000C3030000}"/>
    <cellStyle name="Migliaia 8 2" xfId="1036" xr:uid="{00000000-0005-0000-0000-0000C4030000}"/>
    <cellStyle name="Migliaia 8 2 2" xfId="1363" xr:uid="{00000000-0005-0000-0000-0000C5030000}"/>
    <cellStyle name="Migliaia 8 2 3" xfId="1432" xr:uid="{00000000-0005-0000-0000-0000C6030000}"/>
    <cellStyle name="Migliaia 9" xfId="496" xr:uid="{00000000-0005-0000-0000-0000C7030000}"/>
    <cellStyle name="Migliaia 9 2" xfId="1037" xr:uid="{00000000-0005-0000-0000-0000C8030000}"/>
    <cellStyle name="Migliaia 9 2 2" xfId="1364" xr:uid="{00000000-0005-0000-0000-0000C9030000}"/>
    <cellStyle name="Migliaia 9 2 3" xfId="1433" xr:uid="{00000000-0005-0000-0000-0000CA030000}"/>
    <cellStyle name="Milliers [0]_FNMA tasse2" xfId="497" xr:uid="{00000000-0005-0000-0000-0000CB030000}"/>
    <cellStyle name="Milliers 2" xfId="1198" xr:uid="{00000000-0005-0000-0000-0000CC030000}"/>
    <cellStyle name="Milliers_FNMA tasse2" xfId="498" xr:uid="{00000000-0005-0000-0000-0000CD030000}"/>
    <cellStyle name="Modelling References" xfId="499" xr:uid="{00000000-0005-0000-0000-0000CE030000}"/>
    <cellStyle name="Monétaire [0]_FNMA tasse2" xfId="500" xr:uid="{00000000-0005-0000-0000-0000CF030000}"/>
    <cellStyle name="Monétaire_FNMA tasse2" xfId="501" xr:uid="{00000000-0005-0000-0000-0000D0030000}"/>
    <cellStyle name="Named Range" xfId="502" xr:uid="{00000000-0005-0000-0000-0000D1030000}"/>
    <cellStyle name="Named Range Tag" xfId="503" xr:uid="{00000000-0005-0000-0000-0000D2030000}"/>
    <cellStyle name="Named Range_Book2" xfId="504" xr:uid="{00000000-0005-0000-0000-0000D3030000}"/>
    <cellStyle name="Neutraali" xfId="505" xr:uid="{00000000-0005-0000-0000-0000D4030000}"/>
    <cellStyle name="Neutraalne" xfId="506" xr:uid="{00000000-0005-0000-0000-0000D5030000}"/>
    <cellStyle name="Neutraalne 2" xfId="1199" xr:uid="{00000000-0005-0000-0000-0000D6030000}"/>
    <cellStyle name="Neutraalne 3" xfId="1200" xr:uid="{00000000-0005-0000-0000-0000D7030000}"/>
    <cellStyle name="Neutral 2" xfId="507" xr:uid="{00000000-0005-0000-0000-0000D8030000}"/>
    <cellStyle name="Neutral 3" xfId="853" xr:uid="{00000000-0005-0000-0000-0000D9030000}"/>
    <cellStyle name="Neutralus" xfId="508" xr:uid="{00000000-0005-0000-0000-0000DA030000}"/>
    <cellStyle name="Neutre" xfId="509" xr:uid="{00000000-0005-0000-0000-0000DB030000}"/>
    <cellStyle name="Neutre 2" xfId="1201" xr:uid="{00000000-0005-0000-0000-0000DC030000}"/>
    <cellStyle name="Normaali 2" xfId="510" xr:uid="{00000000-0005-0000-0000-0000DD030000}"/>
    <cellStyle name="Normaali 2 2" xfId="511" xr:uid="{00000000-0005-0000-0000-0000DE030000}"/>
    <cellStyle name="Normal" xfId="0" builtinId="0"/>
    <cellStyle name="Normal - Style1" xfId="512" xr:uid="{00000000-0005-0000-0000-0000E0030000}"/>
    <cellStyle name="Normal 10" xfId="12" xr:uid="{00000000-0005-0000-0000-0000E1030000}"/>
    <cellStyle name="Normal 10 2" xfId="851" xr:uid="{00000000-0005-0000-0000-0000E2030000}"/>
    <cellStyle name="Normal 11" xfId="513" xr:uid="{00000000-0005-0000-0000-0000E3030000}"/>
    <cellStyle name="Normal 11 2" xfId="1038" xr:uid="{00000000-0005-0000-0000-0000E4030000}"/>
    <cellStyle name="Normal 11 3" xfId="1290" xr:uid="{00000000-0005-0000-0000-0000E5030000}"/>
    <cellStyle name="Normal 12" xfId="514" xr:uid="{00000000-0005-0000-0000-0000E6030000}"/>
    <cellStyle name="Normal 12 2" xfId="1039" xr:uid="{00000000-0005-0000-0000-0000E7030000}"/>
    <cellStyle name="Normal 13" xfId="515" xr:uid="{00000000-0005-0000-0000-0000E8030000}"/>
    <cellStyle name="Normal 13 2" xfId="1040" xr:uid="{00000000-0005-0000-0000-0000E9030000}"/>
    <cellStyle name="Normal 14" xfId="516" xr:uid="{00000000-0005-0000-0000-0000EA030000}"/>
    <cellStyle name="Normal 14 2" xfId="1041" xr:uid="{00000000-0005-0000-0000-0000EB030000}"/>
    <cellStyle name="Normal 14 3" xfId="1602" xr:uid="{00000000-0005-0000-0000-0000EC030000}"/>
    <cellStyle name="Normal 15" xfId="11" xr:uid="{00000000-0005-0000-0000-0000ED030000}"/>
    <cellStyle name="Normal 16" xfId="9" xr:uid="{00000000-0005-0000-0000-0000EE030000}"/>
    <cellStyle name="Normal 16 2" xfId="1294" xr:uid="{00000000-0005-0000-0000-0000EF030000}"/>
    <cellStyle name="Normal 17" xfId="517" xr:uid="{00000000-0005-0000-0000-0000F0030000}"/>
    <cellStyle name="Normal 18" xfId="852" xr:uid="{00000000-0005-0000-0000-0000F1030000}"/>
    <cellStyle name="Normal 19" xfId="854" xr:uid="{00000000-0005-0000-0000-0000F2030000}"/>
    <cellStyle name="Normal 19 2" xfId="1091" xr:uid="{00000000-0005-0000-0000-0000F3030000}"/>
    <cellStyle name="Normal 2" xfId="518" xr:uid="{00000000-0005-0000-0000-0000F4030000}"/>
    <cellStyle name="Normál 2" xfId="1202" xr:uid="{00000000-0005-0000-0000-0000F5030000}"/>
    <cellStyle name="Normal 2 2" xfId="519" xr:uid="{00000000-0005-0000-0000-0000F6030000}"/>
    <cellStyle name="Normal 2 2 2" xfId="1203" xr:uid="{00000000-0005-0000-0000-0000F7030000}"/>
    <cellStyle name="Normal 2 2 3" xfId="1204" xr:uid="{00000000-0005-0000-0000-0000F8030000}"/>
    <cellStyle name="Normal 2 3" xfId="520" xr:uid="{00000000-0005-0000-0000-0000F9030000}"/>
    <cellStyle name="Normal 2 3 2" xfId="521" xr:uid="{00000000-0005-0000-0000-0000FA030000}"/>
    <cellStyle name="Normal 2 3 2 2" xfId="522" xr:uid="{00000000-0005-0000-0000-0000FB030000}"/>
    <cellStyle name="Normal 2 3 2 2 2" xfId="523" xr:uid="{00000000-0005-0000-0000-0000FC030000}"/>
    <cellStyle name="Normal 2 3 2 3" xfId="17" xr:uid="{00000000-0005-0000-0000-0000FD030000}"/>
    <cellStyle name="Normal 2 3 2 3 2" xfId="524" xr:uid="{00000000-0005-0000-0000-0000FE030000}"/>
    <cellStyle name="Normal 2 3 3" xfId="525" xr:uid="{00000000-0005-0000-0000-0000FF030000}"/>
    <cellStyle name="Normal 2 3 3 2" xfId="1042" xr:uid="{00000000-0005-0000-0000-000000040000}"/>
    <cellStyle name="Normal 2 4" xfId="526" xr:uid="{00000000-0005-0000-0000-000001040000}"/>
    <cellStyle name="Normal 2 5" xfId="527" xr:uid="{00000000-0005-0000-0000-000002040000}"/>
    <cellStyle name="Normal 2 6" xfId="1286" xr:uid="{00000000-0005-0000-0000-000003040000}"/>
    <cellStyle name="Normal 2 7" xfId="1447" xr:uid="{00000000-0005-0000-0000-000004040000}"/>
    <cellStyle name="Normal 20" xfId="1205" xr:uid="{00000000-0005-0000-0000-000005040000}"/>
    <cellStyle name="Normal 21" xfId="1206" xr:uid="{00000000-0005-0000-0000-000006040000}"/>
    <cellStyle name="Normal 22" xfId="1207" xr:uid="{00000000-0005-0000-0000-000007040000}"/>
    <cellStyle name="Normal 23" xfId="1208" xr:uid="{00000000-0005-0000-0000-000008040000}"/>
    <cellStyle name="Normal 24" xfId="1209" xr:uid="{00000000-0005-0000-0000-000009040000}"/>
    <cellStyle name="Normal 25" xfId="1210" xr:uid="{00000000-0005-0000-0000-00000A040000}"/>
    <cellStyle name="Normal 26" xfId="1211" xr:uid="{00000000-0005-0000-0000-00000B040000}"/>
    <cellStyle name="Normal 27" xfId="1212" xr:uid="{00000000-0005-0000-0000-00000C040000}"/>
    <cellStyle name="Normal 28" xfId="1213" xr:uid="{00000000-0005-0000-0000-00000D040000}"/>
    <cellStyle name="Normal 29" xfId="1214" xr:uid="{00000000-0005-0000-0000-00000E040000}"/>
    <cellStyle name="Normal 3" xfId="528" xr:uid="{00000000-0005-0000-0000-00000F040000}"/>
    <cellStyle name="Normál 3" xfId="1215" xr:uid="{00000000-0005-0000-0000-000010040000}"/>
    <cellStyle name="Normal 3 2" xfId="529" xr:uid="{00000000-0005-0000-0000-000011040000}"/>
    <cellStyle name="Normal 3 3" xfId="530" xr:uid="{00000000-0005-0000-0000-000012040000}"/>
    <cellStyle name="Normal 3 4" xfId="1216" xr:uid="{00000000-0005-0000-0000-000013040000}"/>
    <cellStyle name="Normal 3 5" xfId="1448" xr:uid="{00000000-0005-0000-0000-000014040000}"/>
    <cellStyle name="Normal 4" xfId="531" xr:uid="{00000000-0005-0000-0000-000015040000}"/>
    <cellStyle name="Normál 4" xfId="1276" xr:uid="{00000000-0005-0000-0000-000016040000}"/>
    <cellStyle name="Normal 4 2" xfId="532" xr:uid="{00000000-0005-0000-0000-000017040000}"/>
    <cellStyle name="Normal 4 3" xfId="1217" xr:uid="{00000000-0005-0000-0000-000018040000}"/>
    <cellStyle name="Normal 4 4" xfId="1449" xr:uid="{00000000-0005-0000-0000-000019040000}"/>
    <cellStyle name="Normal 49" xfId="1438" xr:uid="{00000000-0005-0000-0000-00001A040000}"/>
    <cellStyle name="Normal 5" xfId="533" xr:uid="{00000000-0005-0000-0000-00001B040000}"/>
    <cellStyle name="Normál 5" xfId="1277" xr:uid="{00000000-0005-0000-0000-00001C040000}"/>
    <cellStyle name="Normal 5 2" xfId="1043" xr:uid="{00000000-0005-0000-0000-00001D040000}"/>
    <cellStyle name="Normal 5 3" xfId="1218" xr:uid="{00000000-0005-0000-0000-00001E040000}"/>
    <cellStyle name="Normal 5 4" xfId="1450" xr:uid="{00000000-0005-0000-0000-00001F040000}"/>
    <cellStyle name="Normal 6" xfId="534" xr:uid="{00000000-0005-0000-0000-000020040000}"/>
    <cellStyle name="Normál 6" xfId="1278" xr:uid="{00000000-0005-0000-0000-000021040000}"/>
    <cellStyle name="Normal 6 2" xfId="1044" xr:uid="{00000000-0005-0000-0000-000022040000}"/>
    <cellStyle name="Normal 7" xfId="535" xr:uid="{00000000-0005-0000-0000-000023040000}"/>
    <cellStyle name="Normál 7" xfId="1279" xr:uid="{00000000-0005-0000-0000-000024040000}"/>
    <cellStyle name="Normal 7 2" xfId="1045" xr:uid="{00000000-0005-0000-0000-000025040000}"/>
    <cellStyle name="Normal 7 3" xfId="1292" xr:uid="{00000000-0005-0000-0000-000026040000}"/>
    <cellStyle name="Normal 79" xfId="15" xr:uid="{00000000-0005-0000-0000-000027040000}"/>
    <cellStyle name="Normal 8" xfId="536" xr:uid="{00000000-0005-0000-0000-000028040000}"/>
    <cellStyle name="Normal 8 2" xfId="1046" xr:uid="{00000000-0005-0000-0000-000029040000}"/>
    <cellStyle name="Normal 9" xfId="537" xr:uid="{00000000-0005-0000-0000-00002A040000}"/>
    <cellStyle name="Normal 9 2" xfId="1047" xr:uid="{00000000-0005-0000-0000-00002B040000}"/>
    <cellStyle name="Normal 9 3" xfId="1219" xr:uid="{00000000-0005-0000-0000-00002C040000}"/>
    <cellStyle name="Normal_fromFrance01" xfId="3" xr:uid="{00000000-0005-0000-0000-00002D040000}"/>
    <cellStyle name="Normal_fromFrance01 3" xfId="7" xr:uid="{00000000-0005-0000-0000-00002E040000}"/>
    <cellStyle name="Normal_fromFrance01 3 2" xfId="1298" xr:uid="{00000000-0005-0000-0000-00002F040000}"/>
    <cellStyle name="Normál_Munka1" xfId="1451" xr:uid="{00000000-0005-0000-0000-000030040000}"/>
    <cellStyle name="Normal_Workshop - Sample-Final- Determined Costs Mt" xfId="2" xr:uid="{00000000-0005-0000-0000-000031040000}"/>
    <cellStyle name="Normal_Workshop - Sample-Final- Determined Costs Mt 2" xfId="1283" xr:uid="{00000000-0005-0000-0000-000032040000}"/>
    <cellStyle name="Normale 10" xfId="538" xr:uid="{00000000-0005-0000-0000-000033040000}"/>
    <cellStyle name="Normale 10 2" xfId="539" xr:uid="{00000000-0005-0000-0000-000034040000}"/>
    <cellStyle name="Normale 10 3" xfId="540" xr:uid="{00000000-0005-0000-0000-000035040000}"/>
    <cellStyle name="Normale 10 4" xfId="1048" xr:uid="{00000000-0005-0000-0000-000036040000}"/>
    <cellStyle name="Normale 11" xfId="541" xr:uid="{00000000-0005-0000-0000-000037040000}"/>
    <cellStyle name="Normale 11 2" xfId="542" xr:uid="{00000000-0005-0000-0000-000038040000}"/>
    <cellStyle name="Normale 11 3" xfId="543" xr:uid="{00000000-0005-0000-0000-000039040000}"/>
    <cellStyle name="Normale 12" xfId="544" xr:uid="{00000000-0005-0000-0000-00003A040000}"/>
    <cellStyle name="Normale 12 2" xfId="545" xr:uid="{00000000-0005-0000-0000-00003B040000}"/>
    <cellStyle name="Normale 12 3" xfId="546" xr:uid="{00000000-0005-0000-0000-00003C040000}"/>
    <cellStyle name="Normale 13" xfId="547" xr:uid="{00000000-0005-0000-0000-00003D040000}"/>
    <cellStyle name="Normale 13 2" xfId="548" xr:uid="{00000000-0005-0000-0000-00003E040000}"/>
    <cellStyle name="Normale 13 3" xfId="549" xr:uid="{00000000-0005-0000-0000-00003F040000}"/>
    <cellStyle name="Normale 14" xfId="550" xr:uid="{00000000-0005-0000-0000-000040040000}"/>
    <cellStyle name="Normale 14 2" xfId="551" xr:uid="{00000000-0005-0000-0000-000041040000}"/>
    <cellStyle name="Normale 14 3" xfId="552" xr:uid="{00000000-0005-0000-0000-000042040000}"/>
    <cellStyle name="Normale 15" xfId="553" xr:uid="{00000000-0005-0000-0000-000043040000}"/>
    <cellStyle name="Normale 15 2" xfId="554" xr:uid="{00000000-0005-0000-0000-000044040000}"/>
    <cellStyle name="Normale 15 3" xfId="555" xr:uid="{00000000-0005-0000-0000-000045040000}"/>
    <cellStyle name="Normale 16" xfId="556" xr:uid="{00000000-0005-0000-0000-000046040000}"/>
    <cellStyle name="Normale 16 2" xfId="557" xr:uid="{00000000-0005-0000-0000-000047040000}"/>
    <cellStyle name="Normale 16 3" xfId="558" xr:uid="{00000000-0005-0000-0000-000048040000}"/>
    <cellStyle name="Normale 17" xfId="559" xr:uid="{00000000-0005-0000-0000-000049040000}"/>
    <cellStyle name="Normale 17 2" xfId="560" xr:uid="{00000000-0005-0000-0000-00004A040000}"/>
    <cellStyle name="Normale 17 3" xfId="561" xr:uid="{00000000-0005-0000-0000-00004B040000}"/>
    <cellStyle name="Normale 18" xfId="562" xr:uid="{00000000-0005-0000-0000-00004C040000}"/>
    <cellStyle name="Normale 18 2" xfId="563" xr:uid="{00000000-0005-0000-0000-00004D040000}"/>
    <cellStyle name="Normale 18 3" xfId="564" xr:uid="{00000000-0005-0000-0000-00004E040000}"/>
    <cellStyle name="Normale 19" xfId="565" xr:uid="{00000000-0005-0000-0000-00004F040000}"/>
    <cellStyle name="Normale 19 2" xfId="566" xr:uid="{00000000-0005-0000-0000-000050040000}"/>
    <cellStyle name="Normale 19 3" xfId="567" xr:uid="{00000000-0005-0000-0000-000051040000}"/>
    <cellStyle name="Normale 2" xfId="568" xr:uid="{00000000-0005-0000-0000-000052040000}"/>
    <cellStyle name="Normale 2 2" xfId="569" xr:uid="{00000000-0005-0000-0000-000053040000}"/>
    <cellStyle name="Normale 2 2 2" xfId="570" xr:uid="{00000000-0005-0000-0000-000054040000}"/>
    <cellStyle name="Normale 2 2 3" xfId="571" xr:uid="{00000000-0005-0000-0000-000055040000}"/>
    <cellStyle name="Normale 2 2 3 2" xfId="1050" xr:uid="{00000000-0005-0000-0000-000056040000}"/>
    <cellStyle name="Normale 2 2 4" xfId="1049" xr:uid="{00000000-0005-0000-0000-000057040000}"/>
    <cellStyle name="Normale 2 3" xfId="572" xr:uid="{00000000-0005-0000-0000-000058040000}"/>
    <cellStyle name="Normale 2 4" xfId="573" xr:uid="{00000000-0005-0000-0000-000059040000}"/>
    <cellStyle name="Normale 2 4 2" xfId="1051" xr:uid="{00000000-0005-0000-0000-00005A040000}"/>
    <cellStyle name="Normale 20" xfId="574" xr:uid="{00000000-0005-0000-0000-00005B040000}"/>
    <cellStyle name="Normale 20 2" xfId="575" xr:uid="{00000000-0005-0000-0000-00005C040000}"/>
    <cellStyle name="Normale 20 3" xfId="576" xr:uid="{00000000-0005-0000-0000-00005D040000}"/>
    <cellStyle name="Normale 21" xfId="577" xr:uid="{00000000-0005-0000-0000-00005E040000}"/>
    <cellStyle name="Normale 21 2" xfId="578" xr:uid="{00000000-0005-0000-0000-00005F040000}"/>
    <cellStyle name="Normale 21 3" xfId="579" xr:uid="{00000000-0005-0000-0000-000060040000}"/>
    <cellStyle name="Normale 22" xfId="580" xr:uid="{00000000-0005-0000-0000-000061040000}"/>
    <cellStyle name="Normale 22 2" xfId="581" xr:uid="{00000000-0005-0000-0000-000062040000}"/>
    <cellStyle name="Normale 22 3" xfId="582" xr:uid="{00000000-0005-0000-0000-000063040000}"/>
    <cellStyle name="Normale 23" xfId="583" xr:uid="{00000000-0005-0000-0000-000064040000}"/>
    <cellStyle name="Normale 23 2" xfId="584" xr:uid="{00000000-0005-0000-0000-000065040000}"/>
    <cellStyle name="Normale 23 3" xfId="585" xr:uid="{00000000-0005-0000-0000-000066040000}"/>
    <cellStyle name="Normale 24" xfId="586" xr:uid="{00000000-0005-0000-0000-000067040000}"/>
    <cellStyle name="Normale 24 2" xfId="587" xr:uid="{00000000-0005-0000-0000-000068040000}"/>
    <cellStyle name="Normale 24 3" xfId="588" xr:uid="{00000000-0005-0000-0000-000069040000}"/>
    <cellStyle name="Normale 25" xfId="589" xr:uid="{00000000-0005-0000-0000-00006A040000}"/>
    <cellStyle name="Normale 25 2" xfId="590" xr:uid="{00000000-0005-0000-0000-00006B040000}"/>
    <cellStyle name="Normale 25 3" xfId="591" xr:uid="{00000000-0005-0000-0000-00006C040000}"/>
    <cellStyle name="Normale 26" xfId="592" xr:uid="{00000000-0005-0000-0000-00006D040000}"/>
    <cellStyle name="Normale 26 2" xfId="593" xr:uid="{00000000-0005-0000-0000-00006E040000}"/>
    <cellStyle name="Normale 26 3" xfId="594" xr:uid="{00000000-0005-0000-0000-00006F040000}"/>
    <cellStyle name="Normale 27" xfId="595" xr:uid="{00000000-0005-0000-0000-000070040000}"/>
    <cellStyle name="Normale 27 2" xfId="1052" xr:uid="{00000000-0005-0000-0000-000071040000}"/>
    <cellStyle name="Normale 28" xfId="596" xr:uid="{00000000-0005-0000-0000-000072040000}"/>
    <cellStyle name="Normale 29" xfId="597" xr:uid="{00000000-0005-0000-0000-000073040000}"/>
    <cellStyle name="Normale 3" xfId="598" xr:uid="{00000000-0005-0000-0000-000074040000}"/>
    <cellStyle name="Normale 3 2" xfId="599" xr:uid="{00000000-0005-0000-0000-000075040000}"/>
    <cellStyle name="Normale 3 3" xfId="600" xr:uid="{00000000-0005-0000-0000-000076040000}"/>
    <cellStyle name="Normale 3 3 2" xfId="1053" xr:uid="{00000000-0005-0000-0000-000077040000}"/>
    <cellStyle name="Normale 30" xfId="601" xr:uid="{00000000-0005-0000-0000-000078040000}"/>
    <cellStyle name="Normale 30 2" xfId="1054" xr:uid="{00000000-0005-0000-0000-000079040000}"/>
    <cellStyle name="Normale 31" xfId="602" xr:uid="{00000000-0005-0000-0000-00007A040000}"/>
    <cellStyle name="Normale 31 2" xfId="1055" xr:uid="{00000000-0005-0000-0000-00007B040000}"/>
    <cellStyle name="Normale 32" xfId="603" xr:uid="{00000000-0005-0000-0000-00007C040000}"/>
    <cellStyle name="Normale 32 2" xfId="1056" xr:uid="{00000000-0005-0000-0000-00007D040000}"/>
    <cellStyle name="Normale 33" xfId="604" xr:uid="{00000000-0005-0000-0000-00007E040000}"/>
    <cellStyle name="Normale 33 2" xfId="1057" xr:uid="{00000000-0005-0000-0000-00007F040000}"/>
    <cellStyle name="Normale 34" xfId="605" xr:uid="{00000000-0005-0000-0000-000080040000}"/>
    <cellStyle name="Normale 34 2" xfId="1058" xr:uid="{00000000-0005-0000-0000-000081040000}"/>
    <cellStyle name="Normale 4" xfId="606" xr:uid="{00000000-0005-0000-0000-000082040000}"/>
    <cellStyle name="Normale 4 2" xfId="607" xr:uid="{00000000-0005-0000-0000-000083040000}"/>
    <cellStyle name="Normale 4 2 2" xfId="608" xr:uid="{00000000-0005-0000-0000-000084040000}"/>
    <cellStyle name="Normale 4 2 2 2" xfId="1061" xr:uid="{00000000-0005-0000-0000-000085040000}"/>
    <cellStyle name="Normale 4 2 3" xfId="1060" xr:uid="{00000000-0005-0000-0000-000086040000}"/>
    <cellStyle name="Normale 4 3" xfId="609" xr:uid="{00000000-0005-0000-0000-000087040000}"/>
    <cellStyle name="Normale 4 3 2" xfId="1062" xr:uid="{00000000-0005-0000-0000-000088040000}"/>
    <cellStyle name="Normale 4 4" xfId="610" xr:uid="{00000000-0005-0000-0000-000089040000}"/>
    <cellStyle name="Normale 4 4 2" xfId="1063" xr:uid="{00000000-0005-0000-0000-00008A040000}"/>
    <cellStyle name="Normale 4 5" xfId="611" xr:uid="{00000000-0005-0000-0000-00008B040000}"/>
    <cellStyle name="Normale 4 5 2" xfId="1064" xr:uid="{00000000-0005-0000-0000-00008C040000}"/>
    <cellStyle name="Normale 4 6" xfId="1059" xr:uid="{00000000-0005-0000-0000-00008D040000}"/>
    <cellStyle name="Normale 5" xfId="612" xr:uid="{00000000-0005-0000-0000-00008E040000}"/>
    <cellStyle name="Normale 5 2" xfId="1065" xr:uid="{00000000-0005-0000-0000-00008F040000}"/>
    <cellStyle name="Normale 6" xfId="613" xr:uid="{00000000-0005-0000-0000-000090040000}"/>
    <cellStyle name="Normale 6 2" xfId="614" xr:uid="{00000000-0005-0000-0000-000091040000}"/>
    <cellStyle name="Normale 6 3" xfId="1066" xr:uid="{00000000-0005-0000-0000-000092040000}"/>
    <cellStyle name="Normale 7" xfId="615" xr:uid="{00000000-0005-0000-0000-000093040000}"/>
    <cellStyle name="Normale 8" xfId="616" xr:uid="{00000000-0005-0000-0000-000094040000}"/>
    <cellStyle name="Normale 8 2" xfId="617" xr:uid="{00000000-0005-0000-0000-000095040000}"/>
    <cellStyle name="Normale 8 3" xfId="618" xr:uid="{00000000-0005-0000-0000-000096040000}"/>
    <cellStyle name="Normale 9" xfId="619" xr:uid="{00000000-0005-0000-0000-000097040000}"/>
    <cellStyle name="Normale 9 2" xfId="620" xr:uid="{00000000-0005-0000-0000-000098040000}"/>
    <cellStyle name="Normale 9 3" xfId="621" xr:uid="{00000000-0005-0000-0000-000099040000}"/>
    <cellStyle name="Normale_Calcolo Tariffa_2006_4T_v01" xfId="622" xr:uid="{00000000-0005-0000-0000-00009A040000}"/>
    <cellStyle name="Normálna 3" xfId="1220" xr:uid="{00000000-0005-0000-0000-00009B040000}"/>
    <cellStyle name="Normalny 2" xfId="623" xr:uid="{00000000-0005-0000-0000-00009C040000}"/>
    <cellStyle name="Normalny 2 2" xfId="624" xr:uid="{00000000-0005-0000-0000-00009D040000}"/>
    <cellStyle name="Normalny 2_MET Table 1" xfId="625" xr:uid="{00000000-0005-0000-0000-00009E040000}"/>
    <cellStyle name="Normalny 4" xfId="626" xr:uid="{00000000-0005-0000-0000-00009F040000}"/>
    <cellStyle name="NorTms8" xfId="627" xr:uid="{00000000-0005-0000-0000-0000A0040000}"/>
    <cellStyle name="Notas" xfId="628" xr:uid="{00000000-0005-0000-0000-0000A1040000}"/>
    <cellStyle name="Notas 2" xfId="1496" xr:uid="{00000000-0005-0000-0000-0000A2040000}"/>
    <cellStyle name="Notas 3" xfId="1488" xr:uid="{00000000-0005-0000-0000-0000A3040000}"/>
    <cellStyle name="Note 2" xfId="629" xr:uid="{00000000-0005-0000-0000-0000A4040000}"/>
    <cellStyle name="Note 2 2" xfId="1497" xr:uid="{00000000-0005-0000-0000-0000A5040000}"/>
    <cellStyle name="Note 2 3" xfId="1492" xr:uid="{00000000-0005-0000-0000-0000A6040000}"/>
    <cellStyle name="Notes" xfId="630" xr:uid="{00000000-0005-0000-0000-0000A7040000}"/>
    <cellStyle name="Notiz" xfId="631" xr:uid="{00000000-0005-0000-0000-0000A8040000}"/>
    <cellStyle name="Number" xfId="632" xr:uid="{00000000-0005-0000-0000-0000A9040000}"/>
    <cellStyle name="Number 1" xfId="633" xr:uid="{00000000-0005-0000-0000-0000AA040000}"/>
    <cellStyle name="Number Date" xfId="634" xr:uid="{00000000-0005-0000-0000-0000AB040000}"/>
    <cellStyle name="Number Date (short)" xfId="635" xr:uid="{00000000-0005-0000-0000-0000AC040000}"/>
    <cellStyle name="Number Date_Green" xfId="636" xr:uid="{00000000-0005-0000-0000-0000AD040000}"/>
    <cellStyle name="Number II" xfId="637" xr:uid="{00000000-0005-0000-0000-0000AE040000}"/>
    <cellStyle name="Number Integer" xfId="638" xr:uid="{00000000-0005-0000-0000-0000AF040000}"/>
    <cellStyle name="Összesen 2" xfId="1221" xr:uid="{00000000-0005-0000-0000-0000B0040000}"/>
    <cellStyle name="Otsikko" xfId="639" xr:uid="{00000000-0005-0000-0000-0000B1040000}"/>
    <cellStyle name="Otsikko 1" xfId="640" xr:uid="{00000000-0005-0000-0000-0000B2040000}"/>
    <cellStyle name="Otsikko 2" xfId="641" xr:uid="{00000000-0005-0000-0000-0000B3040000}"/>
    <cellStyle name="Otsikko 3" xfId="642" xr:uid="{00000000-0005-0000-0000-0000B4040000}"/>
    <cellStyle name="Otsikko 4" xfId="643" xr:uid="{00000000-0005-0000-0000-0000B5040000}"/>
    <cellStyle name="Output 2" xfId="644" xr:uid="{00000000-0005-0000-0000-0000B6040000}"/>
    <cellStyle name="Output 2 2" xfId="1503" xr:uid="{00000000-0005-0000-0000-0000B7040000}"/>
    <cellStyle name="Output 2 3" xfId="1494" xr:uid="{00000000-0005-0000-0000-0000B8040000}"/>
    <cellStyle name="Overskrift 1" xfId="645" xr:uid="{00000000-0005-0000-0000-0000B9040000}"/>
    <cellStyle name="Overskrift 2" xfId="646" xr:uid="{00000000-0005-0000-0000-0000BA040000}"/>
    <cellStyle name="Overskrift 3" xfId="647" xr:uid="{00000000-0005-0000-0000-0000BB040000}"/>
    <cellStyle name="Overskrift 4" xfId="648" xr:uid="{00000000-0005-0000-0000-0000BC040000}"/>
    <cellStyle name="Paryškinimas 1" xfId="649" xr:uid="{00000000-0005-0000-0000-0000BD040000}"/>
    <cellStyle name="Paryškinimas 2" xfId="650" xr:uid="{00000000-0005-0000-0000-0000BE040000}"/>
    <cellStyle name="Paryškinimas 3" xfId="651" xr:uid="{00000000-0005-0000-0000-0000BF040000}"/>
    <cellStyle name="Paryškinimas 4" xfId="652" xr:uid="{00000000-0005-0000-0000-0000C0040000}"/>
    <cellStyle name="Paryškinimas 5" xfId="653" xr:uid="{00000000-0005-0000-0000-0000C1040000}"/>
    <cellStyle name="Paryškinimas 6" xfId="654" xr:uid="{00000000-0005-0000-0000-0000C2040000}"/>
    <cellStyle name="Pastaba" xfId="655" xr:uid="{00000000-0005-0000-0000-0000C3040000}"/>
    <cellStyle name="Pastaba 2" xfId="1222" xr:uid="{00000000-0005-0000-0000-0000C4040000}"/>
    <cellStyle name="Pastaba 2 2" xfId="1514" xr:uid="{00000000-0005-0000-0000-0000C5040000}"/>
    <cellStyle name="Pastaba 3" xfId="1223" xr:uid="{00000000-0005-0000-0000-0000C6040000}"/>
    <cellStyle name="Pavadinimas" xfId="656" xr:uid="{00000000-0005-0000-0000-0000C7040000}"/>
    <cellStyle name="Pealkiri" xfId="657" xr:uid="{00000000-0005-0000-0000-0000C8040000}"/>
    <cellStyle name="Pealkiri 1" xfId="658" xr:uid="{00000000-0005-0000-0000-0000C9040000}"/>
    <cellStyle name="Pealkiri 1 2" xfId="1224" xr:uid="{00000000-0005-0000-0000-0000CA040000}"/>
    <cellStyle name="Pealkiri 1 3" xfId="1225" xr:uid="{00000000-0005-0000-0000-0000CB040000}"/>
    <cellStyle name="Pealkiri 2" xfId="659" xr:uid="{00000000-0005-0000-0000-0000CC040000}"/>
    <cellStyle name="Pealkiri 2 2" xfId="1226" xr:uid="{00000000-0005-0000-0000-0000CD040000}"/>
    <cellStyle name="Pealkiri 2 3" xfId="1227" xr:uid="{00000000-0005-0000-0000-0000CE040000}"/>
    <cellStyle name="Pealkiri 3" xfId="660" xr:uid="{00000000-0005-0000-0000-0000CF040000}"/>
    <cellStyle name="Pealkiri 3 2" xfId="1228" xr:uid="{00000000-0005-0000-0000-0000D0040000}"/>
    <cellStyle name="Pealkiri 3 3" xfId="1229" xr:uid="{00000000-0005-0000-0000-0000D1040000}"/>
    <cellStyle name="Pealkiri 4" xfId="661" xr:uid="{00000000-0005-0000-0000-0000D2040000}"/>
    <cellStyle name="Pealkiri 4 2" xfId="1230" xr:uid="{00000000-0005-0000-0000-0000D3040000}"/>
    <cellStyle name="Pealkiri 4 3" xfId="1231" xr:uid="{00000000-0005-0000-0000-0000D4040000}"/>
    <cellStyle name="Pealkiri 5" xfId="1232" xr:uid="{00000000-0005-0000-0000-0000D5040000}"/>
    <cellStyle name="Pealkiri 6" xfId="1233" xr:uid="{00000000-0005-0000-0000-0000D6040000}"/>
    <cellStyle name="Percen - Style2" xfId="662" xr:uid="{00000000-0005-0000-0000-0000D7040000}"/>
    <cellStyle name="Percent" xfId="14" builtinId="5"/>
    <cellStyle name="Percent [0%]" xfId="663" xr:uid="{00000000-0005-0000-0000-0000D9040000}"/>
    <cellStyle name="Percent [0.00%]" xfId="664" xr:uid="{00000000-0005-0000-0000-0000DA040000}"/>
    <cellStyle name="Percent 10" xfId="665" xr:uid="{00000000-0005-0000-0000-0000DB040000}"/>
    <cellStyle name="Percent 10 2" xfId="850" xr:uid="{00000000-0005-0000-0000-0000DC040000}"/>
    <cellStyle name="Percent 11" xfId="666" xr:uid="{00000000-0005-0000-0000-0000DD040000}"/>
    <cellStyle name="Percent 11 2" xfId="1067" xr:uid="{00000000-0005-0000-0000-0000DE040000}"/>
    <cellStyle name="Percent 12" xfId="667" xr:uid="{00000000-0005-0000-0000-0000DF040000}"/>
    <cellStyle name="Percent 12 2" xfId="1068" xr:uid="{00000000-0005-0000-0000-0000E0040000}"/>
    <cellStyle name="Percent 12 3" xfId="1603" xr:uid="{00000000-0005-0000-0000-0000E1040000}"/>
    <cellStyle name="Percent 13" xfId="8" xr:uid="{00000000-0005-0000-0000-0000E2040000}"/>
    <cellStyle name="Percent 13 2" xfId="849" xr:uid="{00000000-0005-0000-0000-0000E3040000}"/>
    <cellStyle name="Percent 14" xfId="668" xr:uid="{00000000-0005-0000-0000-0000E4040000}"/>
    <cellStyle name="Percent 14 2" xfId="1069" xr:uid="{00000000-0005-0000-0000-0000E5040000}"/>
    <cellStyle name="Percent 15" xfId="669" xr:uid="{00000000-0005-0000-0000-0000E6040000}"/>
    <cellStyle name="Percent 16" xfId="1234" xr:uid="{00000000-0005-0000-0000-0000E7040000}"/>
    <cellStyle name="Percent 17" xfId="1235" xr:uid="{00000000-0005-0000-0000-0000E8040000}"/>
    <cellStyle name="Percent 18" xfId="1236" xr:uid="{00000000-0005-0000-0000-0000E9040000}"/>
    <cellStyle name="Percent 2" xfId="670" xr:uid="{00000000-0005-0000-0000-0000EA040000}"/>
    <cellStyle name="Percent 2 2" xfId="671" xr:uid="{00000000-0005-0000-0000-0000EB040000}"/>
    <cellStyle name="Percent 2 2 2" xfId="672" xr:uid="{00000000-0005-0000-0000-0000EC040000}"/>
    <cellStyle name="Percent 2 2 2 2" xfId="13" xr:uid="{00000000-0005-0000-0000-0000ED040000}"/>
    <cellStyle name="Percent 2 2 2 2 2" xfId="673" xr:uid="{00000000-0005-0000-0000-0000EE040000}"/>
    <cellStyle name="Percent 2 2 3" xfId="1237" xr:uid="{00000000-0005-0000-0000-0000EF040000}"/>
    <cellStyle name="Percent 2 3" xfId="674" xr:uid="{00000000-0005-0000-0000-0000F0040000}"/>
    <cellStyle name="Percent 2 4" xfId="5" xr:uid="{00000000-0005-0000-0000-0000F1040000}"/>
    <cellStyle name="Percent 2 5" xfId="1070" xr:uid="{00000000-0005-0000-0000-0000F2040000}"/>
    <cellStyle name="Percent 2 6" xfId="1287" xr:uid="{00000000-0005-0000-0000-0000F3040000}"/>
    <cellStyle name="Percent 3" xfId="675" xr:uid="{00000000-0005-0000-0000-0000F4040000}"/>
    <cellStyle name="Percent 3 2" xfId="676" xr:uid="{00000000-0005-0000-0000-0000F5040000}"/>
    <cellStyle name="Percent 3 3" xfId="677" xr:uid="{00000000-0005-0000-0000-0000F6040000}"/>
    <cellStyle name="Percent 3 3 2" xfId="1094" xr:uid="{00000000-0005-0000-0000-0000F7040000}"/>
    <cellStyle name="Percent 3 4" xfId="1452" xr:uid="{00000000-0005-0000-0000-0000F8040000}"/>
    <cellStyle name="Percent 33" xfId="1238" xr:uid="{00000000-0005-0000-0000-0000F9040000}"/>
    <cellStyle name="Percent 4" xfId="678" xr:uid="{00000000-0005-0000-0000-0000FA040000}"/>
    <cellStyle name="Percent 4 2" xfId="679" xr:uid="{00000000-0005-0000-0000-0000FB040000}"/>
    <cellStyle name="Percent 4 3" xfId="1239" xr:uid="{00000000-0005-0000-0000-0000FC040000}"/>
    <cellStyle name="Percent 5" xfId="6" xr:uid="{00000000-0005-0000-0000-0000FD040000}"/>
    <cellStyle name="Percent 5 2" xfId="4" xr:uid="{00000000-0005-0000-0000-0000FE040000}"/>
    <cellStyle name="Percent 5 2 2" xfId="1093" xr:uid="{00000000-0005-0000-0000-0000FF040000}"/>
    <cellStyle name="Percent 5 3" xfId="1071" xr:uid="{00000000-0005-0000-0000-000000050000}"/>
    <cellStyle name="Percent 6" xfId="680" xr:uid="{00000000-0005-0000-0000-000001050000}"/>
    <cellStyle name="Percent 6 2" xfId="1072" xr:uid="{00000000-0005-0000-0000-000002050000}"/>
    <cellStyle name="Percent 7" xfId="681" xr:uid="{00000000-0005-0000-0000-000003050000}"/>
    <cellStyle name="Percent 7 2" xfId="1073" xr:uid="{00000000-0005-0000-0000-000004050000}"/>
    <cellStyle name="Percent 8" xfId="682" xr:uid="{00000000-0005-0000-0000-000005050000}"/>
    <cellStyle name="Percent 8 2" xfId="1074" xr:uid="{00000000-0005-0000-0000-000006050000}"/>
    <cellStyle name="Percent 9" xfId="683" xr:uid="{00000000-0005-0000-0000-000007050000}"/>
    <cellStyle name="Percent 9 2" xfId="1075" xr:uid="{00000000-0005-0000-0000-000008050000}"/>
    <cellStyle name="Percentuale 10" xfId="684" xr:uid="{00000000-0005-0000-0000-000009050000}"/>
    <cellStyle name="Percentuale 10 2" xfId="1076" xr:uid="{00000000-0005-0000-0000-00000A050000}"/>
    <cellStyle name="Percentuale 11" xfId="685" xr:uid="{00000000-0005-0000-0000-00000B050000}"/>
    <cellStyle name="Percentuale 11 2" xfId="1077" xr:uid="{00000000-0005-0000-0000-00000C050000}"/>
    <cellStyle name="Percentuale 12" xfId="686" xr:uid="{00000000-0005-0000-0000-00000D050000}"/>
    <cellStyle name="Percentuale 12 2" xfId="1078" xr:uid="{00000000-0005-0000-0000-00000E050000}"/>
    <cellStyle name="Percentuale 13" xfId="687" xr:uid="{00000000-0005-0000-0000-00000F050000}"/>
    <cellStyle name="Percentuale 13 2" xfId="1079" xr:uid="{00000000-0005-0000-0000-000010050000}"/>
    <cellStyle name="Percentuale 2" xfId="688" xr:uid="{00000000-0005-0000-0000-000011050000}"/>
    <cellStyle name="Percentuale 2 2" xfId="689" xr:uid="{00000000-0005-0000-0000-000012050000}"/>
    <cellStyle name="Percentuale 3" xfId="690" xr:uid="{00000000-0005-0000-0000-000013050000}"/>
    <cellStyle name="Percentuale 3 2" xfId="691" xr:uid="{00000000-0005-0000-0000-000014050000}"/>
    <cellStyle name="Percentuale 4" xfId="692" xr:uid="{00000000-0005-0000-0000-000015050000}"/>
    <cellStyle name="Percentuale 5" xfId="693" xr:uid="{00000000-0005-0000-0000-000016050000}"/>
    <cellStyle name="Percentuale 5 2" xfId="1080" xr:uid="{00000000-0005-0000-0000-000017050000}"/>
    <cellStyle name="Percentuale 6" xfId="694" xr:uid="{00000000-0005-0000-0000-000018050000}"/>
    <cellStyle name="Percentuale 6 2" xfId="1081" xr:uid="{00000000-0005-0000-0000-000019050000}"/>
    <cellStyle name="Percentuale 7" xfId="695" xr:uid="{00000000-0005-0000-0000-00001A050000}"/>
    <cellStyle name="Percentuale 7 2" xfId="1082" xr:uid="{00000000-0005-0000-0000-00001B050000}"/>
    <cellStyle name="Percentuale 8" xfId="696" xr:uid="{00000000-0005-0000-0000-00001C050000}"/>
    <cellStyle name="Percentuale 8 2" xfId="1083" xr:uid="{00000000-0005-0000-0000-00001D050000}"/>
    <cellStyle name="Percentuale 9" xfId="697" xr:uid="{00000000-0005-0000-0000-00001E050000}"/>
    <cellStyle name="pivot item labels &amp; totals" xfId="698" xr:uid="{00000000-0005-0000-0000-00001F050000}"/>
    <cellStyle name="pivot nation" xfId="699" xr:uid="{00000000-0005-0000-0000-000020050000}"/>
    <cellStyle name="pivotdata" xfId="700" xr:uid="{00000000-0005-0000-0000-000021050000}"/>
    <cellStyle name="pivotdata 2" xfId="701" xr:uid="{00000000-0005-0000-0000-000022050000}"/>
    <cellStyle name="pivotdata_Cyprus en route fin 11 Nov - DUR" xfId="702" xr:uid="{00000000-0005-0000-0000-000023050000}"/>
    <cellStyle name="Pourcentage 2" xfId="1240" xr:uid="{00000000-0005-0000-0000-000024050000}"/>
    <cellStyle name="Pourcentage 3" xfId="1241" xr:uid="{00000000-0005-0000-0000-000025050000}"/>
    <cellStyle name="Pourcentage_tocmodel_final" xfId="703" xr:uid="{00000000-0005-0000-0000-000026050000}"/>
    <cellStyle name="Procent 2" xfId="704" xr:uid="{00000000-0005-0000-0000-000027050000}"/>
    <cellStyle name="Procent 2 2" xfId="705" xr:uid="{00000000-0005-0000-0000-000028050000}"/>
    <cellStyle name="Procent 2 2 2" xfId="1084" xr:uid="{00000000-0005-0000-0000-000029050000}"/>
    <cellStyle name="Procent 2 3" xfId="706" xr:uid="{00000000-0005-0000-0000-00002A050000}"/>
    <cellStyle name="Procent 3" xfId="707" xr:uid="{00000000-0005-0000-0000-00002B050000}"/>
    <cellStyle name="Procentowy 2" xfId="708" xr:uid="{00000000-0005-0000-0000-00002C050000}"/>
    <cellStyle name="Profile" xfId="709" xr:uid="{00000000-0005-0000-0000-00002D050000}"/>
    <cellStyle name="Prosentti 2" xfId="1242" xr:uid="{00000000-0005-0000-0000-00002E050000}"/>
    <cellStyle name="Prozent 2" xfId="710" xr:uid="{00000000-0005-0000-0000-00002F050000}"/>
    <cellStyle name="Prozent 2 2" xfId="711" xr:uid="{00000000-0005-0000-0000-000030050000}"/>
    <cellStyle name="Prozent 2 2 2" xfId="1086" xr:uid="{00000000-0005-0000-0000-000031050000}"/>
    <cellStyle name="Prozent 2 3" xfId="1085" xr:uid="{00000000-0005-0000-0000-000032050000}"/>
    <cellStyle name="ROA Ref" xfId="712" xr:uid="{00000000-0005-0000-0000-000033050000}"/>
    <cellStyle name="Rõhk1" xfId="713" xr:uid="{00000000-0005-0000-0000-000034050000}"/>
    <cellStyle name="Rõhk1 2" xfId="1243" xr:uid="{00000000-0005-0000-0000-000035050000}"/>
    <cellStyle name="Rõhk1 3" xfId="1244" xr:uid="{00000000-0005-0000-0000-000036050000}"/>
    <cellStyle name="Rõhk2" xfId="714" xr:uid="{00000000-0005-0000-0000-000037050000}"/>
    <cellStyle name="Rõhk2 2" xfId="1245" xr:uid="{00000000-0005-0000-0000-000038050000}"/>
    <cellStyle name="Rõhk2 3" xfId="1246" xr:uid="{00000000-0005-0000-0000-000039050000}"/>
    <cellStyle name="Rõhk3" xfId="715" xr:uid="{00000000-0005-0000-0000-00003A050000}"/>
    <cellStyle name="Rõhk3 2" xfId="1247" xr:uid="{00000000-0005-0000-0000-00003B050000}"/>
    <cellStyle name="Rõhk3 3" xfId="1248" xr:uid="{00000000-0005-0000-0000-00003C050000}"/>
    <cellStyle name="Rõhk4" xfId="716" xr:uid="{00000000-0005-0000-0000-00003D050000}"/>
    <cellStyle name="Rõhk4 2" xfId="1249" xr:uid="{00000000-0005-0000-0000-00003E050000}"/>
    <cellStyle name="Rõhk4 3" xfId="1250" xr:uid="{00000000-0005-0000-0000-00003F050000}"/>
    <cellStyle name="Rõhk5" xfId="717" xr:uid="{00000000-0005-0000-0000-000040050000}"/>
    <cellStyle name="Rõhk5 2" xfId="1251" xr:uid="{00000000-0005-0000-0000-000041050000}"/>
    <cellStyle name="Rõhk5 3" xfId="1252" xr:uid="{00000000-0005-0000-0000-000042050000}"/>
    <cellStyle name="Rõhk6" xfId="718" xr:uid="{00000000-0005-0000-0000-000043050000}"/>
    <cellStyle name="Rõhk6 2" xfId="1253" xr:uid="{00000000-0005-0000-0000-000044050000}"/>
    <cellStyle name="Rõhk6 3" xfId="1254" xr:uid="{00000000-0005-0000-0000-000045050000}"/>
    <cellStyle name="Rossz 2" xfId="1255" xr:uid="{00000000-0005-0000-0000-000046050000}"/>
    <cellStyle name="Rubrik" xfId="719" xr:uid="{00000000-0005-0000-0000-000047050000}"/>
    <cellStyle name="Rubrik 1" xfId="720" xr:uid="{00000000-0005-0000-0000-000048050000}"/>
    <cellStyle name="Rubrik 2" xfId="721" xr:uid="{00000000-0005-0000-0000-000049050000}"/>
    <cellStyle name="Rubrik 3" xfId="722" xr:uid="{00000000-0005-0000-0000-00004A050000}"/>
    <cellStyle name="Rubrik 4" xfId="723" xr:uid="{00000000-0005-0000-0000-00004B050000}"/>
    <cellStyle name="Rubrik_Table 2 Unit Rate" xfId="724" xr:uid="{00000000-0005-0000-0000-00004C050000}"/>
    <cellStyle name="Salida" xfId="725" xr:uid="{00000000-0005-0000-0000-00004D050000}"/>
    <cellStyle name="Salida 2" xfId="1541" xr:uid="{00000000-0005-0000-0000-00004E050000}"/>
    <cellStyle name="Salida 3" xfId="1498" xr:uid="{00000000-0005-0000-0000-00004F050000}"/>
    <cellStyle name="Sammenkædet celle" xfId="726" xr:uid="{00000000-0005-0000-0000-000050050000}"/>
    <cellStyle name="SAPBEXaggData" xfId="727" xr:uid="{00000000-0005-0000-0000-000051050000}"/>
    <cellStyle name="SAPBEXaggData 2" xfId="1542" xr:uid="{00000000-0005-0000-0000-000052050000}"/>
    <cellStyle name="SAPBEXaggData 3" xfId="1499" xr:uid="{00000000-0005-0000-0000-000053050000}"/>
    <cellStyle name="SAPBEXaggDataEmph" xfId="728" xr:uid="{00000000-0005-0000-0000-000054050000}"/>
    <cellStyle name="SAPBEXaggDataEmph 2" xfId="1543" xr:uid="{00000000-0005-0000-0000-000055050000}"/>
    <cellStyle name="SAPBEXaggDataEmph 3" xfId="1500" xr:uid="{00000000-0005-0000-0000-000056050000}"/>
    <cellStyle name="SAPBEXaggItem" xfId="729" xr:uid="{00000000-0005-0000-0000-000057050000}"/>
    <cellStyle name="SAPBEXaggItem 2" xfId="1544" xr:uid="{00000000-0005-0000-0000-000058050000}"/>
    <cellStyle name="SAPBEXaggItem 3" xfId="1501" xr:uid="{00000000-0005-0000-0000-000059050000}"/>
    <cellStyle name="SAPBEXaggItemX" xfId="730" xr:uid="{00000000-0005-0000-0000-00005A050000}"/>
    <cellStyle name="SAPBEXaggItemX 2" xfId="1545" xr:uid="{00000000-0005-0000-0000-00005B050000}"/>
    <cellStyle name="SAPBEXaggItemX 3" xfId="1502" xr:uid="{00000000-0005-0000-0000-00005C050000}"/>
    <cellStyle name="SAPBEXchaText" xfId="731" xr:uid="{00000000-0005-0000-0000-00005D050000}"/>
    <cellStyle name="SAPBEXchaText 2" xfId="1546" xr:uid="{00000000-0005-0000-0000-00005E050000}"/>
    <cellStyle name="SAPBEXchaText 3" xfId="1504" xr:uid="{00000000-0005-0000-0000-00005F050000}"/>
    <cellStyle name="SAPBEXexcBad7" xfId="732" xr:uid="{00000000-0005-0000-0000-000060050000}"/>
    <cellStyle name="SAPBEXexcBad7 2" xfId="1547" xr:uid="{00000000-0005-0000-0000-000061050000}"/>
    <cellStyle name="SAPBEXexcBad7 3" xfId="1505" xr:uid="{00000000-0005-0000-0000-000062050000}"/>
    <cellStyle name="SAPBEXexcBad8" xfId="733" xr:uid="{00000000-0005-0000-0000-000063050000}"/>
    <cellStyle name="SAPBEXexcBad8 2" xfId="1548" xr:uid="{00000000-0005-0000-0000-000064050000}"/>
    <cellStyle name="SAPBEXexcBad8 3" xfId="1506" xr:uid="{00000000-0005-0000-0000-000065050000}"/>
    <cellStyle name="SAPBEXexcBad9" xfId="734" xr:uid="{00000000-0005-0000-0000-000066050000}"/>
    <cellStyle name="SAPBEXexcBad9 2" xfId="1549" xr:uid="{00000000-0005-0000-0000-000067050000}"/>
    <cellStyle name="SAPBEXexcBad9 3" xfId="1507" xr:uid="{00000000-0005-0000-0000-000068050000}"/>
    <cellStyle name="SAPBEXexcCritical4" xfId="735" xr:uid="{00000000-0005-0000-0000-000069050000}"/>
    <cellStyle name="SAPBEXexcCritical4 2" xfId="1550" xr:uid="{00000000-0005-0000-0000-00006A050000}"/>
    <cellStyle name="SAPBEXexcCritical4 3" xfId="1508" xr:uid="{00000000-0005-0000-0000-00006B050000}"/>
    <cellStyle name="SAPBEXexcCritical5" xfId="736" xr:uid="{00000000-0005-0000-0000-00006C050000}"/>
    <cellStyle name="SAPBEXexcCritical5 2" xfId="1551" xr:uid="{00000000-0005-0000-0000-00006D050000}"/>
    <cellStyle name="SAPBEXexcCritical5 3" xfId="1509" xr:uid="{00000000-0005-0000-0000-00006E050000}"/>
    <cellStyle name="SAPBEXexcCritical6" xfId="737" xr:uid="{00000000-0005-0000-0000-00006F050000}"/>
    <cellStyle name="SAPBEXexcCritical6 2" xfId="1552" xr:uid="{00000000-0005-0000-0000-000070050000}"/>
    <cellStyle name="SAPBEXexcCritical6 3" xfId="1510" xr:uid="{00000000-0005-0000-0000-000071050000}"/>
    <cellStyle name="SAPBEXexcGood1" xfId="738" xr:uid="{00000000-0005-0000-0000-000072050000}"/>
    <cellStyle name="SAPBEXexcGood1 2" xfId="1553" xr:uid="{00000000-0005-0000-0000-000073050000}"/>
    <cellStyle name="SAPBEXexcGood1 3" xfId="1511" xr:uid="{00000000-0005-0000-0000-000074050000}"/>
    <cellStyle name="SAPBEXexcGood2" xfId="739" xr:uid="{00000000-0005-0000-0000-000075050000}"/>
    <cellStyle name="SAPBEXexcGood2 2" xfId="1554" xr:uid="{00000000-0005-0000-0000-000076050000}"/>
    <cellStyle name="SAPBEXexcGood2 3" xfId="1512" xr:uid="{00000000-0005-0000-0000-000077050000}"/>
    <cellStyle name="SAPBEXexcGood3" xfId="740" xr:uid="{00000000-0005-0000-0000-000078050000}"/>
    <cellStyle name="SAPBEXexcGood3 2" xfId="1555" xr:uid="{00000000-0005-0000-0000-000079050000}"/>
    <cellStyle name="SAPBEXexcGood3 3" xfId="1513" xr:uid="{00000000-0005-0000-0000-00007A050000}"/>
    <cellStyle name="SAPBEXfilterDrill" xfId="741" xr:uid="{00000000-0005-0000-0000-00007B050000}"/>
    <cellStyle name="SAPBEXfilterDrill 2" xfId="1556" xr:uid="{00000000-0005-0000-0000-00007C050000}"/>
    <cellStyle name="SAPBEXfilterDrill 3" xfId="1515" xr:uid="{00000000-0005-0000-0000-00007D050000}"/>
    <cellStyle name="SAPBEXfilterItem" xfId="742" xr:uid="{00000000-0005-0000-0000-00007E050000}"/>
    <cellStyle name="SAPBEXfilterItem 2" xfId="1557" xr:uid="{00000000-0005-0000-0000-00007F050000}"/>
    <cellStyle name="SAPBEXfilterItem 3" xfId="1516" xr:uid="{00000000-0005-0000-0000-000080050000}"/>
    <cellStyle name="SAPBEXfilterText" xfId="743" xr:uid="{00000000-0005-0000-0000-000081050000}"/>
    <cellStyle name="SAPBEXformats" xfId="744" xr:uid="{00000000-0005-0000-0000-000082050000}"/>
    <cellStyle name="SAPBEXformats 2" xfId="1558" xr:uid="{00000000-0005-0000-0000-000083050000}"/>
    <cellStyle name="SAPBEXformats 3" xfId="1517" xr:uid="{00000000-0005-0000-0000-000084050000}"/>
    <cellStyle name="SAPBEXheaderItem" xfId="745" xr:uid="{00000000-0005-0000-0000-000085050000}"/>
    <cellStyle name="SAPBEXheaderItem 2" xfId="1559" xr:uid="{00000000-0005-0000-0000-000086050000}"/>
    <cellStyle name="SAPBEXheaderItem 3" xfId="1518" xr:uid="{00000000-0005-0000-0000-000087050000}"/>
    <cellStyle name="SAPBEXheaderText" xfId="746" xr:uid="{00000000-0005-0000-0000-000088050000}"/>
    <cellStyle name="SAPBEXheaderText 2" xfId="1560" xr:uid="{00000000-0005-0000-0000-000089050000}"/>
    <cellStyle name="SAPBEXheaderText 3" xfId="1519" xr:uid="{00000000-0005-0000-0000-00008A050000}"/>
    <cellStyle name="SAPBEXHLevel0" xfId="747" xr:uid="{00000000-0005-0000-0000-00008B050000}"/>
    <cellStyle name="SAPBEXHLevel0 2" xfId="1561" xr:uid="{00000000-0005-0000-0000-00008C050000}"/>
    <cellStyle name="SAPBEXHLevel0 3" xfId="1520" xr:uid="{00000000-0005-0000-0000-00008D050000}"/>
    <cellStyle name="SAPBEXHLevel0X" xfId="748" xr:uid="{00000000-0005-0000-0000-00008E050000}"/>
    <cellStyle name="SAPBEXHLevel0X 2" xfId="1562" xr:uid="{00000000-0005-0000-0000-00008F050000}"/>
    <cellStyle name="SAPBEXHLevel0X 3" xfId="1600" xr:uid="{00000000-0005-0000-0000-000090050000}"/>
    <cellStyle name="SAPBEXHLevel1" xfId="749" xr:uid="{00000000-0005-0000-0000-000091050000}"/>
    <cellStyle name="SAPBEXHLevel1 2" xfId="1563" xr:uid="{00000000-0005-0000-0000-000092050000}"/>
    <cellStyle name="SAPBEXHLevel1 3" xfId="1521" xr:uid="{00000000-0005-0000-0000-000093050000}"/>
    <cellStyle name="SAPBEXHLevel1X" xfId="750" xr:uid="{00000000-0005-0000-0000-000094050000}"/>
    <cellStyle name="SAPBEXHLevel1X 2" xfId="1564" xr:uid="{00000000-0005-0000-0000-000095050000}"/>
    <cellStyle name="SAPBEXHLevel1X 3" xfId="1522" xr:uid="{00000000-0005-0000-0000-000096050000}"/>
    <cellStyle name="SAPBEXHLevel2" xfId="751" xr:uid="{00000000-0005-0000-0000-000097050000}"/>
    <cellStyle name="SAPBEXHLevel2 2" xfId="1565" xr:uid="{00000000-0005-0000-0000-000098050000}"/>
    <cellStyle name="SAPBEXHLevel2 3" xfId="1523" xr:uid="{00000000-0005-0000-0000-000099050000}"/>
    <cellStyle name="SAPBEXHLevel2X" xfId="752" xr:uid="{00000000-0005-0000-0000-00009A050000}"/>
    <cellStyle name="SAPBEXHLevel2X 2" xfId="1566" xr:uid="{00000000-0005-0000-0000-00009B050000}"/>
    <cellStyle name="SAPBEXHLevel2X 3" xfId="1524" xr:uid="{00000000-0005-0000-0000-00009C050000}"/>
    <cellStyle name="SAPBEXHLevel3" xfId="753" xr:uid="{00000000-0005-0000-0000-00009D050000}"/>
    <cellStyle name="SAPBEXHLevel3 2" xfId="1567" xr:uid="{00000000-0005-0000-0000-00009E050000}"/>
    <cellStyle name="SAPBEXHLevel3 3" xfId="1525" xr:uid="{00000000-0005-0000-0000-00009F050000}"/>
    <cellStyle name="SAPBEXHLevel3X" xfId="754" xr:uid="{00000000-0005-0000-0000-0000A0050000}"/>
    <cellStyle name="SAPBEXHLevel3X 2" xfId="1568" xr:uid="{00000000-0005-0000-0000-0000A1050000}"/>
    <cellStyle name="SAPBEXHLevel3X 3" xfId="1526" xr:uid="{00000000-0005-0000-0000-0000A2050000}"/>
    <cellStyle name="SAPBEXresData" xfId="755" xr:uid="{00000000-0005-0000-0000-0000A3050000}"/>
    <cellStyle name="SAPBEXresData 2" xfId="1569" xr:uid="{00000000-0005-0000-0000-0000A4050000}"/>
    <cellStyle name="SAPBEXresData 3" xfId="1527" xr:uid="{00000000-0005-0000-0000-0000A5050000}"/>
    <cellStyle name="SAPBEXresDataEmph" xfId="756" xr:uid="{00000000-0005-0000-0000-0000A6050000}"/>
    <cellStyle name="SAPBEXresDataEmph 2" xfId="1570" xr:uid="{00000000-0005-0000-0000-0000A7050000}"/>
    <cellStyle name="SAPBEXresDataEmph 3" xfId="1528" xr:uid="{00000000-0005-0000-0000-0000A8050000}"/>
    <cellStyle name="SAPBEXresItem" xfId="757" xr:uid="{00000000-0005-0000-0000-0000A9050000}"/>
    <cellStyle name="SAPBEXresItem 2" xfId="1571" xr:uid="{00000000-0005-0000-0000-0000AA050000}"/>
    <cellStyle name="SAPBEXresItem 3" xfId="1529" xr:uid="{00000000-0005-0000-0000-0000AB050000}"/>
    <cellStyle name="SAPBEXresItemX" xfId="758" xr:uid="{00000000-0005-0000-0000-0000AC050000}"/>
    <cellStyle name="SAPBEXresItemX 2" xfId="1572" xr:uid="{00000000-0005-0000-0000-0000AD050000}"/>
    <cellStyle name="SAPBEXresItemX 3" xfId="1530" xr:uid="{00000000-0005-0000-0000-0000AE050000}"/>
    <cellStyle name="SAPBEXstdData" xfId="759" xr:uid="{00000000-0005-0000-0000-0000AF050000}"/>
    <cellStyle name="SAPBEXstdData 2" xfId="1573" xr:uid="{00000000-0005-0000-0000-0000B0050000}"/>
    <cellStyle name="SAPBEXstdData 3" xfId="1531" xr:uid="{00000000-0005-0000-0000-0000B1050000}"/>
    <cellStyle name="SAPBEXstdDataEmph" xfId="760" xr:uid="{00000000-0005-0000-0000-0000B2050000}"/>
    <cellStyle name="SAPBEXstdDataEmph 2" xfId="1574" xr:uid="{00000000-0005-0000-0000-0000B3050000}"/>
    <cellStyle name="SAPBEXstdDataEmph 3" xfId="1532" xr:uid="{00000000-0005-0000-0000-0000B4050000}"/>
    <cellStyle name="SAPBEXstdItem" xfId="761" xr:uid="{00000000-0005-0000-0000-0000B5050000}"/>
    <cellStyle name="SAPBEXstdItem 2" xfId="1575" xr:uid="{00000000-0005-0000-0000-0000B6050000}"/>
    <cellStyle name="SAPBEXstdItem 3" xfId="1533" xr:uid="{00000000-0005-0000-0000-0000B7050000}"/>
    <cellStyle name="SAPBEXstdItemX" xfId="762" xr:uid="{00000000-0005-0000-0000-0000B8050000}"/>
    <cellStyle name="SAPBEXstdItemX 2" xfId="1576" xr:uid="{00000000-0005-0000-0000-0000B9050000}"/>
    <cellStyle name="SAPBEXstdItemX 3" xfId="1534" xr:uid="{00000000-0005-0000-0000-0000BA050000}"/>
    <cellStyle name="SAPBEXtitle" xfId="763" xr:uid="{00000000-0005-0000-0000-0000BB050000}"/>
    <cellStyle name="SAPBEXundefined" xfId="764" xr:uid="{00000000-0005-0000-0000-0000BC050000}"/>
    <cellStyle name="SAPBEXundefined 2" xfId="1577" xr:uid="{00000000-0005-0000-0000-0000BD050000}"/>
    <cellStyle name="SAPBEXundefined 3" xfId="1535" xr:uid="{00000000-0005-0000-0000-0000BE050000}"/>
    <cellStyle name="Satisfaisant" xfId="765" xr:uid="{00000000-0005-0000-0000-0000BF050000}"/>
    <cellStyle name="Satisfaisant 2" xfId="1256" xr:uid="{00000000-0005-0000-0000-0000C0050000}"/>
    <cellStyle name="Schlecht" xfId="766" xr:uid="{00000000-0005-0000-0000-0000C1050000}"/>
    <cellStyle name="Section_End" xfId="767" xr:uid="{00000000-0005-0000-0000-0000C2050000}"/>
    <cellStyle name="Selgitav tekst" xfId="768" xr:uid="{00000000-0005-0000-0000-0000C3050000}"/>
    <cellStyle name="Selgitav tekst 2" xfId="1257" xr:uid="{00000000-0005-0000-0000-0000C4050000}"/>
    <cellStyle name="Selgitav tekst 3" xfId="1258" xr:uid="{00000000-0005-0000-0000-0000C5050000}"/>
    <cellStyle name="Selittävä teksti" xfId="769" xr:uid="{00000000-0005-0000-0000-0000C6050000}"/>
    <cellStyle name="Semleges 2" xfId="1259" xr:uid="{00000000-0005-0000-0000-0000C7050000}"/>
    <cellStyle name="Sheet Done" xfId="770" xr:uid="{00000000-0005-0000-0000-0000C8050000}"/>
    <cellStyle name="Sisestus" xfId="771" xr:uid="{00000000-0005-0000-0000-0000C9050000}"/>
    <cellStyle name="Sisestus 2" xfId="1260" xr:uid="{00000000-0005-0000-0000-0000CA050000}"/>
    <cellStyle name="Sisestus 2 2" xfId="1578" xr:uid="{00000000-0005-0000-0000-0000CB050000}"/>
    <cellStyle name="Sisestus 3" xfId="1261" xr:uid="{00000000-0005-0000-0000-0000CC050000}"/>
    <cellStyle name="Skaičiavimas" xfId="772" xr:uid="{00000000-0005-0000-0000-0000CD050000}"/>
    <cellStyle name="Skaičiavimas 2" xfId="1579" xr:uid="{00000000-0005-0000-0000-0000CE050000}"/>
    <cellStyle name="Skaičiavimas 3" xfId="1536" xr:uid="{00000000-0005-0000-0000-0000CF050000}"/>
    <cellStyle name="Small" xfId="773" xr:uid="{00000000-0005-0000-0000-0000D0050000}"/>
    <cellStyle name="Sortie" xfId="774" xr:uid="{00000000-0005-0000-0000-0000D1050000}"/>
    <cellStyle name="Sortie 2" xfId="1262" xr:uid="{00000000-0005-0000-0000-0000D2050000}"/>
    <cellStyle name="Sortie 3" xfId="1537" xr:uid="{00000000-0005-0000-0000-0000D3050000}"/>
    <cellStyle name="Source Field - Green" xfId="775" xr:uid="{00000000-0005-0000-0000-0000D4050000}"/>
    <cellStyle name="Source Field - Green 2" xfId="1087" xr:uid="{00000000-0005-0000-0000-0000D5050000}"/>
    <cellStyle name="Standaard_BoQ Lot B2 Airfield Lighting" xfId="1263" xr:uid="{00000000-0005-0000-0000-0000D6050000}"/>
    <cellStyle name="Standard 2" xfId="776" xr:uid="{00000000-0005-0000-0000-0000D7050000}"/>
    <cellStyle name="Standard 3" xfId="777" xr:uid="{00000000-0005-0000-0000-0000D8050000}"/>
    <cellStyle name="Standard 4" xfId="778" xr:uid="{00000000-0005-0000-0000-0000D9050000}"/>
    <cellStyle name="Standard 4 2" xfId="1088" xr:uid="{00000000-0005-0000-0000-0000DA050000}"/>
    <cellStyle name="Standard,f,u" xfId="779" xr:uid="{00000000-0005-0000-0000-0000DB050000}"/>
    <cellStyle name="Standard,Helv 8" xfId="780" xr:uid="{00000000-0005-0000-0000-0000DC050000}"/>
    <cellStyle name="Standard_Agip_Zusammenfassung" xfId="781" xr:uid="{00000000-0005-0000-0000-0000DD050000}"/>
    <cellStyle name="Stile 1" xfId="782" xr:uid="{00000000-0005-0000-0000-0000DE050000}"/>
    <cellStyle name="Style 1" xfId="783" xr:uid="{00000000-0005-0000-0000-0000DF050000}"/>
    <cellStyle name="Sub totals" xfId="784" xr:uid="{00000000-0005-0000-0000-0000E0050000}"/>
    <cellStyle name="Sub totals 2" xfId="1604" xr:uid="{00000000-0005-0000-0000-0000E1050000}"/>
    <cellStyle name="Subtotal (line)" xfId="785" xr:uid="{00000000-0005-0000-0000-0000E2050000}"/>
    <cellStyle name="Suma" xfId="786" xr:uid="{00000000-0005-0000-0000-0000E3050000}"/>
    <cellStyle name="Suma 2" xfId="1580" xr:uid="{00000000-0005-0000-0000-0000E4050000}"/>
    <cellStyle name="Suma 3" xfId="1538" xr:uid="{00000000-0005-0000-0000-0000E5050000}"/>
    <cellStyle name="Summa" xfId="787" xr:uid="{00000000-0005-0000-0000-0000E6050000}"/>
    <cellStyle name="Summa 2" xfId="1581" xr:uid="{00000000-0005-0000-0000-0000E7050000}"/>
    <cellStyle name="Summa 3" xfId="1539" xr:uid="{00000000-0005-0000-0000-0000E8050000}"/>
    <cellStyle name="Susietas langelis" xfId="788" xr:uid="{00000000-0005-0000-0000-0000E9050000}"/>
    <cellStyle name="Syöttö" xfId="789" xr:uid="{00000000-0005-0000-0000-0000EA050000}"/>
    <cellStyle name="Syöttö 2" xfId="1582" xr:uid="{00000000-0005-0000-0000-0000EB050000}"/>
    <cellStyle name="Syöttö 3" xfId="1540" xr:uid="{00000000-0005-0000-0000-0000EC050000}"/>
    <cellStyle name="Számítás 2" xfId="1264" xr:uid="{00000000-0005-0000-0000-0000ED050000}"/>
    <cellStyle name="Százalék 2" xfId="1265" xr:uid="{00000000-0005-0000-0000-0000EE050000}"/>
    <cellStyle name="Százalék 3" xfId="1266" xr:uid="{00000000-0005-0000-0000-0000EF050000}"/>
    <cellStyle name="TableBorder" xfId="790" xr:uid="{00000000-0005-0000-0000-0000F0050000}"/>
    <cellStyle name="Tarkistussolu" xfId="791" xr:uid="{00000000-0005-0000-0000-0000F1050000}"/>
    <cellStyle name="Texte explicatif" xfId="792" xr:uid="{00000000-0005-0000-0000-0000F2050000}"/>
    <cellStyle name="Texte explicatif 2" xfId="1267" xr:uid="{00000000-0005-0000-0000-0000F3050000}"/>
    <cellStyle name="Texto de advertencia" xfId="793" xr:uid="{00000000-0005-0000-0000-0000F4050000}"/>
    <cellStyle name="Texto explicativo" xfId="794" xr:uid="{00000000-0005-0000-0000-0000F5050000}"/>
    <cellStyle name="Thousands" xfId="795" xr:uid="{00000000-0005-0000-0000-0000F6050000}"/>
    <cellStyle name="Tikrinimo langelis" xfId="796" xr:uid="{00000000-0005-0000-0000-0000F7050000}"/>
    <cellStyle name="Timeline Qtr" xfId="1291" xr:uid="{00000000-0005-0000-0000-0000F8050000}"/>
    <cellStyle name="TimeReport" xfId="797" xr:uid="{00000000-0005-0000-0000-0000F9050000}"/>
    <cellStyle name="Titel" xfId="798" xr:uid="{00000000-0005-0000-0000-0000FA050000}"/>
    <cellStyle name="Title 1" xfId="799" xr:uid="{00000000-0005-0000-0000-0000FB050000}"/>
    <cellStyle name="Title 2" xfId="800" xr:uid="{00000000-0005-0000-0000-0000FC050000}"/>
    <cellStyle name="Title 3" xfId="801" xr:uid="{00000000-0005-0000-0000-0000FD050000}"/>
    <cellStyle name="Title 4" xfId="802" xr:uid="{00000000-0005-0000-0000-0000FE050000}"/>
    <cellStyle name="Title 4 2" xfId="1295" xr:uid="{00000000-0005-0000-0000-0000FF050000}"/>
    <cellStyle name="Title 5" xfId="803" xr:uid="{00000000-0005-0000-0000-000000060000}"/>
    <cellStyle name="Titre" xfId="804" xr:uid="{00000000-0005-0000-0000-000001060000}"/>
    <cellStyle name="Titre 2" xfId="1268" xr:uid="{00000000-0005-0000-0000-000002060000}"/>
    <cellStyle name="Titre 1" xfId="805" xr:uid="{00000000-0005-0000-0000-000003060000}"/>
    <cellStyle name="Titre 1 2" xfId="1269" xr:uid="{00000000-0005-0000-0000-000004060000}"/>
    <cellStyle name="Titre 2" xfId="806" xr:uid="{00000000-0005-0000-0000-000005060000}"/>
    <cellStyle name="Titre 2 2" xfId="1270" xr:uid="{00000000-0005-0000-0000-000006060000}"/>
    <cellStyle name="Titre 3" xfId="807" xr:uid="{00000000-0005-0000-0000-000007060000}"/>
    <cellStyle name="Titre 3 2" xfId="1271" xr:uid="{00000000-0005-0000-0000-000008060000}"/>
    <cellStyle name="Titre 4" xfId="808" xr:uid="{00000000-0005-0000-0000-000009060000}"/>
    <cellStyle name="Titre 4 2" xfId="1272" xr:uid="{00000000-0005-0000-0000-00000A060000}"/>
    <cellStyle name="Titre_APPOGGIO 2010-2014" xfId="809" xr:uid="{00000000-0005-0000-0000-00000B060000}"/>
    <cellStyle name="Titulo" xfId="810" xr:uid="{00000000-0005-0000-0000-00000C060000}"/>
    <cellStyle name="Título" xfId="811" xr:uid="{00000000-0005-0000-0000-00000D060000}"/>
    <cellStyle name="Título 1" xfId="812" xr:uid="{00000000-0005-0000-0000-00000E060000}"/>
    <cellStyle name="Título 2" xfId="813" xr:uid="{00000000-0005-0000-0000-00000F060000}"/>
    <cellStyle name="Título 3" xfId="814" xr:uid="{00000000-0005-0000-0000-000010060000}"/>
    <cellStyle name="To" xfId="815" xr:uid="{00000000-0005-0000-0000-000011060000}"/>
    <cellStyle name="Total (line)" xfId="816" xr:uid="{00000000-0005-0000-0000-000012060000}"/>
    <cellStyle name="Total 2" xfId="817" xr:uid="{00000000-0005-0000-0000-000013060000}"/>
    <cellStyle name="Total 2 2" xfId="1590" xr:uid="{00000000-0005-0000-0000-000014060000}"/>
    <cellStyle name="Total 2 3" xfId="1583" xr:uid="{00000000-0005-0000-0000-000015060000}"/>
    <cellStyle name="Total 3" xfId="818" xr:uid="{00000000-0005-0000-0000-000016060000}"/>
    <cellStyle name="Total 3 2" xfId="1591" xr:uid="{00000000-0005-0000-0000-000017060000}"/>
    <cellStyle name="Total 3 3" xfId="1584" xr:uid="{00000000-0005-0000-0000-000018060000}"/>
    <cellStyle name="Total 4" xfId="819" xr:uid="{00000000-0005-0000-0000-000019060000}"/>
    <cellStyle name="Total 4 2" xfId="1592" xr:uid="{00000000-0005-0000-0000-00001A060000}"/>
    <cellStyle name="Total 4 3" xfId="1585" xr:uid="{00000000-0005-0000-0000-00001B060000}"/>
    <cellStyle name="Total 5" xfId="820" xr:uid="{00000000-0005-0000-0000-00001C060000}"/>
    <cellStyle name="Total 5 2" xfId="1593" xr:uid="{00000000-0005-0000-0000-00001D060000}"/>
    <cellStyle name="Total 5 3" xfId="1586" xr:uid="{00000000-0005-0000-0000-00001E060000}"/>
    <cellStyle name="Totals" xfId="821" xr:uid="{00000000-0005-0000-0000-00001F060000}"/>
    <cellStyle name="Totals 2" xfId="1594" xr:uid="{00000000-0005-0000-0000-000020060000}"/>
    <cellStyle name="Totals 3" xfId="1587" xr:uid="{00000000-0005-0000-0000-000021060000}"/>
    <cellStyle name="tr" xfId="822" xr:uid="{00000000-0005-0000-0000-000022060000}"/>
    <cellStyle name="Tulostus" xfId="823" xr:uid="{00000000-0005-0000-0000-000023060000}"/>
    <cellStyle name="Tulostus 2" xfId="1595" xr:uid="{00000000-0005-0000-0000-000024060000}"/>
    <cellStyle name="Tulostus 3" xfId="1588" xr:uid="{00000000-0005-0000-0000-000025060000}"/>
    <cellStyle name="Überschrift" xfId="824" xr:uid="{00000000-0005-0000-0000-000026060000}"/>
    <cellStyle name="Überschrift 1" xfId="825" xr:uid="{00000000-0005-0000-0000-000027060000}"/>
    <cellStyle name="Überschrift 2" xfId="826" xr:uid="{00000000-0005-0000-0000-000028060000}"/>
    <cellStyle name="Überschrift 3" xfId="827" xr:uid="{00000000-0005-0000-0000-000029060000}"/>
    <cellStyle name="Überschrift 4" xfId="828" xr:uid="{00000000-0005-0000-0000-00002A060000}"/>
    <cellStyle name="Überschrift_CRCO_macros" xfId="829" xr:uid="{00000000-0005-0000-0000-00002B060000}"/>
    <cellStyle name="Ugyldig" xfId="830" xr:uid="{00000000-0005-0000-0000-00002C060000}"/>
    <cellStyle name="Under Construction Flag" xfId="831" xr:uid="{00000000-0005-0000-0000-00002D060000}"/>
    <cellStyle name="Under Construction Flag 2" xfId="1090" xr:uid="{00000000-0005-0000-0000-00002E060000}"/>
    <cellStyle name="UserInstructions" xfId="832" xr:uid="{00000000-0005-0000-0000-00002F060000}"/>
    <cellStyle name="Utdata" xfId="833" xr:uid="{00000000-0005-0000-0000-000030060000}"/>
    <cellStyle name="Utdata 2" xfId="1597" xr:uid="{00000000-0005-0000-0000-000031060000}"/>
    <cellStyle name="Utdata 3" xfId="1589" xr:uid="{00000000-0005-0000-0000-000032060000}"/>
    <cellStyle name="Väljund" xfId="834" xr:uid="{00000000-0005-0000-0000-000033060000}"/>
    <cellStyle name="Väljund 2" xfId="1273" xr:uid="{00000000-0005-0000-0000-000034060000}"/>
    <cellStyle name="Väljund 2 2" xfId="1598" xr:uid="{00000000-0005-0000-0000-000035060000}"/>
    <cellStyle name="Väljund 3" xfId="1274" xr:uid="{00000000-0005-0000-0000-000036060000}"/>
    <cellStyle name="Valuta (0)_Brazil" xfId="835" xr:uid="{00000000-0005-0000-0000-000037060000}"/>
    <cellStyle name="Valuta 2" xfId="836" xr:uid="{00000000-0005-0000-0000-000038060000}"/>
    <cellStyle name="Varningstext" xfId="837" xr:uid="{00000000-0005-0000-0000-000039060000}"/>
    <cellStyle name="Varoitusteksti" xfId="838" xr:uid="{00000000-0005-0000-0000-00003A060000}"/>
    <cellStyle name="Vérification" xfId="839" xr:uid="{00000000-0005-0000-0000-00003B060000}"/>
    <cellStyle name="Vérification 2" xfId="1275" xr:uid="{00000000-0005-0000-0000-00003C060000}"/>
    <cellStyle name="Verknüpfte Zelle" xfId="840" xr:uid="{00000000-0005-0000-0000-00003D060000}"/>
    <cellStyle name="Very Large" xfId="841" xr:uid="{00000000-0005-0000-0000-00003E060000}"/>
    <cellStyle name="Währung [0]_aM120029" xfId="842" xr:uid="{00000000-0005-0000-0000-00003F060000}"/>
    <cellStyle name="Währung_aM120029" xfId="843" xr:uid="{00000000-0005-0000-0000-000040060000}"/>
    <cellStyle name="Warnender Text" xfId="844" xr:uid="{00000000-0005-0000-0000-000041060000}"/>
    <cellStyle name="Warning Text 2" xfId="845" xr:uid="{00000000-0005-0000-0000-000042060000}"/>
    <cellStyle name="WingDings" xfId="846" xr:uid="{00000000-0005-0000-0000-000043060000}"/>
    <cellStyle name="WIP" xfId="847" xr:uid="{00000000-0005-0000-0000-000044060000}"/>
    <cellStyle name="Zelle überprüfen" xfId="848" xr:uid="{00000000-0005-0000-0000-000045060000}"/>
  </cellStyles>
  <dxfs count="765">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theme="0" tint="-0.499984740745262"/>
      </font>
      <fill>
        <patternFill>
          <bgColor rgb="FFFFFF99"/>
        </patternFill>
      </fill>
    </dxf>
    <dxf>
      <font>
        <color rgb="FFFF0000"/>
      </font>
      <fill>
        <patternFill>
          <bgColor rgb="FFFF99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
      <font>
        <color theme="0" tint="-0.499984740745262"/>
      </font>
      <fill>
        <patternFill>
          <bgColor theme="0"/>
        </patternFill>
      </fill>
    </dxf>
    <dxf>
      <font>
        <color rgb="FF006100"/>
      </font>
      <fill>
        <patternFill>
          <bgColor rgb="FF99FF99"/>
        </patternFill>
      </fill>
    </dxf>
    <dxf>
      <font>
        <color rgb="FFFF0000"/>
      </font>
      <fill>
        <patternFill>
          <bgColor rgb="FFFF9999"/>
        </patternFill>
      </fill>
    </dxf>
    <dxf>
      <font>
        <color theme="0" tint="-0.499984740745262"/>
      </font>
      <fill>
        <patternFill>
          <bgColor rgb="FFFFFF99"/>
        </patternFill>
      </fill>
    </dxf>
    <dxf>
      <font>
        <color rgb="FFFF0000"/>
      </font>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HBRUNA30\dgof-pru$\TEMP\ENROUTE_00_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HBRUNA30\dgof-pru$\LS\A\Ae\Fakturering\&#197;rsfakturering\2008\Masterfiler%202008\Flygskolor%202008\FTO%20Faktureringsunderlag%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5-paris-dna\VOL1\TEMP\ENROUTE_00_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HBRUNA30\dgof-pru$\TEMP\unit%20rate%20tables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HBRUNA30\dgof-pru$\RRIDER\COSTBASE\2000\final\2000final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F"/>
      <sheetName val="texts"/>
      <sheetName val="view"/>
      <sheetName val="exploitation"/>
      <sheetName val="base_en_route"/>
      <sheetName val="finances"/>
      <sheetName val="calcul"/>
      <sheetName val="EUR"/>
      <sheetName val="verif_99"/>
      <sheetName val="prev00_3"/>
      <sheetName val="prev01_1"/>
      <sheetName val="COL1"/>
      <sheetName val="COL2"/>
      <sheetName val="COL3"/>
      <sheetName val="COL4"/>
      <sheetName val="COL5"/>
      <sheetName val="COL6"/>
      <sheetName val="COL7"/>
      <sheetName val="COL8"/>
      <sheetName val="HY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rways Flygutbildning Svenska "/>
      <sheetName val="Arlanda Helicopter AB"/>
      <sheetName val="BF Scand. Aviation Academy AB"/>
      <sheetName val="Flygteoriskolan Barkarby AB"/>
      <sheetName val="Flyguppdraget Backamo AB"/>
      <sheetName val="Kungsair Training AB"/>
      <sheetName val="Lid Air AB"/>
      <sheetName val="Linköpings Flygklubb"/>
      <sheetName val="Lunds Universitet Trafikflygsko"/>
      <sheetName val="Norrlandsflyg AB"/>
      <sheetName val="Proflight Nordic AB"/>
      <sheetName val="Sturup IFR AB"/>
      <sheetName val="Svenska Pilotutbildning AB"/>
      <sheetName val="Flight Crew Traning Sw AB"/>
      <sheetName val="Rikskriminalpolisen, polisflyge"/>
      <sheetName val="Nytt företag"/>
      <sheetName val="Nytt företag 2"/>
      <sheetName val="Nytt företag 3"/>
      <sheetName val="Nytt företag 4"/>
      <sheetName val="Nytt företag 5"/>
      <sheetName val="Nytt företag 6"/>
      <sheetName val="Nytt företag 7"/>
      <sheetName val="Nytt företag 8"/>
      <sheetName val="Nytt företag 9"/>
      <sheetName val="Indata Flygskolor"/>
      <sheetName val="Airways_Flygutbildning_Svenska_"/>
      <sheetName val="Arlanda_Helicopter_AB"/>
      <sheetName val="BF_Scand__Aviation_Academy_AB"/>
      <sheetName val="Flygteoriskolan_Barkarby_AB"/>
      <sheetName val="Flyguppdraget_Backamo_AB"/>
      <sheetName val="Kungsair_Training_AB"/>
      <sheetName val="Lid_Air_AB"/>
      <sheetName val="Linköpings_Flygklubb"/>
      <sheetName val="Lunds_Universitet_Trafikflygsko"/>
      <sheetName val="Norrlandsflyg_AB"/>
      <sheetName val="Proflight_Nordic_AB"/>
      <sheetName val="Sturup_IFR_AB"/>
      <sheetName val="Svenska_Pilotutbildning_AB"/>
      <sheetName val="Flight_Crew_Traning_Sw_AB"/>
      <sheetName val="Rikskriminalpolisen,_polisflyge"/>
      <sheetName val="Nytt_företag"/>
      <sheetName val="Nytt_företag_2"/>
      <sheetName val="Nytt_företag_3"/>
      <sheetName val="Nytt_företag_4"/>
      <sheetName val="Nytt_företag_5"/>
      <sheetName val="Nytt_företag_6"/>
      <sheetName val="Nytt_företag_7"/>
      <sheetName val="Nytt_företag_8"/>
      <sheetName val="Nytt_företag_9"/>
      <sheetName val="Indata_Flygskol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xts"/>
      <sheetName val="view"/>
      <sheetName val="exploitation"/>
      <sheetName val="base_en_route"/>
      <sheetName val="finances"/>
      <sheetName val="calcul"/>
      <sheetName val="EUR"/>
      <sheetName val="BEF"/>
      <sheetName val="verif_99"/>
      <sheetName val="prev00_3"/>
      <sheetName val="prev01_1"/>
      <sheetName val="COL1"/>
      <sheetName val="COL2"/>
      <sheetName val="COL3"/>
      <sheetName val="COL4"/>
      <sheetName val="COL5"/>
      <sheetName val="COL6"/>
      <sheetName val="COL7"/>
      <sheetName val="COL8"/>
      <sheetName val="HY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inputs"/>
      <sheetName val="BEF"/>
    </sheetNames>
    <sheetDataSet>
      <sheetData sheetId="0"/>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control detail"/>
      <sheetName val="DETR"/>
      <sheetName val="Rate composition"/>
      <sheetName val="forecasts and actuals"/>
      <sheetName val="implied rate 2000 Qtr2"/>
      <sheetName val="implied rate 2000 Qtr2R)"/>
      <sheetName val=" rate 2000 Qtr2 readjusted"/>
      <sheetName val="IE recalculation BP"/>
      <sheetName val="IE treatment"/>
      <sheetName val="Inflation"/>
      <sheetName val="Slide 3"/>
      <sheetName val="Slide 4"/>
      <sheetName val="Schedule 1 EC paper"/>
      <sheetName val="Schedule 2 EC paper"/>
      <sheetName val="Schedule 1 cons paper "/>
      <sheetName val="Schedule 2 cons paper"/>
      <sheetName val="Summary - Schedule 3 cons"/>
      <sheetName val="1999 var cons - Schedule 4 "/>
      <sheetName val="2000 var cons - Schedule 5"/>
      <sheetName val="Summary - Schedule 3"/>
      <sheetName val="Cost bases"/>
      <sheetName val="UKATS presentation phasing"/>
      <sheetName val="Forecast"/>
      <sheetName val="Bases"/>
      <sheetName val="UKATS"/>
      <sheetName val="Summary results"/>
      <sheetName val="Agency costs data"/>
      <sheetName val="Agency costs - history"/>
      <sheetName val="Agency costs"/>
      <sheetName val="97decact"/>
      <sheetName val="98maract"/>
      <sheetName val="99marbud"/>
      <sheetName val="98decact"/>
      <sheetName val="tblMapDescriptions"/>
      <sheetName val="qry99MarEnRoute"/>
      <sheetName val="qrybudget2000"/>
      <sheetName val="timetable"/>
      <sheetName val="Forecasts and B plans"/>
      <sheetName val="Eurocontrol_detail"/>
      <sheetName val="Rate_composition"/>
      <sheetName val="forecasts_and_actuals"/>
      <sheetName val="implied_rate_2000_Qtr2"/>
      <sheetName val="implied_rate_2000_Qtr2R)"/>
      <sheetName val="_rate_2000_Qtr2_readjusted"/>
      <sheetName val="IE_recalculation_BP"/>
      <sheetName val="IE_treatment"/>
      <sheetName val="Slide_3"/>
      <sheetName val="Slide_4"/>
      <sheetName val="Schedule_1_EC_paper"/>
      <sheetName val="Schedule_2_EC_paper"/>
      <sheetName val="Schedule_1_cons_paper_"/>
      <sheetName val="Schedule_2_cons_paper"/>
      <sheetName val="Summary_-_Schedule_3_cons"/>
      <sheetName val="1999_var_cons_-_Schedule_4_"/>
      <sheetName val="2000_var_cons_-_Schedule_5"/>
      <sheetName val="Summary_-_Schedule_3"/>
      <sheetName val="Cost_bases"/>
      <sheetName val="UKATS_presentation_phasing"/>
      <sheetName val="Summary_results"/>
      <sheetName val="Agency_costs_data"/>
      <sheetName val="Agency_costs_-_history"/>
      <sheetName val="Agency_costs"/>
      <sheetName val="Forecasts_and_B_plans"/>
      <sheetName val="IV dir._Technosky_2011"/>
      <sheetName val="IV dir._Technosky_201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persons/person.xml><?xml version="1.0" encoding="utf-8"?>
<personList xmlns="http://schemas.microsoft.com/office/spreadsheetml/2018/threadedcomments" xmlns:x="http://schemas.openxmlformats.org/spreadsheetml/2006/main">
  <person displayName="Bronwyn Fraser" id="{49823F74-6621-4D64-B739-2D4912C3923E}" userId="S::Bronwyn.Fraser@caa.co.uk::d9e67d55-5e36-4347-97cc-2d37966eac5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U64" dT="2022-06-23T07:17:28.43" personId="{49823F74-6621-4D64-B739-2D4912C3923E}" id="{C530955E-528F-4141-8E5A-4E37CDBBCD7E}">
    <text>Source: https://eur03.safelinks.protection.outlook.com/?url=https%3A%2F%2Fwww.imf.org%2Fen%2FPublications%2FWEO%2Fweo-database%2F2022%2FApril%2Fweo-report%3Fc%3D112%2C%26s%3DPCPIPCH%2C%26sy%3D2017%26ey%3D2027%26ssm%3D0%26scsm%3D1%26scc%3D0%26ssd%3D1%26ssc%3D0%26sic%3D0%26sort%3Dcountry%26ds%3D.%26br%3D1&amp;data=05%7C01%7CBronwyn.Fraser%40caa.co.uk%7Cbd71588c0f094b32c30108da4eca9632%7Cc4edd5ba10c34fe3946a7c9c446ab8c8%7C0%7C0%7C637908929541602752%7CUnknown%7CTWFpbGZsb3d8eyJWIjoiMC4wLjAwMDAiLCJQIjoiV2luMzIiLCJBTiI6Ik1haWwiLCJXVCI6Mn0%3D%7C3000%7C%7C%7C&amp;sdata=GK4bvaUOhid72G8VCvksSifnCnqFPmmSVQBu1Ph%2FZRw%3D&amp;reserved=0</text>
  </threadedComment>
  <threadedComment ref="U68" dT="2022-06-23T07:10:04.13" personId="{49823F74-6621-4D64-B739-2D4912C3923E}" id="{4D39483F-5207-46D9-AEC7-AD1785727B5D}">
    <text>As per p14 of CRCO Report 2021, requested to be amended by CRCO</text>
  </threadedComment>
</ThreadedComments>
</file>

<file path=xl/threadedComments/threadedComment2.xml><?xml version="1.0" encoding="utf-8"?>
<ThreadedComments xmlns="http://schemas.microsoft.com/office/spreadsheetml/2018/threadedcomments" xmlns:x="http://schemas.openxmlformats.org/spreadsheetml/2006/main">
  <threadedComment ref="R55" dT="2022-05-31T11:10:33.22" personId="{49823F74-6621-4D64-B739-2D4912C3923E}" id="{EC9C38AF-F72E-44B1-9746-754A6BB25848}">
    <text>No 2027 forecast available at present, so 2026 forecast figure has been used as a placeholder until further forecast is made available</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pageSetUpPr fitToPage="1"/>
  </sheetPr>
  <dimension ref="A1:AD730"/>
  <sheetViews>
    <sheetView showGridLines="0" zoomScale="70" zoomScaleNormal="70" workbookViewId="0">
      <pane xSplit="4" topLeftCell="E1" activePane="topRight" state="frozen"/>
      <selection activeCell="A616" sqref="A616"/>
      <selection pane="topRight" activeCell="E1" sqref="E1"/>
    </sheetView>
  </sheetViews>
  <sheetFormatPr defaultColWidth="9.5703125" defaultRowHeight="15" outlineLevelRow="1"/>
  <cols>
    <col min="1" max="1" width="9.5703125" style="211" customWidth="1"/>
    <col min="2" max="2" width="5.85546875" style="212" bestFit="1" customWidth="1"/>
    <col min="3" max="3" width="95" style="163" customWidth="1"/>
    <col min="4" max="4" width="8.7109375" style="162" customWidth="1"/>
    <col min="5" max="12" width="11" style="162" customWidth="1"/>
    <col min="13" max="17" width="11" style="163" customWidth="1"/>
    <col min="18" max="18" width="2.140625" style="163" customWidth="1"/>
    <col min="19" max="23" width="11" style="163" customWidth="1"/>
    <col min="24" max="16384" width="9.5703125" style="163"/>
  </cols>
  <sheetData>
    <row r="1" spans="1:23">
      <c r="A1" s="1573" t="s">
        <v>0</v>
      </c>
      <c r="B1" s="1573"/>
      <c r="C1" s="1573"/>
    </row>
    <row r="2" spans="1:23">
      <c r="A2" s="1574" t="b">
        <v>1</v>
      </c>
      <c r="B2" s="1574"/>
      <c r="C2" s="164" t="s">
        <v>1</v>
      </c>
    </row>
    <row r="3" spans="1:23">
      <c r="A3" s="1575" t="b">
        <v>1</v>
      </c>
      <c r="B3" s="1575"/>
      <c r="C3" s="164" t="s">
        <v>2</v>
      </c>
    </row>
    <row r="4" spans="1:23">
      <c r="A4" s="1576" t="b">
        <v>0</v>
      </c>
      <c r="B4" s="1576"/>
      <c r="C4" s="164" t="s">
        <v>3</v>
      </c>
    </row>
    <row r="5" spans="1:23">
      <c r="A5" s="1575" t="b">
        <v>0</v>
      </c>
      <c r="B5" s="1575"/>
      <c r="C5" s="164" t="s">
        <v>4</v>
      </c>
    </row>
    <row r="6" spans="1:23">
      <c r="A6" s="1572" t="s">
        <v>5</v>
      </c>
      <c r="B6" s="1572"/>
      <c r="C6" s="164" t="s">
        <v>6</v>
      </c>
    </row>
    <row r="7" spans="1:23">
      <c r="A7" s="1577" t="s">
        <v>7</v>
      </c>
      <c r="B7" s="1577"/>
      <c r="C7" s="164" t="s">
        <v>8</v>
      </c>
    </row>
    <row r="8" spans="1:23" ht="14.45" customHeight="1">
      <c r="A8" s="165"/>
      <c r="B8" s="166"/>
      <c r="C8" s="167"/>
      <c r="D8" s="168"/>
      <c r="E8" s="1565" t="s">
        <v>9</v>
      </c>
      <c r="F8" s="1566"/>
      <c r="G8" s="1566"/>
      <c r="H8" s="1566"/>
      <c r="I8" s="1566"/>
      <c r="J8" s="1566"/>
      <c r="K8" s="1566"/>
      <c r="L8" s="1567"/>
      <c r="M8" s="1579" t="s">
        <v>10</v>
      </c>
      <c r="N8" s="1579"/>
      <c r="O8" s="1579"/>
      <c r="P8" s="1579"/>
      <c r="Q8" s="1579"/>
      <c r="S8" s="1565" t="s">
        <v>9</v>
      </c>
      <c r="T8" s="1566"/>
      <c r="U8" s="1566"/>
      <c r="V8" s="1566"/>
      <c r="W8" s="1567"/>
    </row>
    <row r="9" spans="1:23" ht="24">
      <c r="A9" s="1578" t="s">
        <v>11</v>
      </c>
      <c r="B9" s="1578"/>
      <c r="C9" s="1578"/>
      <c r="D9" s="169" t="s">
        <v>12</v>
      </c>
      <c r="E9" s="213">
        <v>2012</v>
      </c>
      <c r="F9" s="171">
        <v>2013</v>
      </c>
      <c r="G9" s="171">
        <v>2014</v>
      </c>
      <c r="H9" s="171">
        <v>2015</v>
      </c>
      <c r="I9" s="171">
        <v>2016</v>
      </c>
      <c r="J9" s="171">
        <v>2017</v>
      </c>
      <c r="K9" s="171">
        <v>2018</v>
      </c>
      <c r="L9" s="214">
        <v>2019</v>
      </c>
      <c r="M9" s="170">
        <v>2020</v>
      </c>
      <c r="N9" s="171">
        <v>2021</v>
      </c>
      <c r="O9" s="171">
        <v>2022</v>
      </c>
      <c r="P9" s="171">
        <v>2023</v>
      </c>
      <c r="Q9" s="172">
        <v>2024</v>
      </c>
      <c r="S9" s="170">
        <v>2020</v>
      </c>
      <c r="T9" s="171">
        <v>2021</v>
      </c>
      <c r="U9" s="171">
        <v>2022</v>
      </c>
      <c r="V9" s="171">
        <v>2023</v>
      </c>
      <c r="W9" s="172">
        <v>2024</v>
      </c>
    </row>
    <row r="10" spans="1:23" s="178" customFormat="1" ht="21" customHeight="1">
      <c r="A10" s="173" t="s">
        <v>13</v>
      </c>
      <c r="B10" s="174" t="s">
        <v>14</v>
      </c>
      <c r="C10" s="175" t="s">
        <v>15</v>
      </c>
      <c r="D10" s="176"/>
      <c r="E10" s="177"/>
      <c r="F10" s="177"/>
      <c r="G10" s="177"/>
      <c r="H10" s="177"/>
      <c r="I10" s="177"/>
      <c r="J10" s="177"/>
      <c r="K10" s="177"/>
      <c r="L10" s="177"/>
      <c r="M10" s="177"/>
      <c r="N10" s="177"/>
      <c r="O10" s="177"/>
      <c r="P10" s="177"/>
      <c r="Q10" s="177"/>
      <c r="R10" s="163"/>
      <c r="S10" s="177"/>
      <c r="T10" s="177"/>
      <c r="U10" s="177"/>
      <c r="V10" s="177"/>
      <c r="W10" s="177"/>
    </row>
    <row r="11" spans="1:23" s="184" customFormat="1" ht="15" customHeight="1">
      <c r="A11" s="179" t="s">
        <v>16</v>
      </c>
      <c r="B11" s="180" t="s">
        <v>17</v>
      </c>
      <c r="C11" s="181" t="s">
        <v>18</v>
      </c>
      <c r="D11" s="182">
        <v>3</v>
      </c>
      <c r="E11" s="183" t="b">
        <f>ROUND('T1'!C61,$D$11)=ROUND('T1 ANSP'!C61+'T1 MET'!C61+'T1 NSA'!C61,$D$11)</f>
        <v>1</v>
      </c>
      <c r="F11" s="183" t="b">
        <f>ROUND('T1'!D61,$D$11)=ROUND('T1 ANSP'!D61+'T1 MET'!D61+'T1 NSA'!D61,$D$11)</f>
        <v>1</v>
      </c>
      <c r="G11" s="183" t="b">
        <f>ROUND('T1'!E61,$D$11)=ROUND('T1 ANSP'!E61+'T1 MET'!E61+'T1 NSA'!E61,$D$11)</f>
        <v>1</v>
      </c>
      <c r="H11" s="183" t="b">
        <f>ROUND('T1'!F61,$D$11)=ROUND('T1 ANSP'!F61+'T1 MET'!F61+'T1 NSA'!F61,$D$11)</f>
        <v>1</v>
      </c>
      <c r="I11" s="183" t="b">
        <f>ROUND('T1'!G61,$D$11)=ROUND('T1 ANSP'!G61+'T1 MET'!G61+'T1 NSA'!G61,$D$11)</f>
        <v>1</v>
      </c>
      <c r="J11" s="183" t="b">
        <f>ROUND('T1'!H61,$D$11)=ROUND('T1 ANSP'!H61+'T1 MET'!H61+'T1 NSA'!H61,$D$11)</f>
        <v>1</v>
      </c>
      <c r="K11" s="183" t="b">
        <f>ROUND('T1'!I61,$D$11)=ROUND('T1 ANSP'!I61+'T1 MET'!I61+'T1 NSA'!I61,$D$11)</f>
        <v>1</v>
      </c>
      <c r="L11" s="183" t="b">
        <f>ROUND('T1'!J61,$D$11)=ROUND('T1 ANSP'!J61+'T1 MET'!J61+'T1 NSA'!J61,$D$11)</f>
        <v>1</v>
      </c>
      <c r="M11" s="183" t="b">
        <f>ROUND('T1'!K61,$D$11)=ROUND('T1 ANSP'!K61+'T1 MET'!K61+'T1 NSA'!K61,$D$11)</f>
        <v>1</v>
      </c>
      <c r="N11" s="183" t="b">
        <f>ROUND('T1'!L61,$D$11)=ROUND('T1 ANSP'!L61+'T1 MET'!L61+'T1 NSA'!L61,$D$11)</f>
        <v>1</v>
      </c>
      <c r="O11" s="183" t="b">
        <f>ROUND('T1'!M61,$D$11)=ROUND('T1 ANSP'!M61+'T1 MET'!M61+'T1 NSA'!M61,$D$11)</f>
        <v>1</v>
      </c>
      <c r="P11" s="183" t="b">
        <f>ROUND('T1'!N61,$D$11)=ROUND('T1 ANSP'!N61+'T1 MET'!N61+'T1 NSA'!N61,$D$11)</f>
        <v>1</v>
      </c>
      <c r="Q11" s="183" t="b">
        <f>ROUND('T1'!O61,$D$11)=ROUND('T1 ANSP'!O61+'T1 MET'!O61+'T1 NSA'!O61,$D$11)</f>
        <v>1</v>
      </c>
      <c r="R11" s="163"/>
      <c r="S11" s="183" t="b">
        <f>ROUND('T1'!T61,$D$11)=ROUND('T1 ANSP'!T61+'T1 MET'!T61+'T1 NSA'!T61,$D$11)</f>
        <v>1</v>
      </c>
      <c r="T11" s="183" t="b">
        <f>ROUND('T1'!U61,$D$11)=ROUND('T1 ANSP'!U61+'T1 MET'!U61+'T1 NSA'!U61,$D$11)</f>
        <v>1</v>
      </c>
    </row>
    <row r="12" spans="1:23" s="190" customFormat="1" ht="15" customHeight="1" outlineLevel="1">
      <c r="A12" s="185"/>
      <c r="B12" s="186"/>
      <c r="C12" s="187" t="s">
        <v>19</v>
      </c>
      <c r="D12" s="188"/>
      <c r="E12" s="878">
        <f>ROUND('T1'!C61,$D$11)</f>
        <v>658740.66500000004</v>
      </c>
      <c r="F12" s="878">
        <f>ROUND('T1'!D61,$D$11)</f>
        <v>724832.527</v>
      </c>
      <c r="G12" s="878">
        <f>ROUND('T1'!E61,$D$11)</f>
        <v>669901.15599999996</v>
      </c>
      <c r="H12" s="878">
        <f>ROUND('T1'!F61,$D$11)</f>
        <v>657371.51399999997</v>
      </c>
      <c r="I12" s="878">
        <f>ROUND('T1'!G61,$D$11)</f>
        <v>666364.99800000002</v>
      </c>
      <c r="J12" s="878">
        <f>ROUND('T1'!H61,$D$11)</f>
        <v>660595.57999999996</v>
      </c>
      <c r="K12" s="878">
        <f>ROUND('T1'!I61,$D$11)</f>
        <v>694359.07900000003</v>
      </c>
      <c r="L12" s="878">
        <f>ROUND('T1'!J61,$D$11)</f>
        <v>709493.71799999999</v>
      </c>
      <c r="M12" s="878">
        <f>ROUND('T1'!K61,$D$11)</f>
        <v>790418.9</v>
      </c>
      <c r="N12" s="878">
        <f>ROUND('T1'!L61,$D$11)</f>
        <v>775027.03399999999</v>
      </c>
      <c r="O12" s="878">
        <f>ROUND('T1'!M61,$D$11)</f>
        <v>790935.59299999999</v>
      </c>
      <c r="P12" s="878">
        <f>ROUND('T1'!N61,$D$11)</f>
        <v>813438.897</v>
      </c>
      <c r="Q12" s="878">
        <f>ROUND('T1'!O61,$D$11)</f>
        <v>854052.39599999995</v>
      </c>
      <c r="R12" s="163"/>
      <c r="S12" s="878">
        <f>ROUND('T1'!T61,$D$11)</f>
        <v>772193.07299999997</v>
      </c>
      <c r="T12" s="878">
        <f>ROUND('T1'!U61,$D$11)</f>
        <v>644352.72900000005</v>
      </c>
    </row>
    <row r="13" spans="1:23" s="190" customFormat="1" ht="15" customHeight="1" outlineLevel="1">
      <c r="A13" s="185"/>
      <c r="B13" s="186"/>
      <c r="C13" s="187" t="s">
        <v>20</v>
      </c>
      <c r="D13" s="188"/>
      <c r="E13" s="878">
        <f>ROUND('T1 ANSP'!C61+'T1 MET'!C61+'T1 NSA'!C61,$D$11)</f>
        <v>658740.66500000004</v>
      </c>
      <c r="F13" s="878">
        <f>ROUND('T1 ANSP'!D61+'T1 MET'!D61+'T1 NSA'!D61,$D$11)</f>
        <v>724832.527</v>
      </c>
      <c r="G13" s="878">
        <f>ROUND('T1 ANSP'!E61+'T1 MET'!E61+'T1 NSA'!E61,$D$11)</f>
        <v>669901.15599999996</v>
      </c>
      <c r="H13" s="878">
        <f>ROUND('T1 ANSP'!F61+'T1 MET'!F61+'T1 NSA'!F61,$D$11)</f>
        <v>657371.51399999997</v>
      </c>
      <c r="I13" s="878">
        <f>ROUND('T1 ANSP'!G61+'T1 MET'!G61+'T1 NSA'!G61,$D$11)</f>
        <v>666364.99800000002</v>
      </c>
      <c r="J13" s="878">
        <f>ROUND('T1 ANSP'!H61+'T1 MET'!H61+'T1 NSA'!H61,$D$11)</f>
        <v>660595.57999999996</v>
      </c>
      <c r="K13" s="878">
        <f>ROUND('T1 ANSP'!I61+'T1 MET'!I61+'T1 NSA'!I61,$D$11)</f>
        <v>694359.07900000003</v>
      </c>
      <c r="L13" s="878">
        <f>ROUND('T1 ANSP'!J61+'T1 MET'!J61+'T1 NSA'!J61,$D$11)</f>
        <v>709493.71799999999</v>
      </c>
      <c r="M13" s="878">
        <f>ROUND('T1 ANSP'!K61+'T1 MET'!K61+'T1 NSA'!K61,$D$11)</f>
        <v>790418.9</v>
      </c>
      <c r="N13" s="878">
        <f>ROUND('T1 ANSP'!L61+'T1 MET'!L61+'T1 NSA'!L61,$D$11)</f>
        <v>775027.03399999999</v>
      </c>
      <c r="O13" s="878">
        <f>ROUND('T1 ANSP'!M61+'T1 MET'!M61+'T1 NSA'!M61,$D$11)</f>
        <v>790935.59299999999</v>
      </c>
      <c r="P13" s="878">
        <f>ROUND('T1 ANSP'!N61+'T1 MET'!N61+'T1 NSA'!N61,$D$11)</f>
        <v>813438.897</v>
      </c>
      <c r="Q13" s="878">
        <f>ROUND('T1 ANSP'!O61+'T1 MET'!O61+'T1 NSA'!O61,$D$11)</f>
        <v>854052.39599999995</v>
      </c>
      <c r="R13" s="163"/>
      <c r="S13" s="878">
        <f>ROUND('T1 ANSP'!T61+'T1 MET'!T61+'T1 NSA'!T61,$D$11)</f>
        <v>772193.07299999997</v>
      </c>
      <c r="T13" s="878">
        <f>ROUND('T1 ANSP'!U61+'T1 MET'!U61+'T1 NSA'!U61,$D$11)</f>
        <v>644352.72900000005</v>
      </c>
    </row>
    <row r="14" spans="1:23" s="184" customFormat="1" ht="15" customHeight="1">
      <c r="A14" s="179" t="s">
        <v>21</v>
      </c>
      <c r="B14" s="180" t="s">
        <v>22</v>
      </c>
      <c r="C14" s="181" t="s">
        <v>23</v>
      </c>
      <c r="D14" s="182">
        <v>3</v>
      </c>
      <c r="E14" s="183" t="b">
        <f>ROUND('T1'!C18,$D$14)=ROUND(('T1'!C12+SUM('T1'!C14:C17)),$D$14)</f>
        <v>1</v>
      </c>
      <c r="F14" s="183" t="b">
        <f>ROUND('T1'!D18,$D$14)=ROUND(('T1'!D12+SUM('T1'!D14:D17)),$D$14)</f>
        <v>1</v>
      </c>
      <c r="G14" s="183" t="b">
        <f>ROUND('T1'!E18,$D$14)=ROUND(('T1'!E12+SUM('T1'!E14:E17)),$D$14)</f>
        <v>1</v>
      </c>
      <c r="H14" s="183" t="b">
        <f>ROUND('T1'!F18,$D$14)=ROUND(('T1'!F12+SUM('T1'!F14:F17)),$D$14)</f>
        <v>1</v>
      </c>
      <c r="I14" s="183" t="b">
        <f>ROUND('T1'!G18,$D$14)=ROUND(('T1'!G12+SUM('T1'!G14:G17)),$D$14)</f>
        <v>1</v>
      </c>
      <c r="J14" s="183" t="b">
        <f>ROUND('T1'!H18,$D$14)=ROUND(('T1'!H12+SUM('T1'!H14:H17)),$D$14)</f>
        <v>1</v>
      </c>
      <c r="K14" s="183" t="b">
        <f>ROUND('T1'!I18,$D$14)=ROUND(('T1'!I12+SUM('T1'!I14:I17)),$D$14)</f>
        <v>1</v>
      </c>
      <c r="L14" s="183" t="b">
        <f>ROUND('T1'!J18,$D$14)=ROUND(('T1'!J12+SUM('T1'!J14:J17)),$D$14)</f>
        <v>1</v>
      </c>
      <c r="M14" s="183" t="b">
        <f>ROUND('T1'!K18,$D$14)=ROUND(('T1'!K12+SUM('T1'!K14:K17)),$D$14)</f>
        <v>1</v>
      </c>
      <c r="N14" s="183" t="b">
        <f>ROUND('T1'!L18,$D$14)=ROUND(('T1'!L12+SUM('T1'!L14:L17)),$D$14)</f>
        <v>1</v>
      </c>
      <c r="O14" s="183" t="b">
        <f>ROUND('T1'!M18,$D$14)=ROUND(('T1'!M12+SUM('T1'!M14:M17)),$D$14)</f>
        <v>1</v>
      </c>
      <c r="P14" s="183" t="b">
        <f>ROUND('T1'!N18,$D$14)=ROUND(('T1'!N12+SUM('T1'!N14:N17)),$D$14)</f>
        <v>1</v>
      </c>
      <c r="Q14" s="183" t="b">
        <f>ROUND('T1'!O18,$D$14)=ROUND(('T1'!O12+SUM('T1'!O14:O17)),$D$14)</f>
        <v>1</v>
      </c>
      <c r="R14" s="163"/>
      <c r="S14" s="183" t="b">
        <f>ROUND('T1'!S18,$D$14)=ROUND(('T1'!S12+SUM('T1'!S14:S17)),$D$14)</f>
        <v>1</v>
      </c>
      <c r="T14" s="183" t="b">
        <f>ROUND('T1'!T18,$D$14)=ROUND(('T1'!T12+SUM('T1'!T14:T17)),$D$14)</f>
        <v>1</v>
      </c>
    </row>
    <row r="15" spans="1:23" s="190" customFormat="1" ht="15" customHeight="1" outlineLevel="1">
      <c r="A15" s="185"/>
      <c r="B15" s="186"/>
      <c r="C15" s="187" t="s">
        <v>24</v>
      </c>
      <c r="D15" s="188"/>
      <c r="E15" s="878">
        <f>ROUND('T1'!C18,$D$14)</f>
        <v>658740.66500000004</v>
      </c>
      <c r="F15" s="878">
        <f>ROUND('T1'!D18,$D$14)</f>
        <v>724832.527</v>
      </c>
      <c r="G15" s="878">
        <f>ROUND('T1'!E18,$D$14)</f>
        <v>669901.15599999996</v>
      </c>
      <c r="H15" s="878">
        <f>ROUND('T1'!F18,$D$14)</f>
        <v>657371.51399999997</v>
      </c>
      <c r="I15" s="878">
        <f>ROUND('T1'!G18,$D$14)</f>
        <v>666364.99800000002</v>
      </c>
      <c r="J15" s="878">
        <f>ROUND('T1'!H18,$D$14)</f>
        <v>660595.57999999996</v>
      </c>
      <c r="K15" s="878">
        <f>ROUND('T1'!I18,$D$14)</f>
        <v>694359.07900000003</v>
      </c>
      <c r="L15" s="878">
        <f>ROUND('T1'!J18,$D$14)</f>
        <v>709493.71799999999</v>
      </c>
      <c r="M15" s="878">
        <f>ROUND('T1'!K18,$D$14)</f>
        <v>790418.9</v>
      </c>
      <c r="N15" s="878">
        <f>ROUND('T1'!L18,$D$14)</f>
        <v>775027.03399999999</v>
      </c>
      <c r="O15" s="878">
        <f>ROUND('T1'!M18,$D$14)</f>
        <v>790935.59299999999</v>
      </c>
      <c r="P15" s="878">
        <f>ROUND('T1'!N18,$D$14)</f>
        <v>813438.897</v>
      </c>
      <c r="Q15" s="878">
        <f>ROUND('T1'!O18,$D$14)</f>
        <v>854052.39599999995</v>
      </c>
      <c r="R15" s="163"/>
      <c r="S15" s="878">
        <f>ROUND('T1'!T18,$D$14)</f>
        <v>772193.07299999997</v>
      </c>
      <c r="T15" s="878">
        <f>ROUND('T1'!U18,$D$14)</f>
        <v>644352.72900000005</v>
      </c>
    </row>
    <row r="16" spans="1:23" s="190" customFormat="1" ht="15" customHeight="1" outlineLevel="1">
      <c r="A16" s="185"/>
      <c r="B16" s="186"/>
      <c r="C16" s="187" t="s">
        <v>25</v>
      </c>
      <c r="D16" s="188"/>
      <c r="E16" s="878">
        <f>ROUND(('T1'!C12+SUM('T1'!C14:C17)),$D$14)</f>
        <v>658740.66500000004</v>
      </c>
      <c r="F16" s="878">
        <f>ROUND(('T1'!D12+SUM('T1'!D14:D17)),$D$14)</f>
        <v>724832.527</v>
      </c>
      <c r="G16" s="878">
        <f>ROUND(('T1'!E12+SUM('T1'!E14:E17)),$D$14)</f>
        <v>669901.15599999996</v>
      </c>
      <c r="H16" s="878">
        <f>ROUND(('T1'!F12+SUM('T1'!F14:F17)),$D$14)</f>
        <v>657371.51399999997</v>
      </c>
      <c r="I16" s="878">
        <f>ROUND(('T1'!G12+SUM('T1'!G14:G17)),$D$14)</f>
        <v>666364.99800000002</v>
      </c>
      <c r="J16" s="878">
        <f>ROUND(('T1'!H12+SUM('T1'!H14:H17)),$D$14)</f>
        <v>660595.57999999996</v>
      </c>
      <c r="K16" s="878">
        <f>ROUND(('T1'!I12+SUM('T1'!I14:I17)),$D$14)</f>
        <v>694359.07900000003</v>
      </c>
      <c r="L16" s="878">
        <f>ROUND(('T1'!J12+SUM('T1'!J14:J17)),$D$14)</f>
        <v>709493.71799999999</v>
      </c>
      <c r="M16" s="878">
        <f>ROUND(('T1'!K12+SUM('T1'!K14:K17)),$D$14)</f>
        <v>790418.9</v>
      </c>
      <c r="N16" s="878">
        <f>ROUND(('T1'!L12+SUM('T1'!L14:L17)),$D$14)</f>
        <v>775027.03399999999</v>
      </c>
      <c r="O16" s="878">
        <f>ROUND(('T1'!M12+SUM('T1'!M14:M17)),$D$14)</f>
        <v>790935.59299999999</v>
      </c>
      <c r="P16" s="878">
        <f>ROUND(('T1'!N12+SUM('T1'!N14:N17)),$D$14)</f>
        <v>813438.897</v>
      </c>
      <c r="Q16" s="878">
        <f>ROUND(('T1'!O12+SUM('T1'!O14:O17)),$D$14)</f>
        <v>854052.39599999995</v>
      </c>
      <c r="R16" s="163"/>
      <c r="S16" s="878">
        <f>ROUND(('T1'!T12+SUM('T1'!T14:T17)),$D$14)</f>
        <v>772193.07299999997</v>
      </c>
      <c r="T16" s="878">
        <f>ROUND(('T1'!U12+SUM('T1'!U14:U17)),$D$14)</f>
        <v>644352.72900000005</v>
      </c>
    </row>
    <row r="17" spans="1:30" s="184" customFormat="1" ht="15" customHeight="1">
      <c r="A17" s="179" t="s">
        <v>26</v>
      </c>
      <c r="B17" s="180" t="s">
        <v>27</v>
      </c>
      <c r="C17" s="181" t="s">
        <v>28</v>
      </c>
      <c r="D17" s="182">
        <v>3</v>
      </c>
      <c r="E17" s="183" t="b">
        <f>ROUND('T1'!C31,$D$17)=ROUND(SUM('T1'!C22:C30),$D$17)</f>
        <v>1</v>
      </c>
      <c r="F17" s="183" t="b">
        <f>ROUND('T1'!D31,$D$17)=ROUND(SUM('T1'!D22:D30),$D$17)</f>
        <v>1</v>
      </c>
      <c r="G17" s="183" t="b">
        <f>ROUND('T1'!E31,$D$17)=ROUND(SUM('T1'!E22:E30),$D$17)</f>
        <v>1</v>
      </c>
      <c r="H17" s="183" t="b">
        <f>ROUND('T1'!F31,$D$17)=ROUND(SUM('T1'!F22:F30),$D$17)</f>
        <v>1</v>
      </c>
      <c r="I17" s="183" t="b">
        <f>ROUND('T1'!G31,$D$17)=ROUND(SUM('T1'!G22:G30),$D$17)</f>
        <v>1</v>
      </c>
      <c r="J17" s="183" t="b">
        <f>ROUND('T1'!H31,$D$17)=ROUND(SUM('T1'!H22:H30),$D$17)</f>
        <v>1</v>
      </c>
      <c r="K17" s="183" t="b">
        <f>ROUND('T1'!I31,$D$17)=ROUND(SUM('T1'!I22:I30),$D$17)</f>
        <v>1</v>
      </c>
      <c r="L17" s="183" t="b">
        <f>ROUND('T1'!J31,$D$17)=ROUND(SUM('T1'!J22:J30),$D$17)</f>
        <v>1</v>
      </c>
      <c r="M17" s="183" t="b">
        <f>ROUND('T1'!K31,$D$17)=ROUND(SUM('T1'!K22:K30),$D$17)</f>
        <v>1</v>
      </c>
      <c r="N17" s="183" t="b">
        <f>ROUND('T1'!L31,$D$17)=ROUND(SUM('T1'!L22:L30),$D$17)</f>
        <v>1</v>
      </c>
      <c r="O17" s="183" t="b">
        <f>ROUND('T1'!M31,$D$17)=ROUND(SUM('T1'!M22:M30),$D$17)</f>
        <v>1</v>
      </c>
      <c r="P17" s="183" t="b">
        <f>ROUND('T1'!N31,$D$17)=ROUND(SUM('T1'!N22:N30),$D$17)</f>
        <v>1</v>
      </c>
      <c r="Q17" s="183" t="b">
        <f>ROUND('T1'!O31,$D$17)=ROUND(SUM('T1'!O22:O30),$D$17)</f>
        <v>1</v>
      </c>
      <c r="R17" s="163"/>
      <c r="S17" s="183" t="b">
        <f>ROUND('T1'!T31,$D$17)=ROUND(SUM('T1'!T22:T30),$D$17)</f>
        <v>1</v>
      </c>
      <c r="T17" s="183" t="b">
        <f>ROUND('T1'!U31,$D$17)=ROUND(SUM('T1'!U22:U30),$D$17)</f>
        <v>1</v>
      </c>
    </row>
    <row r="18" spans="1:30" s="190" customFormat="1" ht="15" customHeight="1" outlineLevel="1">
      <c r="A18" s="185"/>
      <c r="B18" s="186"/>
      <c r="C18" s="187" t="s">
        <v>29</v>
      </c>
      <c r="D18" s="188"/>
      <c r="E18" s="878">
        <f>ROUND('T1'!C31,$D$17)</f>
        <v>658740.66500000004</v>
      </c>
      <c r="F18" s="878">
        <f>ROUND('T1'!D31,$D$17)</f>
        <v>724832.527</v>
      </c>
      <c r="G18" s="878">
        <f>ROUND('T1'!E31,$D$17)</f>
        <v>669901.15599999996</v>
      </c>
      <c r="H18" s="878">
        <f>ROUND('T1'!F31,$D$17)</f>
        <v>657371.51399999997</v>
      </c>
      <c r="I18" s="878">
        <f>ROUND('T1'!G31,$D$17)</f>
        <v>666364.99800000002</v>
      </c>
      <c r="J18" s="878">
        <f>ROUND('T1'!H31,$D$17)</f>
        <v>660595.57999999996</v>
      </c>
      <c r="K18" s="878">
        <f>ROUND('T1'!I31,$D$17)</f>
        <v>694359.07900000003</v>
      </c>
      <c r="L18" s="878">
        <f>ROUND('T1'!J31,$D$17)</f>
        <v>709493.71799999999</v>
      </c>
      <c r="M18" s="878">
        <f>ROUND('T1'!K31,$D$17)</f>
        <v>790418.9</v>
      </c>
      <c r="N18" s="878">
        <f>ROUND('T1'!L31,$D$17)</f>
        <v>775027.03399999999</v>
      </c>
      <c r="O18" s="878">
        <f>ROUND('T1'!M31,$D$17)</f>
        <v>790935.59299999999</v>
      </c>
      <c r="P18" s="878">
        <f>ROUND('T1'!N31,$D$17)</f>
        <v>814650.897</v>
      </c>
      <c r="Q18" s="878">
        <f>ROUND('T1'!O31,$D$17)</f>
        <v>854052.39599999995</v>
      </c>
      <c r="R18" s="163"/>
      <c r="S18" s="878">
        <f>ROUND('T1'!T31,$D$17)</f>
        <v>772193.07299999997</v>
      </c>
      <c r="T18" s="878">
        <f>ROUND('T1'!U31,$D$17)</f>
        <v>644352.72900000005</v>
      </c>
    </row>
    <row r="19" spans="1:30" s="190" customFormat="1" ht="15" customHeight="1" outlineLevel="1">
      <c r="A19" s="185"/>
      <c r="B19" s="186"/>
      <c r="C19" s="187" t="s">
        <v>30</v>
      </c>
      <c r="D19" s="188"/>
      <c r="E19" s="878">
        <f>ROUND(SUM('T1'!C22:C30),$D$17)</f>
        <v>658740.66500000004</v>
      </c>
      <c r="F19" s="878">
        <f>ROUND(SUM('T1'!D22:D30),$D$17)</f>
        <v>724832.527</v>
      </c>
      <c r="G19" s="878">
        <f>ROUND(SUM('T1'!E22:E30),$D$17)</f>
        <v>669901.15599999996</v>
      </c>
      <c r="H19" s="878">
        <f>ROUND(SUM('T1'!F22:F30),$D$17)</f>
        <v>657371.51399999997</v>
      </c>
      <c r="I19" s="878">
        <f>ROUND(SUM('T1'!G22:G30),$D$17)</f>
        <v>666364.99800000002</v>
      </c>
      <c r="J19" s="878">
        <f>ROUND(SUM('T1'!H22:H30),$D$17)</f>
        <v>660595.57999999996</v>
      </c>
      <c r="K19" s="878">
        <f>ROUND(SUM('T1'!I22:I30),$D$17)</f>
        <v>694359.07900000003</v>
      </c>
      <c r="L19" s="878">
        <f>ROUND(SUM('T1'!J22:J30),$D$17)</f>
        <v>709493.71799999999</v>
      </c>
      <c r="M19" s="878">
        <f>ROUND(SUM('T1'!K22:K30),$D$17)</f>
        <v>790418.9</v>
      </c>
      <c r="N19" s="878">
        <f>ROUND(SUM('T1'!L22:L30),$D$17)</f>
        <v>775027.03399999999</v>
      </c>
      <c r="O19" s="878">
        <f>ROUND(SUM('T1'!M22:M30),$D$17)</f>
        <v>790935.59299999999</v>
      </c>
      <c r="P19" s="878">
        <f>ROUND(SUM('T1'!N22:N30),$D$17)</f>
        <v>814650.897</v>
      </c>
      <c r="Q19" s="878">
        <f>ROUND(SUM('T1'!O22:O30),$D$17)</f>
        <v>854052.39599999995</v>
      </c>
      <c r="R19" s="163"/>
      <c r="S19" s="878">
        <f>ROUND(SUM('T1'!S22:T30),$D$17)</f>
        <v>772193.07299999997</v>
      </c>
      <c r="T19" s="878">
        <f>ROUND(SUM('T1'!T22:U30),$D$17)</f>
        <v>1416545.8019999999</v>
      </c>
    </row>
    <row r="20" spans="1:30" s="184" customFormat="1" ht="15" customHeight="1">
      <c r="A20" s="179" t="s">
        <v>31</v>
      </c>
      <c r="B20" s="180" t="s">
        <v>27</v>
      </c>
      <c r="C20" s="181" t="s">
        <v>32</v>
      </c>
      <c r="D20" s="182">
        <v>3</v>
      </c>
      <c r="E20" s="183" t="b">
        <f>ROUND('T1'!C18,$D$20)=ROUND('T1'!C31,$D$20)</f>
        <v>1</v>
      </c>
      <c r="F20" s="183" t="b">
        <f>ROUND('T1'!D18,$D$20)=ROUND('T1'!D31,$D$20)</f>
        <v>1</v>
      </c>
      <c r="G20" s="183" t="b">
        <f>ROUND('T1'!E18,$D$20)=ROUND('T1'!E31,$D$20)</f>
        <v>1</v>
      </c>
      <c r="H20" s="183" t="b">
        <f>ROUND('T1'!F18,$D$20)=ROUND('T1'!F31,$D$20)</f>
        <v>1</v>
      </c>
      <c r="I20" s="183" t="b">
        <f>ROUND('T1'!G18,$D$20)=ROUND('T1'!G31,$D$20)</f>
        <v>1</v>
      </c>
      <c r="J20" s="183" t="b">
        <f>ROUND('T1'!H18,$D$20)=ROUND('T1'!H31,$D$20)</f>
        <v>1</v>
      </c>
      <c r="K20" s="183" t="b">
        <f>ROUND('T1'!I18,$D$20)=ROUND('T1'!I31,$D$20)</f>
        <v>1</v>
      </c>
      <c r="L20" s="183" t="b">
        <f>ROUND('T1'!J18,$D$20)=ROUND('T1'!J31,$D$20)</f>
        <v>1</v>
      </c>
      <c r="M20" s="183" t="b">
        <f>ROUND('T1'!K18,$D$20)=ROUND('T1'!K31,$D$20)</f>
        <v>1</v>
      </c>
      <c r="N20" s="183" t="b">
        <f>ROUND('T1'!L18,$D$20)=ROUND('T1'!L31,$D$20)</f>
        <v>1</v>
      </c>
      <c r="O20" s="183" t="b">
        <f>ROUND('T1'!M18,$D$20)=ROUND('T1'!M31,$D$20)</f>
        <v>1</v>
      </c>
      <c r="P20" s="183" t="b">
        <f>ROUND('T1'!N18,$D$20)=ROUND('T1'!N31,$D$20)</f>
        <v>0</v>
      </c>
      <c r="Q20" s="183" t="b">
        <f>ROUND('T1'!O18,$D$20)=ROUND('T1'!O31,$D$20)</f>
        <v>1</v>
      </c>
      <c r="R20" s="163"/>
      <c r="S20" s="183" t="b">
        <f>ROUND('T1'!T18,$D$20)=ROUND('T1'!T31,$D$20)</f>
        <v>1</v>
      </c>
      <c r="T20" s="183" t="b">
        <f>ROUND('T1'!U18,$D$20)=ROUND('T1'!U31,$D$20)</f>
        <v>1</v>
      </c>
      <c r="U20" s="190"/>
      <c r="V20" s="190"/>
      <c r="W20" s="190"/>
      <c r="X20" s="190"/>
      <c r="Y20" s="190"/>
      <c r="Z20" s="190"/>
      <c r="AA20" s="190"/>
      <c r="AB20" s="190"/>
      <c r="AC20" s="190"/>
      <c r="AD20" s="190"/>
    </row>
    <row r="21" spans="1:30" s="190" customFormat="1" ht="15" customHeight="1" outlineLevel="1">
      <c r="A21" s="185"/>
      <c r="B21" s="186"/>
      <c r="C21" s="187" t="s">
        <v>24</v>
      </c>
      <c r="D21" s="191"/>
      <c r="E21" s="878">
        <f>ROUND('T1'!C18,$D$20)</f>
        <v>658740.66500000004</v>
      </c>
      <c r="F21" s="878">
        <f>ROUND('T1'!D18,$D$20)</f>
        <v>724832.527</v>
      </c>
      <c r="G21" s="878">
        <f>ROUND('T1'!E18,$D$20)</f>
        <v>669901.15599999996</v>
      </c>
      <c r="H21" s="878">
        <f>ROUND('T1'!F18,$D$20)</f>
        <v>657371.51399999997</v>
      </c>
      <c r="I21" s="878">
        <f>ROUND('T1'!G18,$D$20)</f>
        <v>666364.99800000002</v>
      </c>
      <c r="J21" s="878">
        <f>ROUND('T1'!H18,$D$20)</f>
        <v>660595.57999999996</v>
      </c>
      <c r="K21" s="878">
        <f>ROUND('T1'!I18,$D$20)</f>
        <v>694359.07900000003</v>
      </c>
      <c r="L21" s="878">
        <f>ROUND('T1'!J18,$D$20)</f>
        <v>709493.71799999999</v>
      </c>
      <c r="M21" s="878">
        <f>ROUND('T1'!K18,$D$20)</f>
        <v>790418.9</v>
      </c>
      <c r="N21" s="878">
        <f>ROUND('T1'!L18,$D$20)</f>
        <v>775027.03399999999</v>
      </c>
      <c r="O21" s="878">
        <f>ROUND('T1'!M18,$D$20)</f>
        <v>790935.59299999999</v>
      </c>
      <c r="P21" s="878">
        <f>ROUND('T1'!N18,$D$20)</f>
        <v>813438.897</v>
      </c>
      <c r="Q21" s="878">
        <f>ROUND('T1'!O18,$D$20)</f>
        <v>854052.39599999995</v>
      </c>
      <c r="R21" s="163"/>
      <c r="S21" s="878">
        <f>ROUND('T1'!T18,$D$20)</f>
        <v>772193.07299999997</v>
      </c>
      <c r="T21" s="878">
        <f>ROUND('T1'!U18,$D$20)</f>
        <v>644352.72900000005</v>
      </c>
    </row>
    <row r="22" spans="1:30" s="190" customFormat="1" ht="15" customHeight="1" outlineLevel="1">
      <c r="A22" s="185"/>
      <c r="B22" s="186"/>
      <c r="C22" s="187" t="s">
        <v>29</v>
      </c>
      <c r="D22" s="191"/>
      <c r="E22" s="878">
        <f>ROUND('T1'!C31,$D$20)</f>
        <v>658740.66500000004</v>
      </c>
      <c r="F22" s="878">
        <f>ROUND('T1'!D31,$D$20)</f>
        <v>724832.527</v>
      </c>
      <c r="G22" s="878">
        <f>ROUND('T1'!E31,$D$20)</f>
        <v>669901.15599999996</v>
      </c>
      <c r="H22" s="878">
        <f>ROUND('T1'!F31,$D$20)</f>
        <v>657371.51399999997</v>
      </c>
      <c r="I22" s="878">
        <f>ROUND('T1'!G31,$D$20)</f>
        <v>666364.99800000002</v>
      </c>
      <c r="J22" s="878">
        <f>ROUND('T1'!H31,$D$20)</f>
        <v>660595.57999999996</v>
      </c>
      <c r="K22" s="878">
        <f>ROUND('T1'!I31,$D$20)</f>
        <v>694359.07900000003</v>
      </c>
      <c r="L22" s="878">
        <f>ROUND('T1'!J31,$D$20)</f>
        <v>709493.71799999999</v>
      </c>
      <c r="M22" s="878">
        <f>ROUND('T1'!K31,$D$20)</f>
        <v>790418.9</v>
      </c>
      <c r="N22" s="878">
        <f>ROUND('T1'!L31,$D$20)</f>
        <v>775027.03399999999</v>
      </c>
      <c r="O22" s="878">
        <f>ROUND('T1'!M31,$D$20)</f>
        <v>790935.59299999999</v>
      </c>
      <c r="P22" s="878">
        <f>ROUND('T1'!N31,$D$20)</f>
        <v>814650.897</v>
      </c>
      <c r="Q22" s="878">
        <f>ROUND('T1'!O31,$D$20)</f>
        <v>854052.39599999995</v>
      </c>
      <c r="R22" s="163"/>
      <c r="S22" s="878">
        <f>ROUND('T1'!T31,$D$20)</f>
        <v>772193.07299999997</v>
      </c>
      <c r="T22" s="878">
        <f>ROUND('T1'!U31,$D$20)</f>
        <v>644352.72900000005</v>
      </c>
    </row>
    <row r="23" spans="1:30" s="184" customFormat="1" ht="15" customHeight="1">
      <c r="A23" s="179" t="s">
        <v>33</v>
      </c>
      <c r="B23" s="180" t="s">
        <v>34</v>
      </c>
      <c r="C23" s="181" t="s">
        <v>35</v>
      </c>
      <c r="D23" s="182">
        <v>3</v>
      </c>
      <c r="K23" s="183" t="b">
        <f>'T1'!I64&gt;=0</f>
        <v>1</v>
      </c>
      <c r="L23" s="183" t="b">
        <f>'T1'!J64&gt;=0</f>
        <v>1</v>
      </c>
      <c r="M23" s="183" t="b">
        <f>'T1'!K64&gt;=0</f>
        <v>1</v>
      </c>
      <c r="N23" s="183" t="b">
        <f>'T1'!L64&gt;=0</f>
        <v>1</v>
      </c>
      <c r="O23" s="183" t="b">
        <f>'T1'!M64&gt;=0</f>
        <v>1</v>
      </c>
      <c r="P23" s="183" t="b">
        <f>'T1'!N64&gt;=0</f>
        <v>1</v>
      </c>
      <c r="Q23" s="183" t="b">
        <f>'T1'!O64&gt;=0</f>
        <v>1</v>
      </c>
      <c r="R23" s="163"/>
      <c r="S23" s="183" t="b">
        <f>'T1'!T64&gt;=0</f>
        <v>1</v>
      </c>
      <c r="T23" s="183" t="b">
        <f>'T1'!U64&gt;=0</f>
        <v>1</v>
      </c>
      <c r="U23" s="190"/>
      <c r="V23" s="190"/>
      <c r="W23" s="190"/>
      <c r="X23" s="190"/>
      <c r="Y23" s="190"/>
      <c r="Z23" s="190"/>
      <c r="AA23" s="190"/>
      <c r="AB23" s="190"/>
      <c r="AC23" s="190"/>
      <c r="AD23" s="190"/>
    </row>
    <row r="24" spans="1:30" s="190" customFormat="1" ht="15" customHeight="1" outlineLevel="1">
      <c r="A24" s="216"/>
      <c r="B24" s="186"/>
      <c r="C24" s="187" t="s">
        <v>36</v>
      </c>
      <c r="D24" s="191"/>
      <c r="K24" s="199">
        <f>'T1'!I64</f>
        <v>2.5000000000000001E-2</v>
      </c>
      <c r="L24" s="199">
        <f>'T1'!J64</f>
        <v>1.7999999999999999E-2</v>
      </c>
      <c r="M24" s="199">
        <f>'T1'!K64</f>
        <v>2.0000000000000132E-2</v>
      </c>
      <c r="N24" s="199">
        <f>'T1'!L64</f>
        <v>1.9999999999999799E-2</v>
      </c>
      <c r="O24" s="199">
        <f>'T1'!M64</f>
        <v>2.0000000000000205E-2</v>
      </c>
      <c r="P24" s="199">
        <f>'T1'!N64</f>
        <v>4.0419530703928341E-2</v>
      </c>
      <c r="Q24" s="199">
        <f>'T1'!O64</f>
        <v>1.5350874280278148E-2</v>
      </c>
      <c r="R24" s="163"/>
      <c r="S24" s="199">
        <f>'T1'!T64</f>
        <v>8.9999999999999993E-3</v>
      </c>
      <c r="T24" s="199">
        <f>'T1'!U64</f>
        <v>2.5999999999999999E-2</v>
      </c>
    </row>
    <row r="25" spans="1:30" s="184" customFormat="1" ht="15" customHeight="1">
      <c r="A25" s="179" t="s">
        <v>37</v>
      </c>
      <c r="B25" s="180" t="s">
        <v>38</v>
      </c>
      <c r="C25" s="181" t="s">
        <v>39</v>
      </c>
      <c r="D25" s="182">
        <v>2</v>
      </c>
      <c r="E25" s="190"/>
      <c r="F25" s="183" t="b">
        <f>ROUND('T1'!C65*(1+'T1'!D64),$D$25)=ROUND('T1'!D65,$D$25)</f>
        <v>1</v>
      </c>
      <c r="G25" s="183" t="b">
        <f>ROUND('T1'!D65*(1+'T1'!E64),$D$25)=ROUND('T1'!E65,$D$25)</f>
        <v>1</v>
      </c>
      <c r="H25" s="183" t="b">
        <f>ROUND('T1'!E65*(1+'T1'!F64),$D$25)=ROUND('T1'!F65,$D$25)</f>
        <v>1</v>
      </c>
      <c r="I25" s="183" t="b">
        <f>ROUND('T1'!F65*(1+'T1'!G64),$D$25)=ROUND('T1'!G65,$D$25)</f>
        <v>1</v>
      </c>
      <c r="J25" s="183" t="b">
        <f>ROUND('T1'!G65*(1+'T1'!H64),$D$25)=ROUND('T1'!H65,$D$25)</f>
        <v>1</v>
      </c>
      <c r="K25" s="183" t="b">
        <f>ROUND('T1'!H65*(1+'T1'!I64),$D$25)=ROUND('T1'!I65,$D$25)</f>
        <v>1</v>
      </c>
      <c r="L25" s="183" t="b">
        <f>ROUND('T1'!I65*(1+'T1'!J64),$D$25)=ROUND('T1'!J65,$D$25)</f>
        <v>1</v>
      </c>
      <c r="M25" s="183" t="b">
        <f>ROUND('T1'!J65*(1+'T1'!K64),$D$25)=ROUND('T1'!K65,$D$25)</f>
        <v>0</v>
      </c>
      <c r="N25" s="183" t="b">
        <f>ROUND('T1'!K65*(1+'T1'!L64),$D$25)=ROUND('T1'!L65,$D$25)</f>
        <v>1</v>
      </c>
      <c r="O25" s="183" t="b">
        <f>ROUND('T1'!L65*(1+'T1'!M64),$D$25)=ROUND('T1'!M65,$D$25)</f>
        <v>1</v>
      </c>
      <c r="P25" s="183" t="b">
        <f>ROUND('T1'!M65*(1+'T1'!N64),$D$25)=ROUND('T1'!N65,$D$25)</f>
        <v>1</v>
      </c>
      <c r="Q25" s="183" t="b">
        <f>ROUND('T1'!N65*(1+'T1'!O64),$D$25)=ROUND('T1'!O65,$D$25)</f>
        <v>1</v>
      </c>
      <c r="R25" s="163"/>
      <c r="S25" s="183" t="b">
        <f>ROUND('T1'!T65*(1+'T1'!S64),$D$25)=ROUND('T1'!T65,$D$25)</f>
        <v>1</v>
      </c>
      <c r="T25" s="183" t="b">
        <f>ROUND('T1'!U65*(1+'T1'!T64),$D$25)=ROUND('T1'!U65,$D$25)</f>
        <v>0</v>
      </c>
      <c r="U25" s="190"/>
      <c r="V25" s="190"/>
      <c r="W25" s="190"/>
      <c r="X25" s="190"/>
      <c r="Y25" s="190"/>
      <c r="Z25" s="190"/>
      <c r="AA25" s="190"/>
      <c r="AB25" s="190"/>
      <c r="AC25" s="190"/>
      <c r="AD25" s="190"/>
    </row>
    <row r="26" spans="1:30" s="190" customFormat="1" ht="15" customHeight="1" outlineLevel="1">
      <c r="A26" s="185"/>
      <c r="B26" s="186"/>
      <c r="C26" s="187" t="s">
        <v>40</v>
      </c>
      <c r="D26" s="191"/>
      <c r="F26" s="215">
        <f>ROUND('T1'!C65*(1+'T1'!D64),$D$25)</f>
        <v>95.27</v>
      </c>
      <c r="G26" s="215">
        <f>ROUND('T1'!D65*(1+'T1'!E64),$D$25)</f>
        <v>96.69</v>
      </c>
      <c r="H26" s="215">
        <f>ROUND('T1'!E65*(1+'T1'!F64),$D$25)</f>
        <v>96.69</v>
      </c>
      <c r="I26" s="215">
        <f>ROUND('T1'!F65*(1+'T1'!G64),$D$25)</f>
        <v>97.37</v>
      </c>
      <c r="J26" s="215">
        <f>ROUND('T1'!G65*(1+'T1'!H64),$D$25)</f>
        <v>100</v>
      </c>
      <c r="K26" s="215">
        <f>ROUND('T1'!H65*(1+'T1'!I64),$D$25)</f>
        <v>102.5</v>
      </c>
      <c r="L26" s="215">
        <f>ROUND('T1'!I65*(1+'T1'!J64),$D$25)</f>
        <v>104.35</v>
      </c>
      <c r="M26" s="215">
        <f>ROUND('T1'!J65*(1+'T1'!K64),$D$25)</f>
        <v>106.43</v>
      </c>
      <c r="N26" s="215">
        <f>ROUND('T1'!K65*(1+'T1'!L64),$D$25)</f>
        <v>108.57</v>
      </c>
      <c r="O26" s="215">
        <f>ROUND('T1'!L65*(1+'T1'!M64),$D$25)</f>
        <v>110.74</v>
      </c>
      <c r="P26" s="215">
        <f>ROUND('T1'!M65*(1+'T1'!N64),$D$25)</f>
        <v>115.22</v>
      </c>
      <c r="Q26" s="215">
        <f>ROUND('T1'!N65*(1+'T1'!O64),$D$25)</f>
        <v>116.99</v>
      </c>
      <c r="R26" s="163"/>
      <c r="S26" s="215">
        <f>ROUND('T1'!T65*(1+'T1'!S64),$D$25)</f>
        <v>105.28</v>
      </c>
      <c r="T26" s="215">
        <f>ROUND('T1'!U65*(1+'T1'!T64),$D$25)</f>
        <v>108.99</v>
      </c>
    </row>
    <row r="27" spans="1:30" s="190" customFormat="1" ht="15" customHeight="1" outlineLevel="1">
      <c r="A27" s="185"/>
      <c r="B27" s="186"/>
      <c r="C27" s="187" t="s">
        <v>41</v>
      </c>
      <c r="D27" s="191"/>
      <c r="F27" s="215">
        <f>ROUND('T1'!D65,$D$25)</f>
        <v>95.27</v>
      </c>
      <c r="G27" s="215">
        <f>ROUND('T1'!E65,$D$25)</f>
        <v>96.69</v>
      </c>
      <c r="H27" s="215">
        <f>ROUND('T1'!F65,$D$25)</f>
        <v>96.69</v>
      </c>
      <c r="I27" s="215">
        <f>ROUND('T1'!G65,$D$25)</f>
        <v>97.37</v>
      </c>
      <c r="J27" s="215">
        <f>ROUND('T1'!H65,$D$25)</f>
        <v>100</v>
      </c>
      <c r="K27" s="215">
        <f>ROUND('T1'!I65,$D$25)</f>
        <v>102.5</v>
      </c>
      <c r="L27" s="215">
        <f>ROUND('T1'!J65,$D$25)</f>
        <v>104.35</v>
      </c>
      <c r="M27" s="215">
        <f>ROUND('T1'!K65,$D$25)</f>
        <v>106.44</v>
      </c>
      <c r="N27" s="215">
        <f>ROUND('T1'!L65,$D$25)</f>
        <v>108.57</v>
      </c>
      <c r="O27" s="215">
        <f>ROUND('T1'!M65,$D$25)</f>
        <v>110.74</v>
      </c>
      <c r="P27" s="215">
        <f>ROUND('T1'!N65,$D$25)</f>
        <v>115.22</v>
      </c>
      <c r="Q27" s="215">
        <f>ROUND('T1'!O65,$D$25)</f>
        <v>116.99</v>
      </c>
      <c r="R27" s="163"/>
      <c r="S27" s="215">
        <f>ROUND('T1'!T65,$D$25)</f>
        <v>105.28</v>
      </c>
      <c r="T27" s="215">
        <f>ROUND('T1'!U65,$D$25)</f>
        <v>108.02</v>
      </c>
    </row>
    <row r="28" spans="1:30" s="184" customFormat="1" ht="15" customHeight="1">
      <c r="A28" s="179" t="s">
        <v>42</v>
      </c>
      <c r="B28" s="180" t="s">
        <v>43</v>
      </c>
      <c r="C28" s="181" t="s">
        <v>44</v>
      </c>
      <c r="D28" s="182">
        <v>2</v>
      </c>
      <c r="E28" s="190"/>
      <c r="F28" s="183" t="b">
        <f>ROUND(('T1'!D66/'T1'!D68),$D$28)=ROUND('T1'!D70,$D$28)</f>
        <v>1</v>
      </c>
      <c r="G28" s="183" t="b">
        <f>ROUND(('T1'!E66/'T1'!E68),$D$28)=ROUND('T1'!E70,$D$28)</f>
        <v>1</v>
      </c>
      <c r="H28" s="183" t="b">
        <f>ROUND(('T1'!F66/'T1'!F68),$D$28)=ROUND('T1'!F70,$D$28)</f>
        <v>1</v>
      </c>
      <c r="I28" s="183" t="b">
        <f>ROUND(('T1'!G66/'T1'!G68),$D$28)=ROUND('T1'!G70,$D$28)</f>
        <v>1</v>
      </c>
      <c r="J28" s="183" t="b">
        <f>ROUND(('T1'!H66/'T1'!H68),$D$28)=ROUND('T1'!H70,$D$28)</f>
        <v>1</v>
      </c>
      <c r="K28" s="183" t="b">
        <f>ROUND(('T1'!I66/'T1'!I68),$D$28)=ROUND('T1'!I70,$D$28)</f>
        <v>1</v>
      </c>
      <c r="L28" s="183" t="b">
        <f>ROUND(('T1'!J66/'T1'!J68),$D$28)=ROUND('T1'!J70,$D$28)</f>
        <v>1</v>
      </c>
      <c r="M28" s="183" t="b">
        <f>ROUND(('T1'!K66/'T1'!K68),$D$28)=ROUND('T1'!K70,$D$28)</f>
        <v>1</v>
      </c>
      <c r="N28" s="183" t="b">
        <f>ROUND(('T1'!L66/'T1'!L68),$D$28)=ROUND('T1'!L70,$D$28)</f>
        <v>1</v>
      </c>
      <c r="O28" s="183" t="b">
        <f>ROUND(('T1'!M66/'T1'!M68),$D$28)=ROUND('T1'!M70,$D$28)</f>
        <v>1</v>
      </c>
      <c r="P28" s="183" t="b">
        <f>ROUND(('T1'!N66/'T1'!N68),$D$28)=ROUND('T1'!N70,$D$28)</f>
        <v>1</v>
      </c>
      <c r="Q28" s="183" t="b">
        <f>ROUND(('T1'!O66/'T1'!O68),$D$28)=ROUND('T1'!O70,$D$28)</f>
        <v>1</v>
      </c>
      <c r="R28" s="163"/>
      <c r="S28" s="183" t="b">
        <f>ROUND(('T1'!T66/'T1'!T68),$D$28)=ROUND('T1'!T70,$D$28)</f>
        <v>1</v>
      </c>
      <c r="T28" s="183" t="b">
        <f>ROUND(('T1'!U66/'T1'!U68),$D$28)=ROUND('T1'!U70,$D$28)</f>
        <v>1</v>
      </c>
      <c r="U28" s="190"/>
      <c r="V28" s="190"/>
      <c r="W28" s="190"/>
      <c r="X28" s="190"/>
      <c r="Y28" s="190"/>
      <c r="Z28" s="190"/>
      <c r="AA28" s="190"/>
      <c r="AB28" s="190"/>
      <c r="AC28" s="190"/>
      <c r="AD28" s="190"/>
    </row>
    <row r="29" spans="1:30" s="190" customFormat="1" ht="15" customHeight="1" outlineLevel="1">
      <c r="A29" s="185"/>
      <c r="B29" s="186"/>
      <c r="C29" s="187" t="s">
        <v>45</v>
      </c>
      <c r="D29" s="191"/>
      <c r="F29" s="215">
        <f>ROUND(('T1'!D66/'T1'!D68),$D$28)</f>
        <v>78</v>
      </c>
      <c r="G29" s="215">
        <f>ROUND(('T1'!E66/'T1'!E68),$D$28)</f>
        <v>69.42</v>
      </c>
      <c r="H29" s="215">
        <f>ROUND(('T1'!F66/'T1'!F68),$D$28)</f>
        <v>66.95</v>
      </c>
      <c r="I29" s="215">
        <f>ROUND(('T1'!G66/'T1'!G68),$D$28)</f>
        <v>62.93</v>
      </c>
      <c r="J29" s="215">
        <f>ROUND(('T1'!H66/'T1'!H68),$D$28)</f>
        <v>56.14</v>
      </c>
      <c r="K29" s="215">
        <f>ROUND(('T1'!I66/'T1'!I68),$D$28)</f>
        <v>55.55</v>
      </c>
      <c r="L29" s="215">
        <f>ROUND(('T1'!J66/'T1'!J68),$D$28)</f>
        <v>53.99</v>
      </c>
      <c r="M29" s="215">
        <f>ROUND(('T1'!K66/'T1'!K68),$D$28)</f>
        <v>58.71</v>
      </c>
      <c r="N29" s="215">
        <f>ROUND(('T1'!L66/'T1'!L68),$D$28)</f>
        <v>55.37</v>
      </c>
      <c r="O29" s="215">
        <f>ROUND(('T1'!M66/'T1'!M68),$D$28)</f>
        <v>54.18</v>
      </c>
      <c r="P29" s="215">
        <f>ROUND(('T1'!N66/'T1'!N68),$D$28)</f>
        <v>60.26</v>
      </c>
      <c r="Q29" s="215">
        <f>ROUND(('T1'!O66/'T1'!O68),$D$28)</f>
        <v>59.7</v>
      </c>
      <c r="R29" s="163"/>
      <c r="S29" s="215">
        <f>ROUND(('T1'!T66/'T1'!T68),$D$28)</f>
        <v>143.83000000000001</v>
      </c>
      <c r="T29" s="215">
        <f>ROUND(('T1'!U66/'T1'!U68),$D$28)</f>
        <v>110.56</v>
      </c>
    </row>
    <row r="30" spans="1:30" s="190" customFormat="1" ht="15" customHeight="1" outlineLevel="1">
      <c r="A30" s="185"/>
      <c r="B30" s="186"/>
      <c r="C30" s="187" t="s">
        <v>46</v>
      </c>
      <c r="D30" s="191"/>
      <c r="F30" s="215">
        <f>ROUND('T1'!D70,$D$28)</f>
        <v>78</v>
      </c>
      <c r="G30" s="215">
        <f>ROUND('T1'!E70,$D$28)</f>
        <v>69.42</v>
      </c>
      <c r="H30" s="215">
        <f>ROUND('T1'!F70,$D$28)</f>
        <v>66.95</v>
      </c>
      <c r="I30" s="215">
        <f>ROUND('T1'!G70,$D$28)</f>
        <v>62.93</v>
      </c>
      <c r="J30" s="215">
        <f>ROUND('T1'!H70,$D$28)</f>
        <v>56.14</v>
      </c>
      <c r="K30" s="215">
        <f>ROUND('T1'!I70,$D$28)</f>
        <v>55.55</v>
      </c>
      <c r="L30" s="215">
        <f>ROUND('T1'!J70,$D$28)</f>
        <v>53.99</v>
      </c>
      <c r="M30" s="215">
        <f>ROUND('T1'!K70,$D$28)</f>
        <v>58.71</v>
      </c>
      <c r="N30" s="215">
        <f>ROUND('T1'!L70,$D$28)</f>
        <v>55.37</v>
      </c>
      <c r="O30" s="215">
        <f>ROUND('T1'!M70,$D$28)</f>
        <v>54.18</v>
      </c>
      <c r="P30" s="215">
        <f>ROUND('T1'!N70,$D$28)</f>
        <v>60.26</v>
      </c>
      <c r="Q30" s="215">
        <f>ROUND('T1'!O70,$D$28)</f>
        <v>59.7</v>
      </c>
      <c r="R30" s="163"/>
      <c r="S30" s="215">
        <f>ROUND('T1'!T70,$D$28)</f>
        <v>143.83000000000001</v>
      </c>
      <c r="T30" s="215">
        <f>ROUND('T1'!U70,$D$28)</f>
        <v>110.56</v>
      </c>
    </row>
    <row r="31" spans="1:30" s="184" customFormat="1" ht="15" customHeight="1">
      <c r="A31" s="179" t="s">
        <v>47</v>
      </c>
      <c r="B31" s="180" t="s">
        <v>17</v>
      </c>
      <c r="C31" s="181" t="s">
        <v>48</v>
      </c>
      <c r="D31" s="182">
        <v>3</v>
      </c>
      <c r="E31" s="183" t="b">
        <f>ROUND('T1'!C61,$D$31)=ROUND('T1'!C18-'T1'!C60,$D$31)</f>
        <v>1</v>
      </c>
      <c r="F31" s="183" t="b">
        <f>ROUND('T1'!D61,$D$31)=ROUND('T1'!D18-'T1'!D60,$D$31)</f>
        <v>1</v>
      </c>
      <c r="G31" s="183" t="b">
        <f>ROUND('T1'!E61,$D$31)=ROUND('T1'!E18-'T1'!E60,$D$31)</f>
        <v>1</v>
      </c>
      <c r="H31" s="183" t="b">
        <f>ROUND('T1'!F61,$D$31)=ROUND('T1'!F18-'T1'!F60,$D$31)</f>
        <v>1</v>
      </c>
      <c r="I31" s="183" t="b">
        <f>ROUND('T1'!G61,$D$31)=ROUND('T1'!G18-'T1'!G60,$D$31)</f>
        <v>1</v>
      </c>
      <c r="J31" s="183" t="b">
        <f>ROUND('T1'!H61,$D$31)=ROUND('T1'!H18-'T1'!H60,$D$31)</f>
        <v>1</v>
      </c>
      <c r="K31" s="183" t="b">
        <f>ROUND('T1'!I61,$D$31)=ROUND('T1'!I18-'T1'!I60,$D$31)</f>
        <v>1</v>
      </c>
      <c r="L31" s="183" t="b">
        <f>ROUND('T1'!J61,$D$31)=ROUND('T1'!J18-'T1'!J60,$D$31)</f>
        <v>1</v>
      </c>
      <c r="M31" s="183" t="b">
        <f>ROUND('T1'!K61,$D$31)=ROUND('T1'!K18-'T1'!K60,$D$31)</f>
        <v>1</v>
      </c>
      <c r="N31" s="183" t="b">
        <f>ROUND('T1'!L61,$D$31)=ROUND('T1'!L18-'T1'!L60,$D$31)</f>
        <v>1</v>
      </c>
      <c r="O31" s="183" t="b">
        <f>ROUND('T1'!M61,$D$31)=ROUND('T1'!M18-'T1'!M60,$D$31)</f>
        <v>1</v>
      </c>
      <c r="P31" s="183" t="b">
        <f>ROUND('T1'!N61,$D$31)=ROUND('T1'!N18-'T1'!N60,$D$31)</f>
        <v>1</v>
      </c>
      <c r="Q31" s="183" t="b">
        <f>ROUND('T1'!O61,$D$31)=ROUND('T1'!O18-'T1'!O60,$D$31)</f>
        <v>1</v>
      </c>
      <c r="R31" s="163"/>
      <c r="S31" s="183" t="b">
        <f>ROUND('T1'!T61,$D$31)=ROUND('T1'!T18-'T1'!T60,$D$31)</f>
        <v>1</v>
      </c>
      <c r="T31" s="183" t="b">
        <f>ROUND('T1'!U61,$D$31)=ROUND('T1'!U18-'T1'!U60,$D$31)</f>
        <v>1</v>
      </c>
    </row>
    <row r="32" spans="1:30" s="190" customFormat="1" ht="15" customHeight="1" outlineLevel="1">
      <c r="A32" s="185"/>
      <c r="B32" s="186"/>
      <c r="C32" s="187" t="s">
        <v>49</v>
      </c>
      <c r="D32" s="191"/>
      <c r="E32" s="878">
        <f>ROUND('T1'!C61,$D$31)</f>
        <v>658740.66500000004</v>
      </c>
      <c r="F32" s="878">
        <f>ROUND('T1'!D61,$D$31)</f>
        <v>724832.527</v>
      </c>
      <c r="G32" s="878">
        <f>ROUND('T1'!E61,$D$31)</f>
        <v>669901.15599999996</v>
      </c>
      <c r="H32" s="878">
        <f>ROUND('T1'!F61,$D$31)</f>
        <v>657371.51399999997</v>
      </c>
      <c r="I32" s="878">
        <f>ROUND('T1'!G61,$D$31)</f>
        <v>666364.99800000002</v>
      </c>
      <c r="J32" s="878">
        <f>ROUND('T1'!H61,$D$31)</f>
        <v>660595.57999999996</v>
      </c>
      <c r="K32" s="878">
        <f>ROUND('T1'!I61,$D$31)</f>
        <v>694359.07900000003</v>
      </c>
      <c r="L32" s="878">
        <f>ROUND('T1'!J61,$D$31)</f>
        <v>709493.71799999999</v>
      </c>
      <c r="M32" s="878">
        <f>ROUND('T1'!K61,$D$31)</f>
        <v>790418.9</v>
      </c>
      <c r="N32" s="878">
        <f>ROUND('T1'!L61,$D$31)</f>
        <v>775027.03399999999</v>
      </c>
      <c r="O32" s="878">
        <f>ROUND('T1'!M61,$D$31)</f>
        <v>790935.59299999999</v>
      </c>
      <c r="P32" s="878">
        <f>ROUND('T1'!N61,$D$31)</f>
        <v>813438.897</v>
      </c>
      <c r="Q32" s="878">
        <f>ROUND('T1'!O61,$D$31)</f>
        <v>854052.39599999995</v>
      </c>
      <c r="R32" s="163"/>
      <c r="S32" s="878">
        <f>ROUND('T1'!T61,$D$31)</f>
        <v>772193.07299999997</v>
      </c>
      <c r="T32" s="878">
        <f>ROUND('T1'!U61,$D$31)</f>
        <v>644352.72900000005</v>
      </c>
    </row>
    <row r="33" spans="1:27" s="190" customFormat="1" ht="15" customHeight="1" outlineLevel="1">
      <c r="A33" s="185"/>
      <c r="B33" s="186"/>
      <c r="C33" s="187" t="s">
        <v>50</v>
      </c>
      <c r="D33" s="191"/>
      <c r="E33" s="878">
        <f>ROUND('T1'!C18-'T1'!C60,$D$31)</f>
        <v>658740.66500000004</v>
      </c>
      <c r="F33" s="878">
        <f>ROUND('T1'!D18-'T1'!D60,$D$31)</f>
        <v>724832.527</v>
      </c>
      <c r="G33" s="878">
        <f>ROUND('T1'!E18-'T1'!E60,$D$31)</f>
        <v>669901.15599999996</v>
      </c>
      <c r="H33" s="878">
        <f>ROUND('T1'!F18-'T1'!F60,$D$31)</f>
        <v>657371.51399999997</v>
      </c>
      <c r="I33" s="878">
        <f>ROUND('T1'!G18-'T1'!G60,$D$31)</f>
        <v>666364.99800000002</v>
      </c>
      <c r="J33" s="878">
        <f>ROUND('T1'!H18-'T1'!H60,$D$31)</f>
        <v>660595.57999999996</v>
      </c>
      <c r="K33" s="878">
        <f>ROUND('T1'!I18-'T1'!I60,$D$31)</f>
        <v>694359.07900000003</v>
      </c>
      <c r="L33" s="878">
        <f>ROUND('T1'!J18-'T1'!J60,$D$31)</f>
        <v>709493.71799999999</v>
      </c>
      <c r="M33" s="878">
        <f>ROUND('T1'!K18-'T1'!K60,$D$31)</f>
        <v>790418.9</v>
      </c>
      <c r="N33" s="878">
        <f>ROUND('T1'!L18-'T1'!L60,$D$31)</f>
        <v>775027.03399999999</v>
      </c>
      <c r="O33" s="878">
        <f>ROUND('T1'!M18-'T1'!M60,$D$31)</f>
        <v>790935.59299999999</v>
      </c>
      <c r="P33" s="878">
        <f>ROUND('T1'!N18-'T1'!N60,$D$31)</f>
        <v>813438.897</v>
      </c>
      <c r="Q33" s="878">
        <f>ROUND('T1'!O18-'T1'!O60,$D$31)</f>
        <v>854052.39599999995</v>
      </c>
      <c r="R33" s="163"/>
      <c r="S33" s="878">
        <f>ROUND('T1'!T18-'T1'!T60,$D$31)</f>
        <v>772193.07299999997</v>
      </c>
      <c r="T33" s="878">
        <f>ROUND('T1'!U18-'T1'!U60,$D$31)</f>
        <v>644352.72900000005</v>
      </c>
    </row>
    <row r="34" spans="1:27" s="194" customFormat="1" ht="18.75">
      <c r="A34" s="173" t="s">
        <v>13</v>
      </c>
      <c r="B34" s="174" t="s">
        <v>14</v>
      </c>
      <c r="C34" s="175" t="s">
        <v>51</v>
      </c>
      <c r="D34" s="192"/>
      <c r="E34" s="193"/>
      <c r="F34" s="193"/>
      <c r="G34" s="193"/>
      <c r="H34" s="193"/>
      <c r="I34" s="193"/>
      <c r="J34" s="193"/>
      <c r="K34" s="193"/>
      <c r="L34" s="193"/>
      <c r="M34" s="193"/>
      <c r="N34" s="193"/>
      <c r="O34" s="193"/>
      <c r="P34" s="193"/>
      <c r="Q34" s="193"/>
      <c r="R34" s="163"/>
      <c r="S34" s="193"/>
      <c r="T34" s="193"/>
    </row>
    <row r="35" spans="1:27" s="184" customFormat="1" ht="15" customHeight="1">
      <c r="A35" s="179" t="s">
        <v>21</v>
      </c>
      <c r="B35" s="180" t="s">
        <v>22</v>
      </c>
      <c r="C35" s="181" t="s">
        <v>23</v>
      </c>
      <c r="D35" s="195">
        <v>3</v>
      </c>
      <c r="E35" s="183" t="b">
        <f>ROUND('T1 ANSP'!C18,$D$35)=ROUND(('T1 ANSP'!C12+SUM('T1 ANSP'!C14:C17)),$D$35)</f>
        <v>1</v>
      </c>
      <c r="F35" s="183" t="b">
        <f>ROUND('T1 ANSP'!D18,$D$35)=ROUND(('T1 ANSP'!D12+SUM('T1 ANSP'!D14:D17)),$D$35)</f>
        <v>1</v>
      </c>
      <c r="G35" s="183" t="b">
        <f>ROUND('T1 ANSP'!E18,$D$35)=ROUND(('T1 ANSP'!E12+SUM('T1 ANSP'!E14:E17)),$D$35)</f>
        <v>1</v>
      </c>
      <c r="H35" s="183" t="b">
        <f>ROUND('T1 ANSP'!F18,$D$35)=ROUND(('T1 ANSP'!F12+SUM('T1 ANSP'!F14:F17)),$D$35)</f>
        <v>1</v>
      </c>
      <c r="I35" s="183" t="b">
        <f>ROUND('T1 ANSP'!G18,$D$35)=ROUND(('T1 ANSP'!G12+SUM('T1 ANSP'!G14:G17)),$D$35)</f>
        <v>1</v>
      </c>
      <c r="J35" s="183" t="b">
        <f>ROUND('T1 ANSP'!H18,$D$35)=ROUND(('T1 ANSP'!H12+SUM('T1 ANSP'!H14:H17)),$D$35)</f>
        <v>1</v>
      </c>
      <c r="K35" s="183" t="b">
        <f>ROUND('T1 ANSP'!I18,$D$35)=ROUND(('T1 ANSP'!I12+SUM('T1 ANSP'!I14:I17)),$D$35)</f>
        <v>1</v>
      </c>
      <c r="L35" s="183" t="b">
        <f>ROUND('T1 ANSP'!J18,$D$35)=ROUND(('T1 ANSP'!J12+SUM('T1 ANSP'!J14:J17)),$D$35)</f>
        <v>1</v>
      </c>
      <c r="M35" s="183" t="b">
        <f>ROUND('T1 ANSP'!K18,$D$35)=ROUND(('T1 ANSP'!K12+SUM('T1 ANSP'!K14:K17)),$D$35)</f>
        <v>1</v>
      </c>
      <c r="N35" s="183" t="b">
        <f>ROUND('T1 ANSP'!L18,$D$35)=ROUND(('T1 ANSP'!L12+SUM('T1 ANSP'!L14:L17)),$D$35)</f>
        <v>1</v>
      </c>
      <c r="O35" s="183" t="b">
        <f>ROUND('T1 ANSP'!M18,$D$35)=ROUND(('T1 ANSP'!M12+SUM('T1 ANSP'!M14:M17)),$D$35)</f>
        <v>1</v>
      </c>
      <c r="P35" s="183" t="b">
        <f>ROUND('T1 ANSP'!N18,$D$35)=ROUND(('T1 ANSP'!N12+SUM('T1 ANSP'!N14:N17)),$D$35)</f>
        <v>1</v>
      </c>
      <c r="Q35" s="183" t="b">
        <f>ROUND('T1 ANSP'!O18,$D$35)=ROUND(('T1 ANSP'!O12+SUM('T1 ANSP'!O14:O17)),$D$35)</f>
        <v>1</v>
      </c>
      <c r="R35" s="163"/>
      <c r="S35" s="183" t="b">
        <f>ROUND('T1 ANSP'!T18,$D$35)=ROUND(('T1 ANSP'!T12+SUM('T1 ANSP'!T14:T17)),$D$35)</f>
        <v>1</v>
      </c>
      <c r="T35" s="183" t="b">
        <f>ROUND('T1 ANSP'!U18,$D$35)=ROUND(('T1 ANSP'!U12+SUM('T1 ANSP'!U14:U17)),$D$35)</f>
        <v>1</v>
      </c>
    </row>
    <row r="36" spans="1:27" s="190" customFormat="1" ht="15" customHeight="1" outlineLevel="1">
      <c r="A36" s="185"/>
      <c r="B36" s="196"/>
      <c r="C36" s="187" t="s">
        <v>24</v>
      </c>
      <c r="D36" s="191"/>
      <c r="E36" s="878">
        <f>ROUND('T1 ANSP'!C18,$D$35)</f>
        <v>572692.66500000004</v>
      </c>
      <c r="F36" s="878">
        <f>ROUND('T1 ANSP'!D18,$D$35)</f>
        <v>635977.527</v>
      </c>
      <c r="G36" s="878">
        <f>ROUND('T1 ANSP'!E18,$D$35)</f>
        <v>583336.31799999997</v>
      </c>
      <c r="H36" s="878">
        <f>ROUND('T1 ANSP'!F18,$D$35)</f>
        <v>573075.10199999996</v>
      </c>
      <c r="I36" s="878">
        <f>ROUND('T1 ANSP'!G18,$D$35)</f>
        <v>577164.61800000002</v>
      </c>
      <c r="J36" s="878">
        <f>ROUND('T1 ANSP'!H18,$D$35)</f>
        <v>567866.76399999997</v>
      </c>
      <c r="K36" s="878">
        <f>ROUND('T1 ANSP'!I18,$D$35)</f>
        <v>602995.23400000005</v>
      </c>
      <c r="L36" s="878">
        <f>ROUND('T1 ANSP'!J18,$D$35)</f>
        <v>619030.27300000004</v>
      </c>
      <c r="M36" s="878">
        <f>ROUND('T1 ANSP'!K18,$D$35)</f>
        <v>689955.37800000003</v>
      </c>
      <c r="N36" s="878">
        <f>ROUND('T1 ANSP'!L18,$D$35)</f>
        <v>674270.83200000005</v>
      </c>
      <c r="O36" s="878">
        <f>ROUND('T1 ANSP'!M18,$D$35)</f>
        <v>688739.42299999995</v>
      </c>
      <c r="P36" s="878">
        <f>ROUND('T1 ANSP'!N18,$D$35)</f>
        <v>703645.25600000005</v>
      </c>
      <c r="Q36" s="878">
        <f>ROUND('T1 ANSP'!O18,$D$35)</f>
        <v>738499.39399999997</v>
      </c>
      <c r="R36" s="163"/>
      <c r="S36" s="878">
        <f>ROUND('T1 ANSP'!T18,$D$35)</f>
        <v>681321.67500000005</v>
      </c>
      <c r="T36" s="878">
        <f>ROUND('T1 ANSP'!U18,$D$35)</f>
        <v>551130.21</v>
      </c>
    </row>
    <row r="37" spans="1:27" s="190" customFormat="1" ht="15" customHeight="1" outlineLevel="1">
      <c r="A37" s="185"/>
      <c r="B37" s="186"/>
      <c r="C37" s="187" t="s">
        <v>25</v>
      </c>
      <c r="D37" s="191"/>
      <c r="E37" s="878">
        <f>ROUND(('T1 ANSP'!C12+SUM('T1 ANSP'!C14:C17)),$D$35)</f>
        <v>572692.66500000004</v>
      </c>
      <c r="F37" s="878">
        <f>ROUND(('T1 ANSP'!D12+SUM('T1 ANSP'!D14:D17)),$D$35)</f>
        <v>635977.527</v>
      </c>
      <c r="G37" s="878">
        <f>ROUND(('T1 ANSP'!E12+SUM('T1 ANSP'!E14:E17)),$D$35)</f>
        <v>583336.31799999997</v>
      </c>
      <c r="H37" s="878">
        <f>ROUND(('T1 ANSP'!F12+SUM('T1 ANSP'!F14:F17)),$D$35)</f>
        <v>573075.10199999996</v>
      </c>
      <c r="I37" s="878">
        <f>ROUND(('T1 ANSP'!G12+SUM('T1 ANSP'!G14:G17)),$D$35)</f>
        <v>577164.61800000002</v>
      </c>
      <c r="J37" s="878">
        <f>ROUND(('T1 ANSP'!H12+SUM('T1 ANSP'!H14:H17)),$D$35)</f>
        <v>567866.76399999997</v>
      </c>
      <c r="K37" s="878">
        <f>ROUND(('T1 ANSP'!I12+SUM('T1 ANSP'!I14:I17)),$D$35)</f>
        <v>602995.23400000005</v>
      </c>
      <c r="L37" s="878">
        <f>ROUND(('T1 ANSP'!J12+SUM('T1 ANSP'!J14:J17)),$D$35)</f>
        <v>619030.27300000004</v>
      </c>
      <c r="M37" s="878">
        <f>ROUND(('T1 ANSP'!K12+SUM('T1 ANSP'!K14:K17)),$D$35)</f>
        <v>689955.37800000003</v>
      </c>
      <c r="N37" s="878">
        <f>ROUND(('T1 ANSP'!L12+SUM('T1 ANSP'!L14:L17)),$D$35)</f>
        <v>674270.83200000005</v>
      </c>
      <c r="O37" s="878">
        <f>ROUND(('T1 ANSP'!M12+SUM('T1 ANSP'!M14:M17)),$D$35)</f>
        <v>688739.42299999995</v>
      </c>
      <c r="P37" s="878">
        <f>ROUND(('T1 ANSP'!N12+SUM('T1 ANSP'!N14:N17)),$D$35)</f>
        <v>703645.25600000005</v>
      </c>
      <c r="Q37" s="878">
        <f>ROUND(('T1 ANSP'!O12+SUM('T1 ANSP'!O14:O17)),$D$35)</f>
        <v>738499.39399999997</v>
      </c>
      <c r="R37" s="163"/>
      <c r="S37" s="878">
        <f>ROUND(('T1 ANSP'!T12+SUM('T1 ANSP'!T14:T17)),$D$35)</f>
        <v>681321.67500000005</v>
      </c>
      <c r="T37" s="878">
        <f>ROUND(('T1 ANSP'!U12+SUM('T1 ANSP'!U14:U17)),$D$35)</f>
        <v>551130.21</v>
      </c>
    </row>
    <row r="38" spans="1:27" s="184" customFormat="1" ht="15" customHeight="1">
      <c r="A38" s="179" t="s">
        <v>26</v>
      </c>
      <c r="B38" s="180" t="s">
        <v>27</v>
      </c>
      <c r="C38" s="181" t="s">
        <v>28</v>
      </c>
      <c r="D38" s="195">
        <v>3</v>
      </c>
      <c r="E38" s="183" t="b">
        <f>ROUND('T1 ANSP'!C31,$D$38)=ROUND(SUM('T1 ANSP'!C22:C30),$D$38)</f>
        <v>1</v>
      </c>
      <c r="F38" s="183" t="b">
        <f>ROUND('T1 ANSP'!D31,$D$38)=ROUND(SUM('T1 ANSP'!D22:D30),$D$38)</f>
        <v>1</v>
      </c>
      <c r="G38" s="183" t="b">
        <f>ROUND('T1 ANSP'!E31,$D$38)=ROUND(SUM('T1 ANSP'!E22:E30),$D$38)</f>
        <v>1</v>
      </c>
      <c r="H38" s="183" t="b">
        <f>ROUND('T1 ANSP'!F31,$D$38)=ROUND(SUM('T1 ANSP'!F22:F30),$D$38)</f>
        <v>1</v>
      </c>
      <c r="I38" s="183" t="b">
        <f>ROUND('T1 ANSP'!G31,$D$38)=ROUND(SUM('T1 ANSP'!G22:G30),$D$38)</f>
        <v>1</v>
      </c>
      <c r="J38" s="183" t="b">
        <f>ROUND('T1 ANSP'!H31,$D$38)=ROUND(SUM('T1 ANSP'!H22:H30),$D$38)</f>
        <v>1</v>
      </c>
      <c r="K38" s="183" t="b">
        <f>ROUND('T1 ANSP'!I31,$D$38)=ROUND(SUM('T1 ANSP'!I22:I30),$D$38)</f>
        <v>1</v>
      </c>
      <c r="L38" s="183" t="b">
        <f>ROUND('T1 ANSP'!J31,$D$38)=ROUND(SUM('T1 ANSP'!J22:J30),$D$38)</f>
        <v>1</v>
      </c>
      <c r="M38" s="183" t="b">
        <f>ROUND('T1 ANSP'!K31,$D$38)=ROUND(SUM('T1 ANSP'!K22:K30),$D$38)</f>
        <v>1</v>
      </c>
      <c r="N38" s="183" t="b">
        <f>ROUND('T1 ANSP'!L31,$D$38)=ROUND(SUM('T1 ANSP'!L22:L30),$D$38)</f>
        <v>1</v>
      </c>
      <c r="O38" s="183" t="b">
        <f>ROUND('T1 ANSP'!M31,$D$38)=ROUND(SUM('T1 ANSP'!M22:M30),$D$38)</f>
        <v>1</v>
      </c>
      <c r="P38" s="183" t="b">
        <f>ROUND('T1 ANSP'!N31,$D$38)=ROUND(SUM('T1 ANSP'!N22:N30),$D$38)</f>
        <v>1</v>
      </c>
      <c r="Q38" s="183" t="b">
        <f>ROUND('T1 ANSP'!O31,$D$38)=ROUND(SUM('T1 ANSP'!O22:O30),$D$38)</f>
        <v>1</v>
      </c>
      <c r="R38" s="163"/>
      <c r="S38" s="183" t="b">
        <f>ROUND('T1 ANSP'!T31,$D$38)=ROUND(SUM('T1 ANSP'!T22:T30),$D$38)</f>
        <v>1</v>
      </c>
      <c r="T38" s="183" t="b">
        <f>ROUND('T1 ANSP'!U31,$D$38)=ROUND(SUM('T1 ANSP'!U22:U30),$D$38)</f>
        <v>1</v>
      </c>
    </row>
    <row r="39" spans="1:27" s="190" customFormat="1" ht="15" customHeight="1" outlineLevel="1">
      <c r="A39" s="185"/>
      <c r="B39" s="186"/>
      <c r="C39" s="187" t="s">
        <v>29</v>
      </c>
      <c r="D39" s="191"/>
      <c r="E39" s="878">
        <f>ROUND('T1 ANSP'!C31,$D$38)</f>
        <v>572692.66500000004</v>
      </c>
      <c r="F39" s="878">
        <f>ROUND('T1 ANSP'!D31,$D$38)</f>
        <v>635977.527</v>
      </c>
      <c r="G39" s="878">
        <f>ROUND('T1 ANSP'!E31,$D$38)</f>
        <v>583336.31799999997</v>
      </c>
      <c r="H39" s="878">
        <f>ROUND('T1 ANSP'!F31,$D$38)</f>
        <v>573075.10199999996</v>
      </c>
      <c r="I39" s="878">
        <f>ROUND('T1 ANSP'!G31,$D$38)</f>
        <v>577164.61800000002</v>
      </c>
      <c r="J39" s="878">
        <f>ROUND('T1 ANSP'!H31,$D$38)</f>
        <v>567866.76399999997</v>
      </c>
      <c r="K39" s="878">
        <f>ROUND('T1 ANSP'!I31,$D$38)</f>
        <v>602995.23400000005</v>
      </c>
      <c r="L39" s="878">
        <f>ROUND('T1 ANSP'!J31,$D$38)</f>
        <v>619030.27300000004</v>
      </c>
      <c r="M39" s="878">
        <f>ROUND('T1 ANSP'!K31,$D$38)</f>
        <v>689955.37800000003</v>
      </c>
      <c r="N39" s="878">
        <f>ROUND('T1 ANSP'!L31,$D$38)</f>
        <v>674270.83200000005</v>
      </c>
      <c r="O39" s="878">
        <f>ROUND('T1 ANSP'!M31,$D$38)</f>
        <v>688739.42299999995</v>
      </c>
      <c r="P39" s="878">
        <f>ROUND('T1 ANSP'!N31,$D$38)</f>
        <v>703645.25600000005</v>
      </c>
      <c r="Q39" s="878">
        <f>ROUND('T1 ANSP'!O31,$D$38)</f>
        <v>738499.39399999997</v>
      </c>
      <c r="R39" s="163"/>
      <c r="S39" s="878">
        <f>ROUND('T1 ANSP'!T31,$D$38)</f>
        <v>681321.67500000005</v>
      </c>
      <c r="T39" s="878">
        <f>ROUND('T1 ANSP'!U31,$D$38)</f>
        <v>551130.21</v>
      </c>
    </row>
    <row r="40" spans="1:27" s="190" customFormat="1" ht="15" customHeight="1" outlineLevel="1">
      <c r="A40" s="185"/>
      <c r="B40" s="186"/>
      <c r="C40" s="187" t="s">
        <v>30</v>
      </c>
      <c r="D40" s="191"/>
      <c r="E40" s="878">
        <f>ROUND(SUM('T1 ANSP'!C22:C30),$D$956)</f>
        <v>572693</v>
      </c>
      <c r="F40" s="878">
        <f>ROUND(SUM('T1 ANSP'!D22:D30),$D$956)</f>
        <v>635978</v>
      </c>
      <c r="G40" s="878">
        <f>ROUND(SUM('T1 ANSP'!E22:E30),$D$956)</f>
        <v>583336</v>
      </c>
      <c r="H40" s="878">
        <f>ROUND(SUM('T1 ANSP'!F22:F30),$D$956)</f>
        <v>573075</v>
      </c>
      <c r="I40" s="878">
        <f>ROUND(SUM('T1 ANSP'!G22:G30),$D$956)</f>
        <v>577165</v>
      </c>
      <c r="J40" s="878">
        <f>ROUND(SUM('T1 ANSP'!H22:H30),$D$956)</f>
        <v>567867</v>
      </c>
      <c r="K40" s="878">
        <f>ROUND(SUM('T1 ANSP'!I22:I30),$D$956)</f>
        <v>602995</v>
      </c>
      <c r="L40" s="878">
        <f>ROUND(SUM('T1 ANSP'!J22:J30),$D$956)</f>
        <v>619030</v>
      </c>
      <c r="M40" s="878">
        <f>ROUND(SUM('T1 ANSP'!K22:K30),$D$956)</f>
        <v>689955</v>
      </c>
      <c r="N40" s="878">
        <f>ROUND(SUM('T1 ANSP'!L22:L30),$D$956)</f>
        <v>674271</v>
      </c>
      <c r="O40" s="878">
        <f>ROUND(SUM('T1 ANSP'!M22:M30),$D$956)</f>
        <v>688739</v>
      </c>
      <c r="P40" s="878">
        <f>ROUND(SUM('T1 ANSP'!N22:N30),$D$956)</f>
        <v>703645</v>
      </c>
      <c r="Q40" s="878">
        <f>ROUND(SUM('T1 ANSP'!O22:O30),$D$956)</f>
        <v>738499</v>
      </c>
      <c r="R40" s="163"/>
      <c r="S40" s="878">
        <f>ROUND(SUM('T1 ANSP'!T22:T30),$D$956)</f>
        <v>681322</v>
      </c>
      <c r="T40" s="878">
        <f>ROUND(SUM('T1 ANSP'!U22:U30),$D$956)</f>
        <v>551130</v>
      </c>
    </row>
    <row r="41" spans="1:27" s="184" customFormat="1" ht="15" customHeight="1">
      <c r="A41" s="197" t="s">
        <v>31</v>
      </c>
      <c r="B41" s="180" t="s">
        <v>52</v>
      </c>
      <c r="C41" s="181" t="s">
        <v>32</v>
      </c>
      <c r="D41" s="195">
        <v>3</v>
      </c>
      <c r="E41" s="183" t="b">
        <f>ROUND('T1 ANSP'!C18,$D$41)=ROUND('T1 ANSP'!C31,$D$41)</f>
        <v>1</v>
      </c>
      <c r="F41" s="183" t="b">
        <f>ROUND('T1 ANSP'!D18,$D$41)=ROUND('T1 ANSP'!D31,$D$41)</f>
        <v>1</v>
      </c>
      <c r="G41" s="183" t="b">
        <f>ROUND('T1 ANSP'!E18,$D$41)=ROUND('T1 ANSP'!E31,$D$41)</f>
        <v>1</v>
      </c>
      <c r="H41" s="183" t="b">
        <f>ROUND('T1 ANSP'!F18,$D$41)=ROUND('T1 ANSP'!F31,$D$41)</f>
        <v>1</v>
      </c>
      <c r="I41" s="183" t="b">
        <f>ROUND('T1 ANSP'!G18,$D$41)=ROUND('T1 ANSP'!G31,$D$41)</f>
        <v>1</v>
      </c>
      <c r="J41" s="183" t="b">
        <f>ROUND('T1 ANSP'!H18,$D$41)=ROUND('T1 ANSP'!H31,$D$41)</f>
        <v>1</v>
      </c>
      <c r="K41" s="183" t="b">
        <f>ROUND('T1 ANSP'!I18,$D$41)=ROUND('T1 ANSP'!I31,$D$41)</f>
        <v>1</v>
      </c>
      <c r="L41" s="183" t="b">
        <f>ROUND('T1 ANSP'!J18,$D$41)=ROUND('T1 ANSP'!J31,$D$41)</f>
        <v>1</v>
      </c>
      <c r="M41" s="183" t="b">
        <f>ROUND('T1 ANSP'!K18,$D$41)=ROUND('T1 ANSP'!K31,$D$41)</f>
        <v>1</v>
      </c>
      <c r="N41" s="183" t="b">
        <f>ROUND('T1 ANSP'!L18,$D$41)=ROUND('T1 ANSP'!L31,$D$41)</f>
        <v>1</v>
      </c>
      <c r="O41" s="183" t="b">
        <f>ROUND('T1 ANSP'!M18,$D$41)=ROUND('T1 ANSP'!M31,$D$41)</f>
        <v>1</v>
      </c>
      <c r="P41" s="183" t="b">
        <f>ROUND('T1 ANSP'!N18,$D$41)=ROUND('T1 ANSP'!N31,$D$41)</f>
        <v>1</v>
      </c>
      <c r="Q41" s="183" t="b">
        <f>ROUND('T1 ANSP'!O18,$D$41)=ROUND('T1 ANSP'!O31,$D$41)</f>
        <v>1</v>
      </c>
      <c r="R41" s="163"/>
      <c r="S41" s="183" t="b">
        <f>ROUND('T1 ANSP'!T18,$D$41)=ROUND('T1 ANSP'!T31,$D$41)</f>
        <v>1</v>
      </c>
      <c r="T41" s="183" t="b">
        <f>ROUND('T1 ANSP'!U18,$D$41)=ROUND('T1 ANSP'!U31,$D$41)</f>
        <v>1</v>
      </c>
    </row>
    <row r="42" spans="1:27" s="190" customFormat="1" ht="15" customHeight="1" outlineLevel="1">
      <c r="A42" s="198"/>
      <c r="B42" s="186"/>
      <c r="C42" s="187" t="s">
        <v>24</v>
      </c>
      <c r="D42" s="191"/>
      <c r="E42" s="878">
        <f>ROUND('T1 ANSP'!C18,$D$41)</f>
        <v>572692.66500000004</v>
      </c>
      <c r="F42" s="878">
        <f>ROUND('T1 ANSP'!D18,$D$41)</f>
        <v>635977.527</v>
      </c>
      <c r="G42" s="878">
        <f>ROUND('T1 ANSP'!E18,$D$41)</f>
        <v>583336.31799999997</v>
      </c>
      <c r="H42" s="878">
        <f>ROUND('T1 ANSP'!F18,$D$41)</f>
        <v>573075.10199999996</v>
      </c>
      <c r="I42" s="878">
        <f>ROUND('T1 ANSP'!G18,$D$41)</f>
        <v>577164.61800000002</v>
      </c>
      <c r="J42" s="878">
        <f>ROUND('T1 ANSP'!H18,$D$41)</f>
        <v>567866.76399999997</v>
      </c>
      <c r="K42" s="878">
        <f>ROUND('T1 ANSP'!I18,$D$41)</f>
        <v>602995.23400000005</v>
      </c>
      <c r="L42" s="878">
        <f>ROUND('T1 ANSP'!J18,$D$41)</f>
        <v>619030.27300000004</v>
      </c>
      <c r="M42" s="878">
        <f>ROUND('T1 ANSP'!K18,$D$41)</f>
        <v>689955.37800000003</v>
      </c>
      <c r="N42" s="878">
        <f>ROUND('T1 ANSP'!L18,$D$41)</f>
        <v>674270.83200000005</v>
      </c>
      <c r="O42" s="878">
        <f>ROUND('T1 ANSP'!M18,$D$41)</f>
        <v>688739.42299999995</v>
      </c>
      <c r="P42" s="878">
        <f>ROUND('T1 ANSP'!N18,$D$41)</f>
        <v>703645.25600000005</v>
      </c>
      <c r="Q42" s="878">
        <f>ROUND('T1 ANSP'!O18,$D$41)</f>
        <v>738499.39399999997</v>
      </c>
      <c r="R42" s="163"/>
      <c r="S42" s="878">
        <f>ROUND('T1 ANSP'!T18,$D$41)</f>
        <v>681321.67500000005</v>
      </c>
      <c r="T42" s="878">
        <f>ROUND('T1 ANSP'!U18,$D$41)</f>
        <v>551130.21</v>
      </c>
    </row>
    <row r="43" spans="1:27" s="190" customFormat="1" ht="15" customHeight="1" outlineLevel="1">
      <c r="A43" s="198"/>
      <c r="B43" s="186"/>
      <c r="C43" s="187" t="s">
        <v>29</v>
      </c>
      <c r="D43" s="191"/>
      <c r="E43" s="878">
        <f>ROUND('T1 ANSP'!C31,$D$41)</f>
        <v>572692.66500000004</v>
      </c>
      <c r="F43" s="878">
        <f>ROUND('T1 ANSP'!D31,$D$41)</f>
        <v>635977.527</v>
      </c>
      <c r="G43" s="878">
        <f>ROUND('T1 ANSP'!E31,$D$41)</f>
        <v>583336.31799999997</v>
      </c>
      <c r="H43" s="878">
        <f>ROUND('T1 ANSP'!F31,$D$41)</f>
        <v>573075.10199999996</v>
      </c>
      <c r="I43" s="878">
        <f>ROUND('T1 ANSP'!G31,$D$41)</f>
        <v>577164.61800000002</v>
      </c>
      <c r="J43" s="878">
        <f>ROUND('T1 ANSP'!H31,$D$41)</f>
        <v>567866.76399999997</v>
      </c>
      <c r="K43" s="878">
        <f>ROUND('T1 ANSP'!I31,$D$41)</f>
        <v>602995.23400000005</v>
      </c>
      <c r="L43" s="878">
        <f>ROUND('T1 ANSP'!J31,$D$41)</f>
        <v>619030.27300000004</v>
      </c>
      <c r="M43" s="878">
        <f>ROUND('T1 ANSP'!K31,$D$41)</f>
        <v>689955.37800000003</v>
      </c>
      <c r="N43" s="878">
        <f>ROUND('T1 ANSP'!L31,$D$41)</f>
        <v>674270.83200000005</v>
      </c>
      <c r="O43" s="878">
        <f>ROUND('T1 ANSP'!M31,$D$41)</f>
        <v>688739.42299999995</v>
      </c>
      <c r="P43" s="878">
        <f>ROUND('T1 ANSP'!N31,$D$41)</f>
        <v>703645.25600000005</v>
      </c>
      <c r="Q43" s="878">
        <f>ROUND('T1 ANSP'!O31,$D$41)</f>
        <v>738499.39399999997</v>
      </c>
      <c r="R43" s="163"/>
      <c r="S43" s="878">
        <f>ROUND('T1 ANSP'!T31,$D$41)</f>
        <v>681321.67500000005</v>
      </c>
      <c r="T43" s="878">
        <f>ROUND('T1 ANSP'!U31,$D$41)</f>
        <v>551130.21</v>
      </c>
    </row>
    <row r="44" spans="1:27" s="184" customFormat="1" ht="15" customHeight="1">
      <c r="A44" s="179" t="s">
        <v>53</v>
      </c>
      <c r="B44" s="879" t="s">
        <v>54</v>
      </c>
      <c r="C44" s="913" t="s">
        <v>55</v>
      </c>
      <c r="D44" s="881">
        <v>3</v>
      </c>
      <c r="M44" s="183" t="b">
        <f>ROUND('T1 ANSP'!K13,$D$44)&gt;0</f>
        <v>1</v>
      </c>
      <c r="N44" s="183" t="b">
        <f>ROUND('T1 ANSP'!L13,$D$44)&gt;0</f>
        <v>1</v>
      </c>
      <c r="O44" s="183" t="b">
        <f>ROUND('T1 ANSP'!M13,$D$44)&gt;0</f>
        <v>1</v>
      </c>
      <c r="P44" s="183" t="b">
        <f>ROUND('T1 ANSP'!N13,$D$44)&gt;0</f>
        <v>1</v>
      </c>
      <c r="Q44" s="183" t="b">
        <f>ROUND('T1 ANSP'!O13,$D$44)&gt;0</f>
        <v>1</v>
      </c>
      <c r="R44" s="163"/>
      <c r="S44" s="183" t="b">
        <f>ROUND('T1 ANSP'!T13,$D$44)&gt;0</f>
        <v>1</v>
      </c>
      <c r="T44" s="183" t="b">
        <f>ROUND('T1 ANSP'!U13,$D$44)&gt;0</f>
        <v>1</v>
      </c>
    </row>
    <row r="45" spans="1:27" s="190" customFormat="1" ht="15" customHeight="1" outlineLevel="1">
      <c r="A45" s="216"/>
      <c r="B45" s="882"/>
      <c r="C45" s="883" t="s">
        <v>56</v>
      </c>
      <c r="D45" s="884"/>
      <c r="M45" s="914">
        <f>ROUND('T1 ANSP'!K13,$D$44)</f>
        <v>83128.478000000003</v>
      </c>
      <c r="N45" s="914">
        <f>ROUND('T1 ANSP'!L13,$D$44)</f>
        <v>84398.385999999999</v>
      </c>
      <c r="O45" s="914">
        <f>ROUND('T1 ANSP'!M13,$D$44)</f>
        <v>85099.938999999998</v>
      </c>
      <c r="P45" s="914">
        <f>ROUND('T1 ANSP'!N13,$D$44)</f>
        <v>111191.65700000001</v>
      </c>
      <c r="Q45" s="914">
        <f>ROUND('T1 ANSP'!O13,$D$44)</f>
        <v>111865.126</v>
      </c>
      <c r="R45" s="163"/>
      <c r="S45" s="914">
        <f>ROUND('T1 ANSP'!T13,$D$44)</f>
        <v>81239.569000000003</v>
      </c>
      <c r="T45" s="914">
        <f>ROUND('T1 ANSP'!U13,$D$44)</f>
        <v>78750.592999999993</v>
      </c>
      <c r="U45" s="184"/>
      <c r="V45" s="184"/>
      <c r="W45" s="184"/>
      <c r="X45" s="184"/>
      <c r="Y45" s="184"/>
      <c r="Z45" s="184"/>
      <c r="AA45" s="184"/>
    </row>
    <row r="46" spans="1:27" s="184" customFormat="1" ht="15" customHeight="1">
      <c r="A46" s="179" t="s">
        <v>37</v>
      </c>
      <c r="B46" s="180" t="s">
        <v>38</v>
      </c>
      <c r="C46" s="181" t="s">
        <v>39</v>
      </c>
      <c r="D46" s="182">
        <v>2</v>
      </c>
      <c r="F46" s="183" t="b">
        <f>ROUND('T1 ANSP'!C65*(1+'T1'!D64),$D$46)=ROUND('T1 ANSP'!D65,$D$46)</f>
        <v>1</v>
      </c>
      <c r="G46" s="183" t="b">
        <f>ROUND('T1 ANSP'!D65*(1+'T1'!E64),$D$46)=ROUND('T1 ANSP'!E65,$D$46)</f>
        <v>1</v>
      </c>
      <c r="H46" s="183" t="b">
        <f>ROUND('T1 ANSP'!E65*(1+'T1'!F64),$D$46)=ROUND('T1 ANSP'!F65,$D$46)</f>
        <v>1</v>
      </c>
      <c r="I46" s="183" t="b">
        <f>ROUND('T1 ANSP'!F65*(1+'T1'!G64),$D$46)=ROUND('T1 ANSP'!G65,$D$46)</f>
        <v>1</v>
      </c>
      <c r="J46" s="183" t="b">
        <f>ROUND('T1 ANSP'!G65*(1+'T1'!H64),$D$46)=ROUND('T1 ANSP'!H65,$D$46)</f>
        <v>1</v>
      </c>
      <c r="K46" s="183" t="b">
        <f>ROUND('T1 ANSP'!H65*(1+'T1'!I64),$D$46)=ROUND('T1 ANSP'!I65,$D$46)</f>
        <v>1</v>
      </c>
      <c r="L46" s="183" t="b">
        <f>ROUND('T1 ANSP'!I65*(1+'T1'!J64),$D$46)=ROUND('T1 ANSP'!J65,$D$46)</f>
        <v>1</v>
      </c>
      <c r="M46" s="183" t="b">
        <f>ROUND('T1 ANSP'!J65*(1+'T1'!K64),$D$46)=ROUND('T1 ANSP'!K65,$D$46)</f>
        <v>0</v>
      </c>
      <c r="N46" s="183" t="b">
        <f>ROUND('T1 ANSP'!K65*(1+'T1'!L64),$D$46)=ROUND('T1 ANSP'!L65,$D$46)</f>
        <v>1</v>
      </c>
      <c r="O46" s="183" t="b">
        <f>ROUND('T1 ANSP'!L65*(1+'T1'!M64),$D$46)=ROUND('T1 ANSP'!M65,$D$46)</f>
        <v>1</v>
      </c>
      <c r="P46" s="183" t="b">
        <f>ROUND('T1 ANSP'!M65*(1+'T1'!N64),$D$46)=ROUND('T1 ANSP'!N65,$D$46)</f>
        <v>1</v>
      </c>
      <c r="Q46" s="183" t="b">
        <f>ROUND('T1 ANSP'!N65*(1+'T1'!O64),$D$46)=ROUND('T1 ANSP'!O65,$D$46)</f>
        <v>1</v>
      </c>
      <c r="R46" s="163"/>
      <c r="S46" s="183" t="b">
        <f>ROUND('T1 ANSP'!S65*(1+'T1'!T64),$D$46)=ROUND('T1 ANSP'!T65,$D$46)</f>
        <v>0</v>
      </c>
      <c r="T46" s="183" t="b">
        <f>ROUND('T1 ANSP'!T65*(1+'T1'!U64),$D$46)=ROUND('T1 ANSP'!U65,$D$46)</f>
        <v>1</v>
      </c>
    </row>
    <row r="47" spans="1:27" s="190" customFormat="1" ht="15" customHeight="1" outlineLevel="1">
      <c r="A47" s="185"/>
      <c r="B47" s="186"/>
      <c r="C47" s="187" t="s">
        <v>40</v>
      </c>
      <c r="D47" s="191"/>
      <c r="F47" s="215">
        <f>ROUND('T1 ANSP'!C65*(1+'T1'!D64),$D$46)</f>
        <v>95.27</v>
      </c>
      <c r="G47" s="215">
        <f>ROUND('T1 ANSP'!D65*(1+'T1'!E64),$D$46)</f>
        <v>96.69</v>
      </c>
      <c r="H47" s="215">
        <f>ROUND('T1 ANSP'!E65*(1+'T1'!F64),$D$46)</f>
        <v>96.69</v>
      </c>
      <c r="I47" s="215">
        <f>ROUND('T1 ANSP'!F65*(1+'T1'!G64),$D$46)</f>
        <v>97.37</v>
      </c>
      <c r="J47" s="215">
        <f>ROUND('T1 ANSP'!G65*(1+'T1'!H64),$D$46)</f>
        <v>100</v>
      </c>
      <c r="K47" s="215">
        <f>ROUND('T1 ANSP'!H65*(1+'T1'!I64),$D$46)</f>
        <v>102.5</v>
      </c>
      <c r="L47" s="215">
        <f>ROUND('T1 ANSP'!I65*(1+'T1'!J64),$D$46)</f>
        <v>104.35</v>
      </c>
      <c r="M47" s="215">
        <f>ROUND('T1 ANSP'!J65*(1+'T1'!K64),$D$46)</f>
        <v>106.43</v>
      </c>
      <c r="N47" s="215">
        <f>ROUND('T1 ANSP'!K65*(1+'T1'!L64),$D$46)</f>
        <v>108.57</v>
      </c>
      <c r="O47" s="215">
        <f>ROUND('T1 ANSP'!L65*(1+'T1'!M64),$D$46)</f>
        <v>110.74</v>
      </c>
      <c r="P47" s="215">
        <f>ROUND('T1 ANSP'!M65*(1+'T1'!N64),$D$46)</f>
        <v>115.22</v>
      </c>
      <c r="Q47" s="215">
        <f>ROUND('T1 ANSP'!N65*(1+'T1'!O64),$D$46)</f>
        <v>116.99</v>
      </c>
      <c r="R47" s="163"/>
      <c r="S47" s="215">
        <f>ROUND('T1 ANSP'!S65*(1+'T1'!T64),$D$46)</f>
        <v>0</v>
      </c>
      <c r="T47" s="215">
        <f>ROUND('T1 ANSP'!T65*(1+'T1'!U64),$D$46)</f>
        <v>108.02</v>
      </c>
    </row>
    <row r="48" spans="1:27" s="190" customFormat="1" ht="15" customHeight="1" outlineLevel="1">
      <c r="A48" s="185"/>
      <c r="B48" s="186"/>
      <c r="C48" s="187" t="s">
        <v>41</v>
      </c>
      <c r="D48" s="191"/>
      <c r="F48" s="215">
        <f>ROUND('T1 ANSP'!D65,$D$46)</f>
        <v>95.27</v>
      </c>
      <c r="G48" s="215">
        <f>ROUND('T1 ANSP'!E65,$D$46)</f>
        <v>96.69</v>
      </c>
      <c r="H48" s="215">
        <f>ROUND('T1 ANSP'!F65,$D$46)</f>
        <v>96.69</v>
      </c>
      <c r="I48" s="215">
        <f>ROUND('T1 ANSP'!G65,$D$46)</f>
        <v>97.37</v>
      </c>
      <c r="J48" s="215">
        <f>ROUND('T1 ANSP'!H65,$D$46)</f>
        <v>100</v>
      </c>
      <c r="K48" s="215">
        <f>ROUND('T1 ANSP'!I65,$D$46)</f>
        <v>102.5</v>
      </c>
      <c r="L48" s="215">
        <f>ROUND('T1 ANSP'!J65,$D$46)</f>
        <v>104.35</v>
      </c>
      <c r="M48" s="215">
        <f>ROUND('T1 ANSP'!K65,$D$46)</f>
        <v>106.44</v>
      </c>
      <c r="N48" s="215">
        <f>ROUND('T1 ANSP'!L65,$D$46)</f>
        <v>108.57</v>
      </c>
      <c r="O48" s="215">
        <f>ROUND('T1 ANSP'!M65,$D$46)</f>
        <v>110.74</v>
      </c>
      <c r="P48" s="215">
        <f>ROUND('T1 ANSP'!N65,$D$46)</f>
        <v>115.22</v>
      </c>
      <c r="Q48" s="215">
        <f>ROUND('T1 ANSP'!O65,$D$46)</f>
        <v>116.99</v>
      </c>
      <c r="R48" s="163"/>
      <c r="S48" s="215">
        <f>ROUND('T1 ANSP'!T65,$D$46)</f>
        <v>105.28</v>
      </c>
      <c r="T48" s="215">
        <f>ROUND('T1 ANSP'!U65,$D$46)</f>
        <v>108.02</v>
      </c>
    </row>
    <row r="49" spans="1:20" s="184" customFormat="1" ht="15" customHeight="1">
      <c r="A49" s="179" t="s">
        <v>57</v>
      </c>
      <c r="B49" s="180" t="s">
        <v>58</v>
      </c>
      <c r="C49" s="181" t="s">
        <v>59</v>
      </c>
      <c r="D49" s="182">
        <v>3</v>
      </c>
      <c r="E49" s="183" t="b">
        <f>ROUND(((('T1 ANSP'!C61)/('T1 ANSP'!C65/100))),$D$49)=ROUND('T1 ANSP'!C66,$D$49)</f>
        <v>1</v>
      </c>
      <c r="F49" s="183" t="b">
        <f>ROUND(((('T1 ANSP'!D61)/('T1 ANSP'!D65/100))),$D$49)=ROUND('T1 ANSP'!D66,$D$49)</f>
        <v>1</v>
      </c>
      <c r="G49" s="183" t="b">
        <f>ROUND(((('T1 ANSP'!E61)/('T1 ANSP'!E65/100))),$D$49)=ROUND('T1 ANSP'!E66,$D$49)</f>
        <v>1</v>
      </c>
      <c r="H49" s="183" t="b">
        <f>ROUND(((('T1 ANSP'!F61)/('T1 ANSP'!F65/100))),$D$49)=ROUND('T1 ANSP'!F66,$D$49)</f>
        <v>1</v>
      </c>
      <c r="I49" s="183" t="b">
        <f>ROUND(((('T1 ANSP'!G61)/('T1 ANSP'!G65/100))),$D$49)=ROUND('T1 ANSP'!G66,$D$49)</f>
        <v>1</v>
      </c>
      <c r="J49" s="183" t="b">
        <f>ROUND(((('T1 ANSP'!H61)/('T1 ANSP'!H65/100))),$D$49)=ROUND('T1 ANSP'!H66,$D$49)</f>
        <v>1</v>
      </c>
      <c r="K49" s="183" t="b">
        <f>ROUND(((('T1 ANSP'!I61)/('T1 ANSP'!I65/100))),$D$49)=ROUND('T1 ANSP'!I66,$D$49)</f>
        <v>1</v>
      </c>
      <c r="L49" s="183" t="b">
        <f>ROUND(((('T1 ANSP'!J61)/('T1 ANSP'!J65/100))),$D$49)=ROUND('T1 ANSP'!J66,$D$49)</f>
        <v>1</v>
      </c>
      <c r="M49" s="183" t="b">
        <f>ROUND(((('T1 ANSP'!K61)/('T1 ANSP'!K65/100))),$D$49)=ROUND('T1 ANSP'!K66,$D$49)</f>
        <v>1</v>
      </c>
      <c r="N49" s="183" t="b">
        <f>ROUND(((('T1 ANSP'!L61)/('T1 ANSP'!L65/100))),$D$49)=ROUND('T1 ANSP'!L66,$D$49)</f>
        <v>1</v>
      </c>
      <c r="O49" s="183" t="b">
        <f>ROUND(((('T1 ANSP'!M61)/('T1 ANSP'!M65/100))),$D$49)=ROUND('T1 ANSP'!M66,$D$49)</f>
        <v>1</v>
      </c>
      <c r="P49" s="183" t="b">
        <f>ROUND(((('T1 ANSP'!N61)/('T1 ANSP'!N65/100))),$D$49)=ROUND('T1 ANSP'!N66,$D$49)</f>
        <v>1</v>
      </c>
      <c r="Q49" s="183" t="b">
        <f>ROUND(((('T1 ANSP'!O61)/('T1 ANSP'!O65/100))),$D$49)=ROUND('T1 ANSP'!O66,$D$49)</f>
        <v>1</v>
      </c>
      <c r="R49" s="163"/>
      <c r="S49" s="183" t="b">
        <f>ROUND(((('T1 ANSP'!T61)/('T1 ANSP'!T65/100))),$D$49)=ROUND('T1 ANSP'!T66,$D$49)</f>
        <v>1</v>
      </c>
      <c r="T49" s="183" t="b">
        <f>ROUND(((('T1 ANSP'!U61)/('T1 ANSP'!U65/100))),$D$49)=ROUND('T1 ANSP'!U66,$D$49)</f>
        <v>1</v>
      </c>
    </row>
    <row r="50" spans="1:20" s="190" customFormat="1" ht="15" customHeight="1" outlineLevel="1">
      <c r="A50" s="185"/>
      <c r="B50" s="186"/>
      <c r="C50" s="187" t="s">
        <v>60</v>
      </c>
      <c r="D50" s="191"/>
      <c r="E50" s="878">
        <f>ROUND(((('T1 ANSP'!C61)/('T1 ANSP'!C65/100))),$D$49)</f>
        <v>616786.61199999996</v>
      </c>
      <c r="F50" s="878">
        <f>ROUND(((('T1 ANSP'!D61)/('T1 ANSP'!D65/100))),$D$49)</f>
        <v>667586.777</v>
      </c>
      <c r="G50" s="878">
        <f>ROUND(((('T1 ANSP'!E61)/('T1 ANSP'!E65/100))),$D$49)</f>
        <v>603280.00300000003</v>
      </c>
      <c r="H50" s="878">
        <f>ROUND(((('T1 ANSP'!F61)/('T1 ANSP'!F65/100))),$D$49)</f>
        <v>592667.96600000001</v>
      </c>
      <c r="I50" s="878">
        <f>ROUND(((('T1 ANSP'!G61)/('T1 ANSP'!G65/100))),$D$49)</f>
        <v>592748.06299999997</v>
      </c>
      <c r="J50" s="878">
        <f>ROUND(((('T1 ANSP'!H61)/('T1 ANSP'!H65/100))),$D$49)</f>
        <v>567866.76399999997</v>
      </c>
      <c r="K50" s="878">
        <f>ROUND(((('T1 ANSP'!I61)/('T1 ANSP'!I65/100))),$D$49)</f>
        <v>588288.03300000005</v>
      </c>
      <c r="L50" s="878">
        <f>ROUND(((('T1 ANSP'!J61)/('T1 ANSP'!J65/100))),$D$49)</f>
        <v>593253.41200000001</v>
      </c>
      <c r="M50" s="878">
        <f>ROUND(((('T1 ANSP'!K61)/('T1 ANSP'!K65/100))),$D$49)</f>
        <v>648192.05900000001</v>
      </c>
      <c r="N50" s="878">
        <f>ROUND(((('T1 ANSP'!L61)/('T1 ANSP'!L65/100))),$D$49)</f>
        <v>621036.18299999996</v>
      </c>
      <c r="O50" s="878">
        <f>ROUND(((('T1 ANSP'!M61)/('T1 ANSP'!M65/100))),$D$49)</f>
        <v>621923.97699999996</v>
      </c>
      <c r="P50" s="878">
        <f>ROUND(((('T1 ANSP'!N61)/('T1 ANSP'!N65/100))),$D$49)</f>
        <v>610699.58700000006</v>
      </c>
      <c r="Q50" s="878">
        <f>ROUND(((('T1 ANSP'!O61)/('T1 ANSP'!O65/100))),$D$49)</f>
        <v>631259.4</v>
      </c>
      <c r="R50" s="163"/>
      <c r="S50" s="878">
        <f>ROUND(((('T1 ANSP'!T61)/('T1 ANSP'!T65/100))),$D$49)</f>
        <v>647126.81499999994</v>
      </c>
      <c r="T50" s="878">
        <f>ROUND(((('T1 ANSP'!U61)/('T1 ANSP'!U65/100))),$D$49)</f>
        <v>510204.22100000002</v>
      </c>
    </row>
    <row r="51" spans="1:20" s="190" customFormat="1" ht="15" customHeight="1" outlineLevel="1">
      <c r="A51" s="185"/>
      <c r="B51" s="186"/>
      <c r="C51" s="187" t="s">
        <v>61</v>
      </c>
      <c r="D51" s="191"/>
      <c r="E51" s="878">
        <f>ROUND('T1 ANSP'!C66,$D$49)</f>
        <v>616786.61199999996</v>
      </c>
      <c r="F51" s="878">
        <f>ROUND('T1 ANSP'!D66,$D$49)</f>
        <v>667586.777</v>
      </c>
      <c r="G51" s="878">
        <f>ROUND('T1 ANSP'!E66,$D$49)</f>
        <v>603280.00300000003</v>
      </c>
      <c r="H51" s="878">
        <f>ROUND('T1 ANSP'!F66,$D$49)</f>
        <v>592667.96600000001</v>
      </c>
      <c r="I51" s="878">
        <f>ROUND('T1 ANSP'!G66,$D$49)</f>
        <v>592748.06299999997</v>
      </c>
      <c r="J51" s="878">
        <f>ROUND('T1 ANSP'!H66,$D$49)</f>
        <v>567866.76399999997</v>
      </c>
      <c r="K51" s="878">
        <f>ROUND('T1 ANSP'!I66,$D$49)</f>
        <v>588288.03300000005</v>
      </c>
      <c r="L51" s="878">
        <f>ROUND('T1 ANSP'!J66,$D$49)</f>
        <v>593253.41200000001</v>
      </c>
      <c r="M51" s="878">
        <f>ROUND('T1 ANSP'!K66,$D$49)</f>
        <v>648192.05900000001</v>
      </c>
      <c r="N51" s="878">
        <f>ROUND('T1 ANSP'!L66,$D$49)</f>
        <v>621036.18299999996</v>
      </c>
      <c r="O51" s="878">
        <f>ROUND('T1 ANSP'!M66,$D$49)</f>
        <v>621923.97699999996</v>
      </c>
      <c r="P51" s="878">
        <f>ROUND('T1 ANSP'!N66,$D$49)</f>
        <v>610699.58700000006</v>
      </c>
      <c r="Q51" s="878">
        <f>ROUND('T1 ANSP'!O66,$D$49)</f>
        <v>631259.4</v>
      </c>
      <c r="R51" s="163"/>
      <c r="S51" s="878">
        <f>ROUND('T1 ANSP'!T66,$D$49)</f>
        <v>647126.81499999994</v>
      </c>
      <c r="T51" s="878">
        <f>ROUND('T1 ANSP'!U66,$D$49)</f>
        <v>510204.22100000002</v>
      </c>
    </row>
    <row r="52" spans="1:20" s="184" customFormat="1" ht="15" customHeight="1">
      <c r="A52" s="179" t="s">
        <v>62</v>
      </c>
      <c r="B52" s="180" t="s">
        <v>63</v>
      </c>
      <c r="C52" s="181" t="s">
        <v>64</v>
      </c>
      <c r="D52" s="191"/>
      <c r="E52" s="183" t="b">
        <f>'T1 ANSP'!C68='T1'!C68</f>
        <v>1</v>
      </c>
      <c r="F52" s="183" t="b">
        <f>'T1 ANSP'!D68='T1'!D68</f>
        <v>1</v>
      </c>
      <c r="G52" s="183" t="b">
        <f>'T1 ANSP'!E68='T1'!E68</f>
        <v>1</v>
      </c>
      <c r="H52" s="183" t="b">
        <f>'T1 ANSP'!F68='T1'!F68</f>
        <v>1</v>
      </c>
      <c r="I52" s="183" t="b">
        <f>'T1 ANSP'!G68='T1'!G68</f>
        <v>1</v>
      </c>
      <c r="J52" s="183" t="b">
        <f>'T1 ANSP'!H68='T1'!H68</f>
        <v>1</v>
      </c>
      <c r="K52" s="183" t="b">
        <f>'T1 ANSP'!I68='T1'!I68</f>
        <v>1</v>
      </c>
      <c r="L52" s="183" t="b">
        <f>'T1 ANSP'!J68='T1'!J68</f>
        <v>1</v>
      </c>
      <c r="M52" s="183" t="b">
        <f>'T1 ANSP'!K68='T1'!K68</f>
        <v>1</v>
      </c>
      <c r="N52" s="183" t="b">
        <f>'T1 ANSP'!L68='T1'!L68</f>
        <v>1</v>
      </c>
      <c r="O52" s="183" t="b">
        <f>'T1 ANSP'!M68='T1'!M68</f>
        <v>1</v>
      </c>
      <c r="P52" s="183" t="b">
        <f>'T1 ANSP'!N68='T1'!N68</f>
        <v>1</v>
      </c>
      <c r="Q52" s="183" t="b">
        <f>'T1 ANSP'!O68='T1'!O68</f>
        <v>1</v>
      </c>
      <c r="R52" s="163"/>
      <c r="S52" s="183" t="b">
        <f>'T1 ANSP'!T68='T1'!T68</f>
        <v>1</v>
      </c>
      <c r="T52" s="183" t="b">
        <f>'T1 ANSP'!U68='T1'!U68</f>
        <v>1</v>
      </c>
    </row>
    <row r="53" spans="1:20" s="190" customFormat="1" ht="15" customHeight="1" outlineLevel="1">
      <c r="A53" s="185"/>
      <c r="B53" s="186"/>
      <c r="C53" s="187" t="s">
        <v>65</v>
      </c>
      <c r="D53" s="191"/>
      <c r="E53" s="878">
        <f>'T1 ANSP'!C68</f>
        <v>9607.8779999999988</v>
      </c>
      <c r="F53" s="878">
        <f>'T1 ANSP'!D68</f>
        <v>9754.9330000000009</v>
      </c>
      <c r="G53" s="878">
        <f>'T1 ANSP'!E68</f>
        <v>9979.4030000000002</v>
      </c>
      <c r="H53" s="878">
        <f>'T1 ANSP'!F68</f>
        <v>10153.9</v>
      </c>
      <c r="I53" s="878">
        <f>'T1 ANSP'!G68</f>
        <v>10874.798000000001</v>
      </c>
      <c r="J53" s="878">
        <f>'T1 ANSP'!H68</f>
        <v>11767.620999999999</v>
      </c>
      <c r="K53" s="878">
        <f>'T1 ANSP'!I68</f>
        <v>12194.153</v>
      </c>
      <c r="L53" s="878">
        <f>'T1 ANSP'!J68</f>
        <v>12593.8988214</v>
      </c>
      <c r="M53" s="878">
        <f>'T1 ANSP'!K68</f>
        <v>12647.945</v>
      </c>
      <c r="N53" s="878">
        <f>'T1 ANSP'!L68</f>
        <v>12891</v>
      </c>
      <c r="O53" s="878">
        <f>'T1 ANSP'!M68</f>
        <v>13183</v>
      </c>
      <c r="P53" s="878">
        <f>'T1 ANSP'!N68</f>
        <v>11715</v>
      </c>
      <c r="Q53" s="878">
        <f>'T1 ANSP'!O68</f>
        <v>12228</v>
      </c>
      <c r="R53" s="163"/>
      <c r="S53" s="878">
        <f>'T1 ANSP'!T68</f>
        <v>5099.1790000000001</v>
      </c>
      <c r="T53" s="878">
        <f>'T1 ANSP'!U68</f>
        <v>5395.3419999999996</v>
      </c>
    </row>
    <row r="54" spans="1:20" s="190" customFormat="1" ht="15" customHeight="1" outlineLevel="1">
      <c r="A54" s="185"/>
      <c r="B54" s="186"/>
      <c r="C54" s="187" t="s">
        <v>66</v>
      </c>
      <c r="D54" s="191"/>
      <c r="E54" s="878">
        <f>'T1'!C68</f>
        <v>9607.8779999999988</v>
      </c>
      <c r="F54" s="878">
        <f>'T1'!D68</f>
        <v>9754.9330000000009</v>
      </c>
      <c r="G54" s="878">
        <f>'T1'!E68</f>
        <v>9979.4030000000002</v>
      </c>
      <c r="H54" s="878">
        <f>'T1'!F68</f>
        <v>10153.9</v>
      </c>
      <c r="I54" s="878">
        <f>'T1'!G68</f>
        <v>10874.798000000001</v>
      </c>
      <c r="J54" s="878">
        <f>'T1'!H68</f>
        <v>11767.620999999999</v>
      </c>
      <c r="K54" s="878">
        <f>'T1'!I68</f>
        <v>12194.153</v>
      </c>
      <c r="L54" s="878">
        <f>'T1'!J68</f>
        <v>12593.8988214</v>
      </c>
      <c r="M54" s="878">
        <f>'T1'!K68</f>
        <v>12647.945</v>
      </c>
      <c r="N54" s="878">
        <f>'T1'!L68</f>
        <v>12891</v>
      </c>
      <c r="O54" s="878">
        <f>'T1'!M68</f>
        <v>13183</v>
      </c>
      <c r="P54" s="878">
        <f>'T1'!N68</f>
        <v>11715</v>
      </c>
      <c r="Q54" s="878">
        <f>'T1'!O68</f>
        <v>12228</v>
      </c>
      <c r="R54" s="163"/>
      <c r="S54" s="878">
        <f>'T1'!T68</f>
        <v>5099.1790000000001</v>
      </c>
      <c r="T54" s="878">
        <f>'T1'!U68</f>
        <v>5395.3419999999996</v>
      </c>
    </row>
    <row r="55" spans="1:20" s="184" customFormat="1" ht="15" customHeight="1">
      <c r="A55" s="179" t="s">
        <v>42</v>
      </c>
      <c r="B55" s="180" t="s">
        <v>43</v>
      </c>
      <c r="C55" s="181" t="s">
        <v>44</v>
      </c>
      <c r="D55" s="182">
        <v>2</v>
      </c>
      <c r="E55" s="183" t="b">
        <f>ROUND(('T1 ANSP'!C66/'T1 ANSP'!C68),$D$55)=ROUND('T1 ANSP'!C70,$D$55)</f>
        <v>1</v>
      </c>
      <c r="F55" s="183" t="b">
        <f>ROUND(('T1 ANSP'!D66/'T1 ANSP'!D68),$D$55)=ROUND('T1 ANSP'!D70,$D$55)</f>
        <v>1</v>
      </c>
      <c r="G55" s="183" t="b">
        <f>ROUND(('T1 ANSP'!E66/'T1 ANSP'!E68),$D$55)=ROUND('T1 ANSP'!E70,$D$55)</f>
        <v>1</v>
      </c>
      <c r="H55" s="183" t="b">
        <f>ROUND(('T1 ANSP'!F66/'T1 ANSP'!F68),$D$55)=ROUND('T1 ANSP'!F70,$D$55)</f>
        <v>1</v>
      </c>
      <c r="I55" s="183" t="b">
        <f>ROUND(('T1 ANSP'!G66/'T1 ANSP'!G68),$D$55)=ROUND('T1 ANSP'!G70,$D$55)</f>
        <v>1</v>
      </c>
      <c r="J55" s="183" t="b">
        <f>ROUND(('T1 ANSP'!H66/'T1 ANSP'!H68),$D$55)=ROUND('T1 ANSP'!H70,$D$55)</f>
        <v>1</v>
      </c>
      <c r="K55" s="183" t="b">
        <f>ROUND(('T1 ANSP'!I66/'T1 ANSP'!I68),$D$55)=ROUND('T1 ANSP'!I70,$D$55)</f>
        <v>1</v>
      </c>
      <c r="L55" s="183" t="b">
        <f>ROUND(('T1 ANSP'!J66/'T1 ANSP'!J68),$D$55)=ROUND('T1 ANSP'!J70,$D$55)</f>
        <v>1</v>
      </c>
      <c r="M55" s="183" t="b">
        <f>ROUND(('T1 ANSP'!K66/'T1 ANSP'!K68),$D$55)=ROUND('T1 ANSP'!K70,$D$55)</f>
        <v>1</v>
      </c>
      <c r="N55" s="183" t="b">
        <f>ROUND(('T1 ANSP'!L66/'T1 ANSP'!L68),$D$55)=ROUND('T1 ANSP'!L70,$D$55)</f>
        <v>1</v>
      </c>
      <c r="O55" s="183" t="b">
        <f>ROUND(('T1 ANSP'!M66/'T1 ANSP'!M68),$D$55)=ROUND('T1 ANSP'!M70,$D$55)</f>
        <v>1</v>
      </c>
      <c r="P55" s="183" t="b">
        <f>ROUND(('T1 ANSP'!N66/'T1 ANSP'!N68),$D$55)=ROUND('T1 ANSP'!N70,$D$55)</f>
        <v>1</v>
      </c>
      <c r="Q55" s="183" t="b">
        <f>ROUND(('T1 ANSP'!O66/'T1 ANSP'!O68),$D$55)=ROUND('T1 ANSP'!O70,$D$55)</f>
        <v>1</v>
      </c>
      <c r="R55" s="163"/>
      <c r="S55" s="183" t="b">
        <f>ROUND(('T1 ANSP'!T66/'T1 ANSP'!T68),$D$55)=ROUND('T1 ANSP'!T70,$D$55)</f>
        <v>1</v>
      </c>
      <c r="T55" s="183" t="b">
        <f>ROUND(('T1 ANSP'!U66/'T1 ANSP'!U68),$D$55)=ROUND('T1 ANSP'!U70,$D$55)</f>
        <v>1</v>
      </c>
    </row>
    <row r="56" spans="1:20" s="190" customFormat="1" ht="15" customHeight="1" outlineLevel="1">
      <c r="A56" s="185"/>
      <c r="B56" s="186"/>
      <c r="C56" s="187" t="s">
        <v>45</v>
      </c>
      <c r="D56" s="191"/>
      <c r="E56" s="215">
        <f>ROUND(('T1 ANSP'!C66/'T1 ANSP'!C68),$D$55)</f>
        <v>64.2</v>
      </c>
      <c r="F56" s="215">
        <f>ROUND(('T1 ANSP'!D66/'T1 ANSP'!D68),$D$55)</f>
        <v>68.44</v>
      </c>
      <c r="G56" s="215">
        <f>ROUND(('T1 ANSP'!E66/'T1 ANSP'!E68),$D$55)</f>
        <v>60.45</v>
      </c>
      <c r="H56" s="215">
        <f>ROUND(('T1 ANSP'!F66/'T1 ANSP'!F68),$D$55)</f>
        <v>58.37</v>
      </c>
      <c r="I56" s="215">
        <f>ROUND(('T1 ANSP'!G66/'T1 ANSP'!G68),$D$55)</f>
        <v>54.51</v>
      </c>
      <c r="J56" s="215">
        <f>ROUND(('T1 ANSP'!H66/'T1 ANSP'!H68),$D$55)</f>
        <v>48.26</v>
      </c>
      <c r="K56" s="215">
        <f>ROUND(('T1 ANSP'!I66/'T1 ANSP'!I68),$D$55)</f>
        <v>48.24</v>
      </c>
      <c r="L56" s="215">
        <f>ROUND(('T1 ANSP'!J66/'T1 ANSP'!J68),$D$55)</f>
        <v>47.11</v>
      </c>
      <c r="M56" s="215">
        <f>ROUND(('T1 ANSP'!K66/'T1 ANSP'!K68),$D$55)</f>
        <v>51.25</v>
      </c>
      <c r="N56" s="215">
        <f>ROUND(('T1 ANSP'!L66/'T1 ANSP'!L68),$D$55)</f>
        <v>48.18</v>
      </c>
      <c r="O56" s="215">
        <f>ROUND(('T1 ANSP'!M66/'T1 ANSP'!M68),$D$55)</f>
        <v>47.18</v>
      </c>
      <c r="P56" s="215">
        <f>ROUND(('T1 ANSP'!N66/'T1 ANSP'!N68),$D$55)</f>
        <v>52.13</v>
      </c>
      <c r="Q56" s="215">
        <f>ROUND(('T1 ANSP'!O66/'T1 ANSP'!O68),$D$55)</f>
        <v>51.62</v>
      </c>
      <c r="R56" s="163"/>
      <c r="S56" s="215">
        <f>ROUND(('T1 ANSP'!T66/'T1 ANSP'!T68),$D$55)</f>
        <v>126.91</v>
      </c>
      <c r="T56" s="215">
        <f>ROUND(('T1 ANSP'!U66/'T1 ANSP'!U68),$D$55)</f>
        <v>94.56</v>
      </c>
    </row>
    <row r="57" spans="1:20" s="190" customFormat="1" ht="15" customHeight="1" outlineLevel="1">
      <c r="A57" s="185"/>
      <c r="B57" s="186"/>
      <c r="C57" s="187" t="s">
        <v>46</v>
      </c>
      <c r="D57" s="191"/>
      <c r="E57" s="215">
        <f>ROUND('T1 ANSP'!C70,$D$55)</f>
        <v>64.2</v>
      </c>
      <c r="F57" s="215">
        <f>ROUND('T1 ANSP'!D70,$D$55)</f>
        <v>68.44</v>
      </c>
      <c r="G57" s="215">
        <f>ROUND('T1 ANSP'!E70,$D$55)</f>
        <v>60.45</v>
      </c>
      <c r="H57" s="215">
        <f>ROUND('T1 ANSP'!F70,$D$55)</f>
        <v>58.37</v>
      </c>
      <c r="I57" s="215">
        <f>ROUND('T1 ANSP'!G70,$D$55)</f>
        <v>54.51</v>
      </c>
      <c r="J57" s="215">
        <f>ROUND('T1 ANSP'!H70,$D$55)</f>
        <v>48.26</v>
      </c>
      <c r="K57" s="215">
        <f>ROUND('T1 ANSP'!I70,$D$55)</f>
        <v>48.24</v>
      </c>
      <c r="L57" s="215">
        <f>ROUND('T1 ANSP'!J70,$D$55)</f>
        <v>47.11</v>
      </c>
      <c r="M57" s="215">
        <f>ROUND('T1 ANSP'!K70,$D$55)</f>
        <v>51.25</v>
      </c>
      <c r="N57" s="215">
        <f>ROUND('T1 ANSP'!L70,$D$55)</f>
        <v>48.18</v>
      </c>
      <c r="O57" s="215">
        <f>ROUND('T1 ANSP'!M70,$D$55)</f>
        <v>47.18</v>
      </c>
      <c r="P57" s="215">
        <f>ROUND('T1 ANSP'!N70,$D$55)</f>
        <v>52.13</v>
      </c>
      <c r="Q57" s="215">
        <f>ROUND('T1 ANSP'!O70,$D$55)</f>
        <v>51.62</v>
      </c>
      <c r="R57" s="163"/>
      <c r="S57" s="215">
        <f>ROUND('T1 ANSP'!T70,$D$55)</f>
        <v>126.91</v>
      </c>
      <c r="T57" s="215">
        <f>ROUND('T1 ANSP'!U70,$D$55)</f>
        <v>94.56</v>
      </c>
    </row>
    <row r="58" spans="1:20" s="184" customFormat="1" ht="15" customHeight="1">
      <c r="A58" s="197" t="s">
        <v>67</v>
      </c>
      <c r="B58" s="180" t="s">
        <v>34</v>
      </c>
      <c r="C58" s="181" t="s">
        <v>68</v>
      </c>
      <c r="D58" s="191"/>
      <c r="E58" s="183" t="b">
        <f>'T1 ANSP'!C64='T1'!C64</f>
        <v>1</v>
      </c>
      <c r="F58" s="183" t="b">
        <f>'T1 ANSP'!D64='T1'!D64</f>
        <v>1</v>
      </c>
      <c r="G58" s="183" t="b">
        <f>'T1 ANSP'!E64='T1'!E64</f>
        <v>1</v>
      </c>
      <c r="H58" s="183" t="b">
        <f>'T1 ANSP'!F64='T1'!F64</f>
        <v>1</v>
      </c>
      <c r="I58" s="183" t="b">
        <f>'T1 ANSP'!G64='T1'!G64</f>
        <v>1</v>
      </c>
      <c r="J58" s="183" t="b">
        <f>'T1 ANSP'!H64='T1'!H64</f>
        <v>1</v>
      </c>
      <c r="K58" s="183" t="b">
        <f>'T1 ANSP'!I64='T1'!I64</f>
        <v>1</v>
      </c>
      <c r="L58" s="183" t="b">
        <f>'T1 ANSP'!J64='T1'!J64</f>
        <v>1</v>
      </c>
      <c r="M58" s="183" t="b">
        <f>'T1 ANSP'!K64='T1'!K64</f>
        <v>1</v>
      </c>
      <c r="N58" s="183" t="b">
        <f>'T1 ANSP'!L64='T1'!L64</f>
        <v>1</v>
      </c>
      <c r="O58" s="183" t="b">
        <f>'T1 ANSP'!M64='T1'!M64</f>
        <v>1</v>
      </c>
      <c r="P58" s="183" t="b">
        <f>'T1 ANSP'!N64='T1'!N64</f>
        <v>1</v>
      </c>
      <c r="Q58" s="183" t="b">
        <f>'T1 ANSP'!O64='T1'!O64</f>
        <v>1</v>
      </c>
      <c r="R58" s="163"/>
      <c r="S58" s="183" t="b">
        <f>'T1 ANSP'!T64='T1'!T64</f>
        <v>1</v>
      </c>
      <c r="T58" s="183" t="b">
        <f>'T1 ANSP'!U64='T1'!U64</f>
        <v>1</v>
      </c>
    </row>
    <row r="59" spans="1:20" s="190" customFormat="1" ht="15" customHeight="1" outlineLevel="1">
      <c r="A59" s="198"/>
      <c r="B59" s="186"/>
      <c r="C59" s="187" t="s">
        <v>69</v>
      </c>
      <c r="D59" s="191"/>
      <c r="E59" s="199">
        <f>'T1 ANSP'!C64</f>
        <v>2.8000000000000001E-2</v>
      </c>
      <c r="F59" s="199">
        <f>'T1 ANSP'!D64</f>
        <v>2.5999999999999999E-2</v>
      </c>
      <c r="G59" s="199">
        <f>'T1 ANSP'!E64</f>
        <v>1.4999999999999999E-2</v>
      </c>
      <c r="H59" s="199">
        <f>'T1 ANSP'!F64</f>
        <v>0</v>
      </c>
      <c r="I59" s="199">
        <f>'T1 ANSP'!G64</f>
        <v>7.0000000000000001E-3</v>
      </c>
      <c r="J59" s="199">
        <f>'T1 ANSP'!H64</f>
        <v>2.7E-2</v>
      </c>
      <c r="K59" s="199">
        <f>'T1 ANSP'!I64</f>
        <v>2.5000000000000001E-2</v>
      </c>
      <c r="L59" s="199">
        <f>'T1 ANSP'!J64</f>
        <v>1.7999999999999999E-2</v>
      </c>
      <c r="M59" s="199">
        <f>'T1 ANSP'!K64</f>
        <v>2.0000000000000132E-2</v>
      </c>
      <c r="N59" s="199">
        <f>'T1 ANSP'!L64</f>
        <v>1.9999999999999799E-2</v>
      </c>
      <c r="O59" s="199">
        <f>'T1 ANSP'!M64</f>
        <v>2.0000000000000205E-2</v>
      </c>
      <c r="P59" s="199">
        <f>'T1 ANSP'!N64</f>
        <v>4.0419530703928341E-2</v>
      </c>
      <c r="Q59" s="199">
        <f>'T1 ANSP'!O64</f>
        <v>1.5350874280278148E-2</v>
      </c>
      <c r="R59" s="163"/>
      <c r="S59" s="199">
        <f>'T1 ANSP'!T64</f>
        <v>8.9999999999999993E-3</v>
      </c>
      <c r="T59" s="199">
        <f>'T1 ANSP'!U64</f>
        <v>2.5999999999999999E-2</v>
      </c>
    </row>
    <row r="60" spans="1:20" s="190" customFormat="1" ht="15" customHeight="1" outlineLevel="1">
      <c r="A60" s="198"/>
      <c r="B60" s="186"/>
      <c r="C60" s="187" t="s">
        <v>70</v>
      </c>
      <c r="D60" s="191"/>
      <c r="E60" s="199">
        <f>'T1'!C64</f>
        <v>2.8000000000000001E-2</v>
      </c>
      <c r="F60" s="199">
        <f>'T1'!D64</f>
        <v>2.5999999999999999E-2</v>
      </c>
      <c r="G60" s="199">
        <f>'T1'!E64</f>
        <v>1.4999999999999999E-2</v>
      </c>
      <c r="H60" s="199">
        <f>'T1'!F64</f>
        <v>0</v>
      </c>
      <c r="I60" s="199">
        <f>'T1'!G64</f>
        <v>7.0000000000000001E-3</v>
      </c>
      <c r="J60" s="199">
        <f>'T1'!H64</f>
        <v>2.7E-2</v>
      </c>
      <c r="K60" s="199">
        <f>'T1'!I64</f>
        <v>2.5000000000000001E-2</v>
      </c>
      <c r="L60" s="199">
        <f>'T1'!J64</f>
        <v>1.7999999999999999E-2</v>
      </c>
      <c r="M60" s="199">
        <f>'T1'!K64</f>
        <v>2.0000000000000132E-2</v>
      </c>
      <c r="N60" s="199">
        <f>'T1'!L64</f>
        <v>1.9999999999999799E-2</v>
      </c>
      <c r="O60" s="199">
        <f>'T1'!M64</f>
        <v>2.0000000000000205E-2</v>
      </c>
      <c r="P60" s="199">
        <f>'T1'!N64</f>
        <v>4.0419530703928341E-2</v>
      </c>
      <c r="Q60" s="199">
        <f>'T1'!O64</f>
        <v>1.5350874280278148E-2</v>
      </c>
      <c r="R60" s="163"/>
      <c r="S60" s="199">
        <f>'T1'!T64</f>
        <v>8.9999999999999993E-3</v>
      </c>
      <c r="T60" s="199">
        <f>'T1'!U64</f>
        <v>2.5999999999999999E-2</v>
      </c>
    </row>
    <row r="61" spans="1:20" s="184" customFormat="1" ht="15" customHeight="1">
      <c r="A61" s="197" t="s">
        <v>71</v>
      </c>
      <c r="B61" s="180" t="s">
        <v>38</v>
      </c>
      <c r="C61" s="181" t="s">
        <v>72</v>
      </c>
      <c r="D61" s="191"/>
      <c r="E61" s="183" t="b">
        <f>'T1 ANSP'!C65='T1'!C65</f>
        <v>1</v>
      </c>
      <c r="F61" s="183" t="b">
        <f>'T1 ANSP'!D65='T1'!D65</f>
        <v>1</v>
      </c>
      <c r="G61" s="183" t="b">
        <f>'T1 ANSP'!E65='T1'!E65</f>
        <v>1</v>
      </c>
      <c r="H61" s="183" t="b">
        <f>'T1 ANSP'!F65='T1'!F65</f>
        <v>1</v>
      </c>
      <c r="I61" s="183" t="b">
        <f>'T1 ANSP'!G65='T1'!G65</f>
        <v>1</v>
      </c>
      <c r="J61" s="183" t="b">
        <f>'T1 ANSP'!H65='T1'!H65</f>
        <v>1</v>
      </c>
      <c r="K61" s="183" t="b">
        <f>'T1 ANSP'!I65='T1'!I65</f>
        <v>1</v>
      </c>
      <c r="L61" s="183" t="b">
        <f>'T1 ANSP'!J65='T1'!J65</f>
        <v>1</v>
      </c>
      <c r="M61" s="183" t="b">
        <f>'T1 ANSP'!K65='T1'!K65</f>
        <v>1</v>
      </c>
      <c r="N61" s="183" t="b">
        <f>'T1 ANSP'!L65='T1'!L65</f>
        <v>1</v>
      </c>
      <c r="O61" s="183" t="b">
        <f>'T1 ANSP'!M65='T1'!M65</f>
        <v>1</v>
      </c>
      <c r="P61" s="183" t="b">
        <f>'T1 ANSP'!N65='T1'!N65</f>
        <v>1</v>
      </c>
      <c r="Q61" s="183" t="b">
        <f>'T1 ANSP'!O65='T1'!O65</f>
        <v>1</v>
      </c>
      <c r="R61" s="163"/>
      <c r="S61" s="183" t="b">
        <f>'T1 ANSP'!T65='T1'!T65</f>
        <v>1</v>
      </c>
      <c r="T61" s="183" t="b">
        <f>'T1 ANSP'!U65='T1'!U65</f>
        <v>1</v>
      </c>
    </row>
    <row r="62" spans="1:20" s="190" customFormat="1" ht="15" customHeight="1" outlineLevel="1">
      <c r="A62" s="200"/>
      <c r="B62" s="186"/>
      <c r="C62" s="187" t="s">
        <v>73</v>
      </c>
      <c r="D62" s="191"/>
      <c r="E62" s="215">
        <f>'T1 ANSP'!C65</f>
        <v>92.851020823042745</v>
      </c>
      <c r="F62" s="215">
        <f>'T1 ANSP'!D65</f>
        <v>95.265147364441859</v>
      </c>
      <c r="G62" s="215">
        <f>'T1 ANSP'!E65</f>
        <v>96.694124574908471</v>
      </c>
      <c r="H62" s="215">
        <f>'T1 ANSP'!F65</f>
        <v>96.694124574908471</v>
      </c>
      <c r="I62" s="215">
        <f>'T1 ANSP'!G65</f>
        <v>97.370983446932826</v>
      </c>
      <c r="J62" s="215">
        <f>'T1 ANSP'!H65</f>
        <v>100</v>
      </c>
      <c r="K62" s="215">
        <f>'T1 ANSP'!I65</f>
        <v>102.49999999999999</v>
      </c>
      <c r="L62" s="215">
        <f>'T1 ANSP'!J65</f>
        <v>104.34499999999998</v>
      </c>
      <c r="M62" s="215">
        <f>'T1 ANSP'!K65</f>
        <v>106.44304700754894</v>
      </c>
      <c r="N62" s="215">
        <f>'T1 ANSP'!L65</f>
        <v>108.5719079476999</v>
      </c>
      <c r="O62" s="215">
        <f>'T1 ANSP'!M65</f>
        <v>110.74334610665392</v>
      </c>
      <c r="P62" s="215">
        <f>'T1 ANSP'!N65</f>
        <v>115.21954018486758</v>
      </c>
      <c r="Q62" s="215">
        <f>'T1 ANSP'!O65</f>
        <v>116.98826086087693</v>
      </c>
      <c r="R62" s="163"/>
      <c r="S62" s="215">
        <f>'T1 ANSP'!T65</f>
        <v>105.28410499999997</v>
      </c>
      <c r="T62" s="215">
        <f>'T1 ANSP'!U65</f>
        <v>108.02149172999997</v>
      </c>
    </row>
    <row r="63" spans="1:20" s="190" customFormat="1" ht="15" customHeight="1" outlineLevel="1">
      <c r="A63" s="200"/>
      <c r="B63" s="186"/>
      <c r="C63" s="187" t="s">
        <v>74</v>
      </c>
      <c r="D63" s="191"/>
      <c r="E63" s="215">
        <f>'T1'!C65</f>
        <v>92.851020823042745</v>
      </c>
      <c r="F63" s="215">
        <f>'T1'!D65</f>
        <v>95.265147364441859</v>
      </c>
      <c r="G63" s="215">
        <f>'T1'!E65</f>
        <v>96.694124574908471</v>
      </c>
      <c r="H63" s="215">
        <f>'T1'!F65</f>
        <v>96.694124574908471</v>
      </c>
      <c r="I63" s="215">
        <f>'T1'!G65</f>
        <v>97.370983446932826</v>
      </c>
      <c r="J63" s="215">
        <f>'T1'!H65</f>
        <v>100</v>
      </c>
      <c r="K63" s="215">
        <f>'T1'!I65</f>
        <v>102.49999999999999</v>
      </c>
      <c r="L63" s="215">
        <f>'T1'!J65</f>
        <v>104.34499999999998</v>
      </c>
      <c r="M63" s="215">
        <f>'T1'!K65</f>
        <v>106.44304700754894</v>
      </c>
      <c r="N63" s="215">
        <f>'T1'!L65</f>
        <v>108.5719079476999</v>
      </c>
      <c r="O63" s="215">
        <f>'T1'!M65</f>
        <v>110.74334610665392</v>
      </c>
      <c r="P63" s="215">
        <f>'T1'!N65</f>
        <v>115.21954018486758</v>
      </c>
      <c r="Q63" s="215">
        <f>'T1'!O65</f>
        <v>116.98826086087693</v>
      </c>
      <c r="R63" s="163"/>
      <c r="S63" s="215">
        <f>'T1'!T65</f>
        <v>105.28410499999997</v>
      </c>
      <c r="T63" s="215">
        <f>'T1'!U65</f>
        <v>108.02149172999997</v>
      </c>
    </row>
    <row r="64" spans="1:20" s="184" customFormat="1" ht="15" customHeight="1">
      <c r="A64" s="179" t="s">
        <v>75</v>
      </c>
      <c r="B64" s="180" t="s">
        <v>76</v>
      </c>
      <c r="C64" s="201" t="s">
        <v>77</v>
      </c>
      <c r="D64" s="182">
        <v>3</v>
      </c>
      <c r="E64" s="183" t="b">
        <f>IF('T1 ANSP'!C39&gt;0,(ROUND('T1 ANSP'!C41,$D$64)=ROUND('T1 ANSP'!C16/'T1 ANSP'!C39,$D$64)),"N/A")</f>
        <v>1</v>
      </c>
      <c r="F64" s="183" t="b">
        <f>IF('T1 ANSP'!D39&gt;0,(ROUND('T1 ANSP'!D41,$D$64)=ROUND('T1 ANSP'!D16/'T1 ANSP'!D39,$D$64)),"N/A")</f>
        <v>1</v>
      </c>
      <c r="G64" s="183" t="b">
        <f>IF('T1 ANSP'!E39&gt;0,(ROUND('T1 ANSP'!E41,$D$64)=ROUND('T1 ANSP'!E16/'T1 ANSP'!E39,$D$64)),"N/A")</f>
        <v>1</v>
      </c>
      <c r="H64" s="183" t="b">
        <f>IF('T1 ANSP'!F39&gt;0,(ROUND('T1 ANSP'!F41,$D$64)=ROUND('T1 ANSP'!F16/'T1 ANSP'!F39,$D$64)),"N/A")</f>
        <v>1</v>
      </c>
      <c r="I64" s="183" t="b">
        <f>IF('T1 ANSP'!G39&gt;0,(ROUND('T1 ANSP'!G41,$D$64)=ROUND('T1 ANSP'!G16/'T1 ANSP'!G39,$D$64)),"N/A")</f>
        <v>1</v>
      </c>
      <c r="J64" s="183" t="b">
        <f>IF('T1 ANSP'!H39&gt;0,(ROUND('T1 ANSP'!H41,$D$64)=ROUND('T1 ANSP'!H16/'T1 ANSP'!H39,$D$64)),"N/A")</f>
        <v>1</v>
      </c>
      <c r="K64" s="183" t="b">
        <f>IF('T1 ANSP'!I39&gt;0,(ROUND('T1 ANSP'!I41,$D$64)=ROUND('T1 ANSP'!I16/'T1 ANSP'!I39,$D$64)),"N/A")</f>
        <v>1</v>
      </c>
      <c r="L64" s="183" t="b">
        <f>IF('T1 ANSP'!J39&gt;0,(ROUND('T1 ANSP'!J41,$D$64)=ROUND('T1 ANSP'!J16/'T1 ANSP'!J39,$D$64)),"N/A")</f>
        <v>1</v>
      </c>
      <c r="M64" s="183" t="b">
        <f>IF('T1 ANSP'!K39&gt;0,(ROUND('T1 ANSP'!K41,$D$64)=ROUND('T1 ANSP'!K16/'T1 ANSP'!K39,$D$64)),"N/A")</f>
        <v>1</v>
      </c>
      <c r="N64" s="183" t="b">
        <f>IF('T1 ANSP'!L39&gt;0,(ROUND('T1 ANSP'!L41,$D$64)=ROUND('T1 ANSP'!L16/'T1 ANSP'!L39,$D$64)),"N/A")</f>
        <v>1</v>
      </c>
      <c r="O64" s="183" t="b">
        <f>IF('T1 ANSP'!M39&gt;0,(ROUND('T1 ANSP'!M41,$D$64)=ROUND('T1 ANSP'!M16/'T1 ANSP'!M39,$D$64)),"N/A")</f>
        <v>1</v>
      </c>
      <c r="P64" s="183" t="b">
        <f>IF('T1 ANSP'!N39&gt;0,(ROUND('T1 ANSP'!N41,$D$64)=ROUND('T1 ANSP'!N16/'T1 ANSP'!N39,$D$64)),"N/A")</f>
        <v>1</v>
      </c>
      <c r="Q64" s="183" t="b">
        <f>IF('T1 ANSP'!O39&gt;0,(ROUND('T1 ANSP'!O41,$D$64)=ROUND('T1 ANSP'!O16/'T1 ANSP'!O39,$D$64)),"N/A")</f>
        <v>1</v>
      </c>
      <c r="R64" s="163"/>
      <c r="S64" s="183" t="b">
        <f>IF('T1 ANSP'!T39&gt;0,(ROUND('T1 ANSP'!T41,$D$64)=ROUND('T1 ANSP'!T16/'T1 ANSP'!T39,$D$64)),"N/A")</f>
        <v>1</v>
      </c>
      <c r="T64" s="183" t="b">
        <f>IF('T1 ANSP'!U39&gt;0,(ROUND('T1 ANSP'!U41,$D$64)=ROUND('T1 ANSP'!U16/'T1 ANSP'!U39,$D$64)),"N/A")</f>
        <v>1</v>
      </c>
    </row>
    <row r="65" spans="1:20" s="190" customFormat="1" ht="15" customHeight="1" outlineLevel="1">
      <c r="A65" s="185"/>
      <c r="B65" s="186"/>
      <c r="C65" s="187" t="s">
        <v>78</v>
      </c>
      <c r="D65" s="191"/>
      <c r="E65" s="202">
        <f>IF('T1 ANSP'!C39&gt;0,(ROUND('T1 ANSP'!C41,$D$64)))</f>
        <v>6.8000000000000005E-2</v>
      </c>
      <c r="F65" s="202">
        <f>IF('T1 ANSP'!D39&gt;0,(ROUND('T1 ANSP'!D41,$D$64)))</f>
        <v>6.8000000000000005E-2</v>
      </c>
      <c r="G65" s="202">
        <f>IF('T1 ANSP'!E39&gt;0,(ROUND('T1 ANSP'!E41,$D$64)))</f>
        <v>6.8000000000000005E-2</v>
      </c>
      <c r="H65" s="202">
        <f>IF('T1 ANSP'!F39&gt;0,(ROUND('T1 ANSP'!F41,$D$64)))</f>
        <v>5.8999999999999997E-2</v>
      </c>
      <c r="I65" s="202">
        <f>IF('T1 ANSP'!G39&gt;0,(ROUND('T1 ANSP'!G41,$D$64)))</f>
        <v>5.8999999999999997E-2</v>
      </c>
      <c r="J65" s="202">
        <f>IF('T1 ANSP'!H39&gt;0,(ROUND('T1 ANSP'!H41,$D$64)))</f>
        <v>5.8999999999999997E-2</v>
      </c>
      <c r="K65" s="202">
        <f>IF('T1 ANSP'!I39&gt;0,(ROUND('T1 ANSP'!I41,$D$64)))</f>
        <v>5.8999999999999997E-2</v>
      </c>
      <c r="L65" s="202">
        <f>IF('T1 ANSP'!J39&gt;0,(ROUND('T1 ANSP'!J41,$D$64)))</f>
        <v>5.8999999999999997E-2</v>
      </c>
      <c r="M65" s="202">
        <f>IF('T1 ANSP'!K39&gt;0,(ROUND('T1 ANSP'!K41,$D$64)))</f>
        <v>3.5000000000000003E-2</v>
      </c>
      <c r="N65" s="202">
        <f>IF('T1 ANSP'!L39&gt;0,(ROUND('T1 ANSP'!L41,$D$64)))</f>
        <v>3.5000000000000003E-2</v>
      </c>
      <c r="O65" s="202">
        <f>IF('T1 ANSP'!M39&gt;0,(ROUND('T1 ANSP'!M41,$D$64)))</f>
        <v>3.5000000000000003E-2</v>
      </c>
      <c r="P65" s="202">
        <f>IF('T1 ANSP'!N39&gt;0,(ROUND('T1 ANSP'!N41,$D$64)))</f>
        <v>2.8000000000000001E-2</v>
      </c>
      <c r="Q65" s="202">
        <f>IF('T1 ANSP'!O39&gt;0,(ROUND('T1 ANSP'!O41,$D$64)))</f>
        <v>2.8000000000000001E-2</v>
      </c>
      <c r="R65" s="163"/>
      <c r="S65" s="202">
        <f>IF('T1 ANSP'!T39&gt;0,(ROUND('T1 ANSP'!T41,$D$64)))</f>
        <v>3.5000000000000003E-2</v>
      </c>
      <c r="T65" s="202">
        <f>IF('T1 ANSP'!U39&gt;0,(ROUND('T1 ANSP'!U41,$D$64)))</f>
        <v>3.5000000000000003E-2</v>
      </c>
    </row>
    <row r="66" spans="1:20" s="190" customFormat="1" ht="15" customHeight="1" outlineLevel="1">
      <c r="A66" s="185"/>
      <c r="B66" s="186"/>
      <c r="C66" s="187" t="s">
        <v>79</v>
      </c>
      <c r="D66" s="191"/>
      <c r="E66" s="202">
        <f>ROUND('T1 ANSP'!C16/'T1 ANSP'!C39,$D$64)</f>
        <v>6.8000000000000005E-2</v>
      </c>
      <c r="F66" s="202">
        <f>ROUND('T1 ANSP'!D16/'T1 ANSP'!D39,$D$64)</f>
        <v>6.8000000000000005E-2</v>
      </c>
      <c r="G66" s="202">
        <f>ROUND('T1 ANSP'!E16/'T1 ANSP'!E39,$D$64)</f>
        <v>6.8000000000000005E-2</v>
      </c>
      <c r="H66" s="202">
        <f>ROUND('T1 ANSP'!F16/'T1 ANSP'!F39,$D$64)</f>
        <v>5.8999999999999997E-2</v>
      </c>
      <c r="I66" s="202">
        <f>ROUND('T1 ANSP'!G16/'T1 ANSP'!G39,$D$64)</f>
        <v>5.8999999999999997E-2</v>
      </c>
      <c r="J66" s="202">
        <f>ROUND('T1 ANSP'!H16/'T1 ANSP'!H39,$D$64)</f>
        <v>5.8999999999999997E-2</v>
      </c>
      <c r="K66" s="202">
        <f>ROUND('T1 ANSP'!I16/'T1 ANSP'!I39,$D$64)</f>
        <v>5.8999999999999997E-2</v>
      </c>
      <c r="L66" s="202">
        <f>ROUND('T1 ANSP'!J16/'T1 ANSP'!J39,$D$64)</f>
        <v>5.8999999999999997E-2</v>
      </c>
      <c r="M66" s="202">
        <f>ROUND('T1 ANSP'!K16/'T1 ANSP'!K39,$D$64)</f>
        <v>3.5000000000000003E-2</v>
      </c>
      <c r="N66" s="202">
        <f>ROUND('T1 ANSP'!L16/'T1 ANSP'!L39,$D$64)</f>
        <v>3.5000000000000003E-2</v>
      </c>
      <c r="O66" s="202">
        <f>ROUND('T1 ANSP'!M16/'T1 ANSP'!M39,$D$64)</f>
        <v>3.5000000000000003E-2</v>
      </c>
      <c r="P66" s="202">
        <f>ROUND('T1 ANSP'!N16/'T1 ANSP'!N39,$D$64)</f>
        <v>2.8000000000000001E-2</v>
      </c>
      <c r="Q66" s="202">
        <f>ROUND('T1 ANSP'!O16/'T1 ANSP'!O39,$D$64)</f>
        <v>2.8000000000000001E-2</v>
      </c>
      <c r="R66" s="163"/>
      <c r="S66" s="202">
        <f>ROUND('T1 ANSP'!T16/'T1 ANSP'!T39,$D$64)</f>
        <v>3.5000000000000003E-2</v>
      </c>
      <c r="T66" s="202">
        <f>ROUND('T1 ANSP'!U16/'T1 ANSP'!U39,$D$64)</f>
        <v>3.5000000000000003E-2</v>
      </c>
    </row>
    <row r="67" spans="1:20" s="184" customFormat="1" ht="15" customHeight="1">
      <c r="A67" s="179" t="s">
        <v>80</v>
      </c>
      <c r="B67" s="180" t="s">
        <v>81</v>
      </c>
      <c r="C67" s="203" t="s">
        <v>82</v>
      </c>
      <c r="D67" s="182">
        <v>3</v>
      </c>
      <c r="E67" s="183" t="b">
        <f>IF(ISERROR(ROUND(('T1 ANSP'!C16-('T1 ANSP'!C39*'T1 ANSP'!C43))/(('T1 ANSP'!C39*'T1 ANSP'!C42)-('T1 ANSP'!C39*'T1 ANSP'!C43)),$D$67)),"N/A",ROUND(('T1 ANSP'!C16-('T1 ANSP'!C39*'T1 ANSP'!C43))/(('T1 ANSP'!C39*'T1 ANSP'!C42)-('T1 ANSP'!C39*'T1 ANSP'!C43)),$D$67))=ROUND('T1 ANSP'!C44,$D$67)</f>
        <v>1</v>
      </c>
      <c r="F67" s="183" t="b">
        <f>IF(ISERROR(ROUND(('T1 ANSP'!D16-('T1 ANSP'!D39*'T1 ANSP'!D43))/(('T1 ANSP'!D39*'T1 ANSP'!D42)-('T1 ANSP'!D39*'T1 ANSP'!D43)),$D$67)),"N/A",ROUND(('T1 ANSP'!D16-('T1 ANSP'!D39*'T1 ANSP'!D43))/(('T1 ANSP'!D39*'T1 ANSP'!D42)-('T1 ANSP'!D39*'T1 ANSP'!D43)),$D$67))=ROUND('T1 ANSP'!D44,$D$67)</f>
        <v>0</v>
      </c>
      <c r="G67" s="183" t="b">
        <f>IF(ISERROR(ROUND(('T1 ANSP'!E16-('T1 ANSP'!E39*'T1 ANSP'!E43))/(('T1 ANSP'!E39*'T1 ANSP'!E42)-('T1 ANSP'!E39*'T1 ANSP'!E43)),$D$67)),"N/A",ROUND(('T1 ANSP'!E16-('T1 ANSP'!E39*'T1 ANSP'!E43))/(('T1 ANSP'!E39*'T1 ANSP'!E42)-('T1 ANSP'!E39*'T1 ANSP'!E43)),$D$67))=ROUND('T1 ANSP'!E44,$D$67)</f>
        <v>1</v>
      </c>
      <c r="H67" s="183" t="b">
        <f>IF(ISERROR(ROUND(('T1 ANSP'!F16-('T1 ANSP'!F39*'T1 ANSP'!F43))/(('T1 ANSP'!F39*'T1 ANSP'!F42)-('T1 ANSP'!F39*'T1 ANSP'!F43)),$D$67)),"N/A",ROUND(('T1 ANSP'!F16-('T1 ANSP'!F39*'T1 ANSP'!F43))/(('T1 ANSP'!F39*'T1 ANSP'!F42)-('T1 ANSP'!F39*'T1 ANSP'!F43)),$D$67))=ROUND('T1 ANSP'!F44,$D$67)</f>
        <v>1</v>
      </c>
      <c r="I67" s="183" t="b">
        <f>IF(ISERROR(ROUND(('T1 ANSP'!G16-('T1 ANSP'!G39*'T1 ANSP'!G43))/(('T1 ANSP'!G39*'T1 ANSP'!G42)-('T1 ANSP'!G39*'T1 ANSP'!G43)),$D$67)),"N/A",ROUND(('T1 ANSP'!G16-('T1 ANSP'!G39*'T1 ANSP'!G43))/(('T1 ANSP'!G39*'T1 ANSP'!G42)-('T1 ANSP'!G39*'T1 ANSP'!G43)),$D$67))=ROUND('T1 ANSP'!G44,$D$67)</f>
        <v>1</v>
      </c>
      <c r="J67" s="183" t="b">
        <f>IF(ISERROR(ROUND(('T1 ANSP'!H16-('T1 ANSP'!H39*'T1 ANSP'!H43))/(('T1 ANSP'!H39*'T1 ANSP'!H42)-('T1 ANSP'!H39*'T1 ANSP'!H43)),$D$67)),"N/A",ROUND(('T1 ANSP'!H16-('T1 ANSP'!H39*'T1 ANSP'!H43))/(('T1 ANSP'!H39*'T1 ANSP'!H42)-('T1 ANSP'!H39*'T1 ANSP'!H43)),$D$67))=ROUND('T1 ANSP'!H44,$D$67)</f>
        <v>1</v>
      </c>
      <c r="K67" s="183" t="b">
        <f>IF(ISERROR(ROUND(('T1 ANSP'!I16-('T1 ANSP'!I39*'T1 ANSP'!I43))/(('T1 ANSP'!I39*'T1 ANSP'!I42)-('T1 ANSP'!I39*'T1 ANSP'!I43)),$D$67)),"N/A",ROUND(('T1 ANSP'!I16-('T1 ANSP'!I39*'T1 ANSP'!I43))/(('T1 ANSP'!I39*'T1 ANSP'!I42)-('T1 ANSP'!I39*'T1 ANSP'!I43)),$D$67))=ROUND('T1 ANSP'!I44,$D$67)</f>
        <v>1</v>
      </c>
      <c r="L67" s="183" t="b">
        <f>IF(ISERROR(ROUND(('T1 ANSP'!J16-('T1 ANSP'!J39*'T1 ANSP'!J43))/(('T1 ANSP'!J39*'T1 ANSP'!J42)-('T1 ANSP'!J39*'T1 ANSP'!J43)),$D$67)),"N/A",ROUND(('T1 ANSP'!J16-('T1 ANSP'!J39*'T1 ANSP'!J43))/(('T1 ANSP'!J39*'T1 ANSP'!J42)-('T1 ANSP'!J39*'T1 ANSP'!J43)),$D$67))=ROUND('T1 ANSP'!J44,$D$67)</f>
        <v>1</v>
      </c>
      <c r="M67" s="183" t="b">
        <f>IF(ISERROR(ROUND(('T1 ANSP'!K16-('T1 ANSP'!K39*'T1 ANSP'!K43))/(('T1 ANSP'!K39*'T1 ANSP'!K42)-('T1 ANSP'!K39*'T1 ANSP'!K43)),$D$67)),"N/A",ROUND(('T1 ANSP'!K16-('T1 ANSP'!K39*'T1 ANSP'!K43))/(('T1 ANSP'!K39*'T1 ANSP'!K42)-('T1 ANSP'!K39*'T1 ANSP'!K43)),$D$67))=ROUND('T1 ANSP'!K44,$D$67)</f>
        <v>1</v>
      </c>
      <c r="N67" s="183" t="b">
        <f>IF(ISERROR(ROUND(('T1 ANSP'!L16-('T1 ANSP'!L39*'T1 ANSP'!L43))/(('T1 ANSP'!L39*'T1 ANSP'!L42)-('T1 ANSP'!L39*'T1 ANSP'!L43)),$D$67)),"N/A",ROUND(('T1 ANSP'!L16-('T1 ANSP'!L39*'T1 ANSP'!L43))/(('T1 ANSP'!L39*'T1 ANSP'!L42)-('T1 ANSP'!L39*'T1 ANSP'!L43)),$D$67))=ROUND('T1 ANSP'!L44,$D$67)</f>
        <v>1</v>
      </c>
      <c r="O67" s="183" t="b">
        <f>IF(ISERROR(ROUND(('T1 ANSP'!M16-('T1 ANSP'!M39*'T1 ANSP'!M43))/(('T1 ANSP'!M39*'T1 ANSP'!M42)-('T1 ANSP'!M39*'T1 ANSP'!M43)),$D$67)),"N/A",ROUND(('T1 ANSP'!M16-('T1 ANSP'!M39*'T1 ANSP'!M43))/(('T1 ANSP'!M39*'T1 ANSP'!M42)-('T1 ANSP'!M39*'T1 ANSP'!M43)),$D$67))=ROUND('T1 ANSP'!M44,$D$67)</f>
        <v>1</v>
      </c>
      <c r="P67" s="183" t="b">
        <f>IF(ISERROR(ROUND(('T1 ANSP'!N16-('T1 ANSP'!N39*'T1 ANSP'!N43))/(('T1 ANSP'!N39*'T1 ANSP'!N42)-('T1 ANSP'!N39*'T1 ANSP'!N43)),$D$67)),"N/A",ROUND(('T1 ANSP'!N16-('T1 ANSP'!N39*'T1 ANSP'!N43))/(('T1 ANSP'!N39*'T1 ANSP'!N42)-('T1 ANSP'!N39*'T1 ANSP'!N43)),$D$67))=ROUND('T1 ANSP'!N44,$D$67)</f>
        <v>0</v>
      </c>
      <c r="Q67" s="183" t="b">
        <f>IF(ISERROR(ROUND(('T1 ANSP'!O16-('T1 ANSP'!O39*'T1 ANSP'!O43))/(('T1 ANSP'!O39*'T1 ANSP'!O42)-('T1 ANSP'!O39*'T1 ANSP'!O43)),$D$67)),"N/A",ROUND(('T1 ANSP'!O16-('T1 ANSP'!O39*'T1 ANSP'!O43))/(('T1 ANSP'!O39*'T1 ANSP'!O42)-('T1 ANSP'!O39*'T1 ANSP'!O43)),$D$67))=ROUND('T1 ANSP'!O44,$D$67)</f>
        <v>0</v>
      </c>
      <c r="R67" s="163"/>
      <c r="S67" s="183" t="b">
        <f>IF(ISERROR(ROUND(('T1 ANSP'!T16-('T1 ANSP'!T39*'T1 ANSP'!T43))/(('T1 ANSP'!T39*'T1 ANSP'!T42)-('T1 ANSP'!T39*'T1 ANSP'!T43)),$D$67)),"N/A",ROUND(('T1 ANSP'!T16-('T1 ANSP'!T39*'T1 ANSP'!T43))/(('T1 ANSP'!T39*'T1 ANSP'!T42)-('T1 ANSP'!T39*'T1 ANSP'!T43)),$D$67))=ROUND('T1 ANSP'!T44,$D$67)</f>
        <v>1</v>
      </c>
      <c r="T67" s="183" t="b">
        <f>IF(ISERROR(ROUND(('T1 ANSP'!U16-('T1 ANSP'!U39*'T1 ANSP'!U43))/(('T1 ANSP'!U39*'T1 ANSP'!U42)-('T1 ANSP'!U39*'T1 ANSP'!U43)),$D$67)),"N/A",ROUND(('T1 ANSP'!U16-('T1 ANSP'!U39*'T1 ANSP'!U43))/(('T1 ANSP'!U39*'T1 ANSP'!U42)-('T1 ANSP'!U39*'T1 ANSP'!U43)),$D$67))=ROUND('T1 ANSP'!U44,$D$67)</f>
        <v>1</v>
      </c>
    </row>
    <row r="68" spans="1:20" s="190" customFormat="1" ht="15" customHeight="1" outlineLevel="1">
      <c r="A68" s="185"/>
      <c r="B68" s="186"/>
      <c r="C68" s="204" t="s">
        <v>83</v>
      </c>
      <c r="D68" s="191"/>
      <c r="E68" s="205">
        <f>IF(ISERROR(ROUND(('T1 ANSP'!C16-('T1 ANSP'!C39*'T1 ANSP'!C43))/(('T1 ANSP'!C39*'T1 ANSP'!C42)-('T1 ANSP'!C39*'T1 ANSP'!C43)),$D$67)),"N/A",ROUND(('T1 ANSP'!C16-('T1 ANSP'!C39*'T1 ANSP'!C43))/(('T1 ANSP'!C39*'T1 ANSP'!C42)-('T1 ANSP'!C39*'T1 ANSP'!C43)),$D$67))</f>
        <v>0.40200000000000002</v>
      </c>
      <c r="F68" s="205">
        <f>IF(ISERROR(ROUND(('T1 ANSP'!D16-('T1 ANSP'!D39*'T1 ANSP'!D43))/(('T1 ANSP'!D39*'T1 ANSP'!D42)-('T1 ANSP'!D39*'T1 ANSP'!D43)),$D$67)),"N/A",ROUND(('T1 ANSP'!D16-('T1 ANSP'!D39*'T1 ANSP'!D43))/(('T1 ANSP'!D39*'T1 ANSP'!D42)-('T1 ANSP'!D39*'T1 ANSP'!D43)),$D$67))</f>
        <v>0.39900000000000002</v>
      </c>
      <c r="G68" s="205">
        <f>IF(ISERROR(ROUND(('T1 ANSP'!E16-('T1 ANSP'!E39*'T1 ANSP'!E43))/(('T1 ANSP'!E39*'T1 ANSP'!E42)-('T1 ANSP'!E39*'T1 ANSP'!E43)),$D$67)),"N/A",ROUND(('T1 ANSP'!E16-('T1 ANSP'!E39*'T1 ANSP'!E43))/(('T1 ANSP'!E39*'T1 ANSP'!E42)-('T1 ANSP'!E39*'T1 ANSP'!E43)),$D$67))</f>
        <v>0.40100000000000002</v>
      </c>
      <c r="H68" s="205">
        <f>IF(ISERROR(ROUND(('T1 ANSP'!F16-('T1 ANSP'!F39*'T1 ANSP'!F43))/(('T1 ANSP'!F39*'T1 ANSP'!F42)-('T1 ANSP'!F39*'T1 ANSP'!F43)),$D$67)),"N/A",ROUND(('T1 ANSP'!F16-('T1 ANSP'!F39*'T1 ANSP'!F43))/(('T1 ANSP'!F39*'T1 ANSP'!F42)-('T1 ANSP'!F39*'T1 ANSP'!F43)),$D$67))</f>
        <v>0.4</v>
      </c>
      <c r="I68" s="205">
        <f>IF(ISERROR(ROUND(('T1 ANSP'!G16-('T1 ANSP'!G39*'T1 ANSP'!G43))/(('T1 ANSP'!G39*'T1 ANSP'!G42)-('T1 ANSP'!G39*'T1 ANSP'!G43)),$D$67)),"N/A",ROUND(('T1 ANSP'!G16-('T1 ANSP'!G39*'T1 ANSP'!G43))/(('T1 ANSP'!G39*'T1 ANSP'!G42)-('T1 ANSP'!G39*'T1 ANSP'!G43)),$D$67))</f>
        <v>0.4</v>
      </c>
      <c r="J68" s="205">
        <f>IF(ISERROR(ROUND(('T1 ANSP'!H16-('T1 ANSP'!H39*'T1 ANSP'!H43))/(('T1 ANSP'!H39*'T1 ANSP'!H42)-('T1 ANSP'!H39*'T1 ANSP'!H43)),$D$67)),"N/A",ROUND(('T1 ANSP'!H16-('T1 ANSP'!H39*'T1 ANSP'!H43))/(('T1 ANSP'!H39*'T1 ANSP'!H42)-('T1 ANSP'!H39*'T1 ANSP'!H43)),$D$67))</f>
        <v>0.4</v>
      </c>
      <c r="K68" s="205">
        <f>IF(ISERROR(ROUND(('T1 ANSP'!I16-('T1 ANSP'!I39*'T1 ANSP'!I43))/(('T1 ANSP'!I39*'T1 ANSP'!I42)-('T1 ANSP'!I39*'T1 ANSP'!I43)),$D$67)),"N/A",ROUND(('T1 ANSP'!I16-('T1 ANSP'!I39*'T1 ANSP'!I43))/(('T1 ANSP'!I39*'T1 ANSP'!I42)-('T1 ANSP'!I39*'T1 ANSP'!I43)),$D$67))</f>
        <v>0.4</v>
      </c>
      <c r="L68" s="205">
        <f>IF(ISERROR(ROUND(('T1 ANSP'!J16-('T1 ANSP'!J39*'T1 ANSP'!J43))/(('T1 ANSP'!J39*'T1 ANSP'!J42)-('T1 ANSP'!J39*'T1 ANSP'!J43)),$D$67)),"N/A",ROUND(('T1 ANSP'!J16-('T1 ANSP'!J39*'T1 ANSP'!J43))/(('T1 ANSP'!J39*'T1 ANSP'!J42)-('T1 ANSP'!J39*'T1 ANSP'!J43)),$D$67))</f>
        <v>0.4</v>
      </c>
      <c r="M68" s="205">
        <f>IF(ISERROR(ROUND(('T1 ANSP'!K16-('T1 ANSP'!K39*'T1 ANSP'!K43))/(('T1 ANSP'!K39*'T1 ANSP'!K42)-('T1 ANSP'!K39*'T1 ANSP'!K43)),$D$67)),"N/A",ROUND(('T1 ANSP'!K16-('T1 ANSP'!K39*'T1 ANSP'!K43))/(('T1 ANSP'!K39*'T1 ANSP'!K42)-('T1 ANSP'!K39*'T1 ANSP'!K43)),$D$67))</f>
        <v>0.7</v>
      </c>
      <c r="N68" s="205">
        <f>IF(ISERROR(ROUND(('T1 ANSP'!L16-('T1 ANSP'!L39*'T1 ANSP'!L43))/(('T1 ANSP'!L39*'T1 ANSP'!L42)-('T1 ANSP'!L39*'T1 ANSP'!L43)),$D$67)),"N/A",ROUND(('T1 ANSP'!L16-('T1 ANSP'!L39*'T1 ANSP'!L43))/(('T1 ANSP'!L39*'T1 ANSP'!L42)-('T1 ANSP'!L39*'T1 ANSP'!L43)),$D$67))</f>
        <v>0.7</v>
      </c>
      <c r="O68" s="205">
        <f>IF(ISERROR(ROUND(('T1 ANSP'!M16-('T1 ANSP'!M39*'T1 ANSP'!M43))/(('T1 ANSP'!M39*'T1 ANSP'!M42)-('T1 ANSP'!M39*'T1 ANSP'!M43)),$D$67)),"N/A",ROUND(('T1 ANSP'!M16-('T1 ANSP'!M39*'T1 ANSP'!M43))/(('T1 ANSP'!M39*'T1 ANSP'!M42)-('T1 ANSP'!M39*'T1 ANSP'!M43)),$D$67))</f>
        <v>0.7</v>
      </c>
      <c r="P68" s="205">
        <f>IF(ISERROR(ROUND(('T1 ANSP'!N16-('T1 ANSP'!N39*'T1 ANSP'!N43))/(('T1 ANSP'!N39*'T1 ANSP'!N42)-('T1 ANSP'!N39*'T1 ANSP'!N43)),$D$67)),"N/A",ROUND(('T1 ANSP'!N16-('T1 ANSP'!N39*'T1 ANSP'!N43))/(('T1 ANSP'!N39*'T1 ANSP'!N42)-('T1 ANSP'!N39*'T1 ANSP'!N43)),$D$67))</f>
        <v>0.70799999999999996</v>
      </c>
      <c r="Q68" s="205">
        <f>IF(ISERROR(ROUND(('T1 ANSP'!O16-('T1 ANSP'!O39*'T1 ANSP'!O43))/(('T1 ANSP'!O39*'T1 ANSP'!O42)-('T1 ANSP'!O39*'T1 ANSP'!O43)),$D$67)),"N/A",ROUND(('T1 ANSP'!O16-('T1 ANSP'!O39*'T1 ANSP'!O43))/(('T1 ANSP'!O39*'T1 ANSP'!O42)-('T1 ANSP'!O39*'T1 ANSP'!O43)),$D$67))</f>
        <v>0.70799999999999996</v>
      </c>
      <c r="R68" s="163"/>
      <c r="S68" s="205">
        <f>IF(ISERROR(ROUND(('T1 ANSP'!T16-('T1 ANSP'!T39*'T1 ANSP'!T43))/(('T1 ANSP'!T39*'T1 ANSP'!T42)-('T1 ANSP'!T39*'T1 ANSP'!T43)),$D$67)),"N/A",ROUND(('T1 ANSP'!T16-('T1 ANSP'!T39*'T1 ANSP'!T43))/(('T1 ANSP'!T39*'T1 ANSP'!T42)-('T1 ANSP'!T39*'T1 ANSP'!T43)),$D$67))</f>
        <v>0.7</v>
      </c>
      <c r="T68" s="205">
        <f>IF(ISERROR(ROUND(('T1 ANSP'!U16-('T1 ANSP'!U39*'T1 ANSP'!U43))/(('T1 ANSP'!U39*'T1 ANSP'!U42)-('T1 ANSP'!U39*'T1 ANSP'!U43)),$D$67)),"N/A",ROUND(('T1 ANSP'!U16-('T1 ANSP'!U39*'T1 ANSP'!U43))/(('T1 ANSP'!U39*'T1 ANSP'!U42)-('T1 ANSP'!U39*'T1 ANSP'!U43)),$D$67))</f>
        <v>0.7</v>
      </c>
    </row>
    <row r="69" spans="1:20" s="190" customFormat="1" ht="15" customHeight="1" outlineLevel="1">
      <c r="A69" s="185"/>
      <c r="B69" s="186"/>
      <c r="C69" s="204" t="s">
        <v>84</v>
      </c>
      <c r="D69" s="191"/>
      <c r="E69" s="217">
        <f>ROUND('T1 ANSP'!C44,$D$67)</f>
        <v>0.40200000000000002</v>
      </c>
      <c r="F69" s="217">
        <f>ROUND('T1 ANSP'!D44,$D$67)</f>
        <v>0.4</v>
      </c>
      <c r="G69" s="217">
        <f>ROUND('T1 ANSP'!E44,$D$67)</f>
        <v>0.40100000000000002</v>
      </c>
      <c r="H69" s="217">
        <f>ROUND('T1 ANSP'!F44,$D$67)</f>
        <v>0.4</v>
      </c>
      <c r="I69" s="217">
        <f>ROUND('T1 ANSP'!G44,$D$67)</f>
        <v>0.4</v>
      </c>
      <c r="J69" s="217">
        <f>ROUND('T1 ANSP'!H44,$D$67)</f>
        <v>0.4</v>
      </c>
      <c r="K69" s="217">
        <f>ROUND('T1 ANSP'!I44,$D$67)</f>
        <v>0.4</v>
      </c>
      <c r="L69" s="217">
        <f>ROUND('T1 ANSP'!J44,$D$67)</f>
        <v>0.4</v>
      </c>
      <c r="M69" s="217">
        <f>ROUND('T1 ANSP'!K44,$D$67)</f>
        <v>0.7</v>
      </c>
      <c r="N69" s="217">
        <f>ROUND('T1 ANSP'!L44,$D$67)</f>
        <v>0.7</v>
      </c>
      <c r="O69" s="217">
        <f>ROUND('T1 ANSP'!M44,$D$67)</f>
        <v>0.7</v>
      </c>
      <c r="P69" s="217">
        <f>ROUND('T1 ANSP'!N44,$D$67)</f>
        <v>0.7</v>
      </c>
      <c r="Q69" s="217">
        <f>ROUND('T1 ANSP'!O44,$D$67)</f>
        <v>0.7</v>
      </c>
      <c r="R69" s="163"/>
      <c r="S69" s="217">
        <f>ROUND('T1 ANSP'!T44,$D$67)</f>
        <v>0.7</v>
      </c>
      <c r="T69" s="217">
        <f>ROUND('T1 ANSP'!U44,$D$67)</f>
        <v>0.7</v>
      </c>
    </row>
    <row r="70" spans="1:20" s="184" customFormat="1" ht="15" customHeight="1">
      <c r="A70" s="179" t="s">
        <v>85</v>
      </c>
      <c r="B70" s="180" t="s">
        <v>86</v>
      </c>
      <c r="C70" s="181" t="s">
        <v>87</v>
      </c>
      <c r="D70" s="182">
        <v>3</v>
      </c>
      <c r="E70" s="183" t="b">
        <f>ROUND(SUM('T1 ANSP'!C36:C38),$D$70)=ROUND('T1 ANSP'!C39,$D$70)</f>
        <v>1</v>
      </c>
      <c r="F70" s="183" t="b">
        <f>ROUND(SUM('T1 ANSP'!D36:D38),$D$70)=ROUND('T1 ANSP'!D39,$D$70)</f>
        <v>1</v>
      </c>
      <c r="G70" s="183" t="b">
        <f>ROUND(SUM('T1 ANSP'!E36:E38),$D$70)=ROUND('T1 ANSP'!E39,$D$70)</f>
        <v>1</v>
      </c>
      <c r="H70" s="183" t="b">
        <f>ROUND(SUM('T1 ANSP'!F36:F38),$D$70)=ROUND('T1 ANSP'!F39,$D$70)</f>
        <v>1</v>
      </c>
      <c r="I70" s="183" t="b">
        <f>ROUND(SUM('T1 ANSP'!G36:G38),$D$70)=ROUND('T1 ANSP'!G39,$D$70)</f>
        <v>1</v>
      </c>
      <c r="J70" s="183" t="b">
        <f>ROUND(SUM('T1 ANSP'!H36:H38),$D$70)=ROUND('T1 ANSP'!H39,$D$70)</f>
        <v>1</v>
      </c>
      <c r="K70" s="183" t="b">
        <f>ROUND(SUM('T1 ANSP'!I36:I38),$D$70)=ROUND('T1 ANSP'!I39,$D$70)</f>
        <v>1</v>
      </c>
      <c r="L70" s="183" t="b">
        <f>ROUND(SUM('T1 ANSP'!J36:J38),$D$70)=ROUND('T1 ANSP'!J39,$D$70)</f>
        <v>1</v>
      </c>
      <c r="M70" s="183" t="b">
        <f>ROUND(SUM('T1 ANSP'!K36:K38),$D$70)=ROUND('T1 ANSP'!K39,$D$70)</f>
        <v>1</v>
      </c>
      <c r="N70" s="183" t="b">
        <f>ROUND(SUM('T1 ANSP'!L36:L38),$D$70)=ROUND('T1 ANSP'!L39,$D$70)</f>
        <v>1</v>
      </c>
      <c r="O70" s="183" t="b">
        <f>ROUND(SUM('T1 ANSP'!M36:M38),$D$70)=ROUND('T1 ANSP'!M39,$D$70)</f>
        <v>1</v>
      </c>
      <c r="P70" s="183" t="b">
        <f>ROUND(SUM('T1 ANSP'!N36:N38),$D$70)=ROUND('T1 ANSP'!N39,$D$70)</f>
        <v>1</v>
      </c>
      <c r="Q70" s="183" t="b">
        <f>ROUND(SUM('T1 ANSP'!O36:O38),$D$70)=ROUND('T1 ANSP'!O39,$D$70)</f>
        <v>1</v>
      </c>
      <c r="R70" s="163"/>
      <c r="S70" s="183" t="b">
        <f>ROUND(SUM('T1 ANSP'!T36:T38),$D$70)=ROUND('T1 ANSP'!T39,$D$70)</f>
        <v>1</v>
      </c>
      <c r="T70" s="183" t="b">
        <f>ROUND(SUM('T1 ANSP'!U36:U38),$D$70)=ROUND('T1 ANSP'!U39,$D$70)</f>
        <v>1</v>
      </c>
    </row>
    <row r="71" spans="1:20" s="190" customFormat="1" ht="15" customHeight="1" outlineLevel="1">
      <c r="A71" s="185"/>
      <c r="B71" s="186"/>
      <c r="C71" s="187" t="s">
        <v>88</v>
      </c>
      <c r="D71" s="191"/>
      <c r="E71" s="878">
        <f>ROUND(SUM('T1 ANSP'!C36:C38),$D$70)</f>
        <v>1005299.905</v>
      </c>
      <c r="F71" s="878">
        <f>ROUND(SUM('T1 ANSP'!D36:D38),$D$70)</f>
        <v>1007679.07</v>
      </c>
      <c r="G71" s="878">
        <f>ROUND(SUM('T1 ANSP'!E36:E38),$D$70)</f>
        <v>992116.11499999999</v>
      </c>
      <c r="H71" s="878">
        <f>ROUND(SUM('T1 ANSP'!F36:F38),$D$70)</f>
        <v>968261.12100000004</v>
      </c>
      <c r="I71" s="878">
        <f>ROUND(SUM('T1 ANSP'!G36:G38),$D$70)</f>
        <v>897775.071</v>
      </c>
      <c r="J71" s="878">
        <f>ROUND(SUM('T1 ANSP'!H36:H38),$D$70)</f>
        <v>842598.33499999996</v>
      </c>
      <c r="K71" s="878">
        <f>ROUND(SUM('T1 ANSP'!I36:I38),$D$70)</f>
        <v>830401.35600000003</v>
      </c>
      <c r="L71" s="878">
        <f>ROUND(SUM('T1 ANSP'!J36:J38),$D$70)</f>
        <v>823026.93299999996</v>
      </c>
      <c r="M71" s="878">
        <f>ROUND(SUM('T1 ANSP'!K36:K38),$D$70)</f>
        <v>871008.10900000005</v>
      </c>
      <c r="N71" s="878">
        <f>ROUND(SUM('T1 ANSP'!L36:L38),$D$70)</f>
        <v>982612.96600000001</v>
      </c>
      <c r="O71" s="878">
        <f>ROUND(SUM('T1 ANSP'!M36:M38),$D$70)</f>
        <v>1061885.956</v>
      </c>
      <c r="P71" s="878">
        <f>ROUND(SUM('T1 ANSP'!N36:N38),$D$70)</f>
        <v>1554031.537</v>
      </c>
      <c r="Q71" s="878">
        <f>ROUND(SUM('T1 ANSP'!O36:O38),$D$70)</f>
        <v>1560513.713</v>
      </c>
      <c r="R71" s="163"/>
      <c r="S71" s="878">
        <f>ROUND(SUM('T1 ANSP'!T36:T38),$D$70)</f>
        <v>933193.99600000004</v>
      </c>
      <c r="T71" s="878">
        <f>ROUND(SUM('T1 ANSP'!U36:U38),$D$70)</f>
        <v>1137645.682</v>
      </c>
    </row>
    <row r="72" spans="1:20" s="190" customFormat="1" ht="15" customHeight="1" outlineLevel="1">
      <c r="A72" s="185"/>
      <c r="B72" s="186"/>
      <c r="C72" s="187" t="s">
        <v>89</v>
      </c>
      <c r="D72" s="191"/>
      <c r="E72" s="878">
        <f>ROUND('T1 ANSP'!C39,$D$70)</f>
        <v>1005299.905</v>
      </c>
      <c r="F72" s="878">
        <f>ROUND('T1 ANSP'!D39,$D$70)</f>
        <v>1007679.07</v>
      </c>
      <c r="G72" s="878">
        <f>ROUND('T1 ANSP'!E39,$D$70)</f>
        <v>992116.11499999999</v>
      </c>
      <c r="H72" s="878">
        <f>ROUND('T1 ANSP'!F39,$D$70)</f>
        <v>968261.12100000004</v>
      </c>
      <c r="I72" s="878">
        <f>ROUND('T1 ANSP'!G39,$D$70)</f>
        <v>897775.071</v>
      </c>
      <c r="J72" s="878">
        <f>ROUND('T1 ANSP'!H39,$D$70)</f>
        <v>842598.33499999996</v>
      </c>
      <c r="K72" s="878">
        <f>ROUND('T1 ANSP'!I39,$D$70)</f>
        <v>830401.35600000003</v>
      </c>
      <c r="L72" s="878">
        <f>ROUND('T1 ANSP'!J39,$D$70)</f>
        <v>823026.93299999996</v>
      </c>
      <c r="M72" s="878">
        <f>ROUND('T1 ANSP'!K39,$D$70)</f>
        <v>871008.10900000005</v>
      </c>
      <c r="N72" s="878">
        <f>ROUND('T1 ANSP'!L39,$D$70)</f>
        <v>982612.96600000001</v>
      </c>
      <c r="O72" s="878">
        <f>ROUND('T1 ANSP'!M39,$D$70)</f>
        <v>1061885.956</v>
      </c>
      <c r="P72" s="878">
        <f>ROUND('T1 ANSP'!N39,$D$70)</f>
        <v>1554031.537</v>
      </c>
      <c r="Q72" s="878">
        <f>ROUND('T1 ANSP'!O39,$D$70)</f>
        <v>1560513.713</v>
      </c>
      <c r="R72" s="163"/>
      <c r="S72" s="878">
        <f>ROUND('T1 ANSP'!T39,$D$70)</f>
        <v>933193.99600000004</v>
      </c>
      <c r="T72" s="878">
        <f>ROUND('T1 ANSP'!U39,$D$70)</f>
        <v>1137645.682</v>
      </c>
    </row>
    <row r="73" spans="1:20" s="184" customFormat="1" ht="15" customHeight="1">
      <c r="A73" s="179" t="s">
        <v>90</v>
      </c>
      <c r="B73" s="180" t="s">
        <v>86</v>
      </c>
      <c r="C73" s="203" t="s">
        <v>91</v>
      </c>
      <c r="D73" s="182">
        <v>3</v>
      </c>
      <c r="E73" s="183" t="b">
        <f>IF(ROUND('T1 ANSP'!C39,$D$73)=0,ROUND('T1 ANSP'!C16,$D$73)=0,TRUE)</f>
        <v>1</v>
      </c>
      <c r="F73" s="183" t="b">
        <f>IF(ROUND('T1 ANSP'!D39,$D$73)=0,ROUND('T1 ANSP'!D16,$D$73)=0,TRUE)</f>
        <v>1</v>
      </c>
      <c r="G73" s="183" t="b">
        <f>IF(ROUND('T1 ANSP'!E39,$D$73)=0,ROUND('T1 ANSP'!E16,$D$73)=0,TRUE)</f>
        <v>1</v>
      </c>
      <c r="H73" s="183" t="b">
        <f>IF(ROUND('T1 ANSP'!F39,$D$73)=0,ROUND('T1 ANSP'!F16,$D$73)=0,TRUE)</f>
        <v>1</v>
      </c>
      <c r="I73" s="183" t="b">
        <f>IF(ROUND('T1 ANSP'!G39,$D$73)=0,ROUND('T1 ANSP'!G16,$D$73)=0,TRUE)</f>
        <v>1</v>
      </c>
      <c r="J73" s="183" t="b">
        <f>IF(ROUND('T1 ANSP'!H39,$D$73)=0,ROUND('T1 ANSP'!H16,$D$73)=0,TRUE)</f>
        <v>1</v>
      </c>
      <c r="K73" s="183" t="b">
        <f>IF(ROUND('T1 ANSP'!I39,$D$73)=0,ROUND('T1 ANSP'!I16,$D$73)=0,TRUE)</f>
        <v>1</v>
      </c>
      <c r="L73" s="183" t="b">
        <f>IF(ROUND('T1 ANSP'!J39,$D$73)=0,ROUND('T1 ANSP'!J16,$D$73)=0,TRUE)</f>
        <v>1</v>
      </c>
      <c r="M73" s="183" t="b">
        <f>IF(ROUND('T1 ANSP'!K39,$D$73)=0,ROUND('T1 ANSP'!K16,$D$73)=0,TRUE)</f>
        <v>1</v>
      </c>
      <c r="N73" s="183" t="b">
        <f>IF(ROUND('T1 ANSP'!L39,$D$73)=0,ROUND('T1 ANSP'!L16,$D$73)=0,TRUE)</f>
        <v>1</v>
      </c>
      <c r="O73" s="183" t="b">
        <f>IF(ROUND('T1 ANSP'!M39,$D$73)=0,ROUND('T1 ANSP'!M16,$D$73)=0,TRUE)</f>
        <v>1</v>
      </c>
      <c r="P73" s="183" t="b">
        <f>IF(ROUND('T1 ANSP'!N39,$D$73)=0,ROUND('T1 ANSP'!N16,$D$73)=0,TRUE)</f>
        <v>1</v>
      </c>
      <c r="Q73" s="183" t="b">
        <f>IF(ROUND('T1 ANSP'!O39,$D$73)=0,ROUND('T1 ANSP'!O16,$D$73)=0,TRUE)</f>
        <v>1</v>
      </c>
      <c r="R73" s="163"/>
      <c r="S73" s="183" t="b">
        <f>IF(ROUND('T1 ANSP'!T39,$D$73)=0,ROUND('T1 ANSP'!T16,$D$73)=0,TRUE)</f>
        <v>1</v>
      </c>
      <c r="T73" s="183" t="b">
        <f>IF(ROUND('T1 ANSP'!U39,$D$73)=0,ROUND('T1 ANSP'!U16,$D$73)=0,TRUE)</f>
        <v>1</v>
      </c>
    </row>
    <row r="74" spans="1:20" s="190" customFormat="1" ht="15" customHeight="1" outlineLevel="1">
      <c r="A74" s="185"/>
      <c r="B74" s="186"/>
      <c r="C74" s="187" t="s">
        <v>89</v>
      </c>
      <c r="D74" s="191"/>
      <c r="E74" s="878">
        <f>ROUND('T1 ANSP'!C39,$D$73)</f>
        <v>1005299.905</v>
      </c>
      <c r="F74" s="878">
        <f>ROUND('T1 ANSP'!D39,$D$73)</f>
        <v>1007679.07</v>
      </c>
      <c r="G74" s="878">
        <f>ROUND('T1 ANSP'!E39,$D$73)</f>
        <v>992116.11499999999</v>
      </c>
      <c r="H74" s="878">
        <f>ROUND('T1 ANSP'!F39,$D$73)</f>
        <v>968261.12100000004</v>
      </c>
      <c r="I74" s="878">
        <f>ROUND('T1 ANSP'!G39,$D$73)</f>
        <v>897775.071</v>
      </c>
      <c r="J74" s="878">
        <f>ROUND('T1 ANSP'!H39,$D$73)</f>
        <v>842598.33499999996</v>
      </c>
      <c r="K74" s="878">
        <f>ROUND('T1 ANSP'!I39,$D$73)</f>
        <v>830401.35600000003</v>
      </c>
      <c r="L74" s="878">
        <f>ROUND('T1 ANSP'!J39,$D$73)</f>
        <v>823026.93299999996</v>
      </c>
      <c r="M74" s="878">
        <f>ROUND('T1 ANSP'!K39,$D$73)</f>
        <v>871008.10900000005</v>
      </c>
      <c r="N74" s="878">
        <f>ROUND('T1 ANSP'!L39,$D$73)</f>
        <v>982612.96600000001</v>
      </c>
      <c r="O74" s="878">
        <f>ROUND('T1 ANSP'!M39,$D$73)</f>
        <v>1061885.956</v>
      </c>
      <c r="P74" s="878">
        <f>ROUND('T1 ANSP'!N39,$D$73)</f>
        <v>1554031.537</v>
      </c>
      <c r="Q74" s="878">
        <f>ROUND('T1 ANSP'!O39,$D$73)</f>
        <v>1560513.713</v>
      </c>
      <c r="R74" s="163"/>
      <c r="S74" s="878">
        <f>ROUND('T1 ANSP'!T39,$D$73)</f>
        <v>933193.99600000004</v>
      </c>
      <c r="T74" s="878">
        <f>ROUND('T1 ANSP'!U39,$D$73)</f>
        <v>1137645.682</v>
      </c>
    </row>
    <row r="75" spans="1:20" s="190" customFormat="1" ht="15" customHeight="1" outlineLevel="1">
      <c r="A75" s="185"/>
      <c r="B75" s="186"/>
      <c r="C75" s="187" t="s">
        <v>92</v>
      </c>
      <c r="D75" s="191"/>
      <c r="E75" s="878">
        <f>ROUND('T1 ANSP'!C16,$D$73)</f>
        <v>68159.334000000003</v>
      </c>
      <c r="F75" s="878">
        <f>ROUND('T1 ANSP'!D16,$D$73)</f>
        <v>68119.104999999996</v>
      </c>
      <c r="G75" s="878">
        <f>ROUND('T1 ANSP'!E16,$D$73)</f>
        <v>67166.260999999999</v>
      </c>
      <c r="H75" s="878">
        <f>ROUND('T1 ANSP'!F16,$D$73)</f>
        <v>56740.101999999999</v>
      </c>
      <c r="I75" s="878">
        <f>ROUND('T1 ANSP'!G16,$D$73)</f>
        <v>52609.618999999999</v>
      </c>
      <c r="J75" s="878">
        <f>ROUND('T1 ANSP'!H16,$D$73)</f>
        <v>49376.262000000002</v>
      </c>
      <c r="K75" s="878">
        <f>ROUND('T1 ANSP'!I16,$D$73)</f>
        <v>48661.519</v>
      </c>
      <c r="L75" s="878">
        <f>ROUND('T1 ANSP'!J16,$D$73)</f>
        <v>48229.377999999997</v>
      </c>
      <c r="M75" s="878">
        <f>ROUND('T1 ANSP'!K16,$D$73)</f>
        <v>30311.081999999999</v>
      </c>
      <c r="N75" s="878">
        <f>ROUND('T1 ANSP'!L16,$D$73)</f>
        <v>34194.930999999997</v>
      </c>
      <c r="O75" s="878">
        <f>ROUND('T1 ANSP'!M16,$D$73)</f>
        <v>36953.631000000001</v>
      </c>
      <c r="P75" s="878">
        <f>ROUND('T1 ANSP'!N16,$D$73)</f>
        <v>43716.114000000001</v>
      </c>
      <c r="Q75" s="878">
        <f>ROUND('T1 ANSP'!O16,$D$73)</f>
        <v>43898.463000000003</v>
      </c>
      <c r="R75" s="163"/>
      <c r="S75" s="878">
        <f>ROUND('T1 ANSP'!T16,$D$73)</f>
        <v>32475.151000000002</v>
      </c>
      <c r="T75" s="878">
        <f>ROUND('T1 ANSP'!U16,$D$73)</f>
        <v>39590.07</v>
      </c>
    </row>
    <row r="76" spans="1:20" s="184" customFormat="1" ht="15" customHeight="1">
      <c r="A76" s="179" t="s">
        <v>93</v>
      </c>
      <c r="B76" s="879" t="s">
        <v>94</v>
      </c>
      <c r="C76" s="880" t="s">
        <v>95</v>
      </c>
      <c r="D76" s="881">
        <v>3</v>
      </c>
      <c r="M76" s="183" t="b">
        <f>IF('T1 ANSP'!K15=0,"N/A",ROUND('T1 ANSP'!K50,$D$76)=ROUND('T1 ANSP'!K15,$D$76))</f>
        <v>1</v>
      </c>
      <c r="N76" s="183" t="b">
        <f>IF('T1 ANSP'!L15=0,"N/A",ROUND('T1 ANSP'!L50,$D$76)=ROUND('T1 ANSP'!L15,$D$76))</f>
        <v>1</v>
      </c>
      <c r="O76" s="183" t="b">
        <f>IF('T1 ANSP'!M15=0,"N/A",ROUND('T1 ANSP'!M50,$D$76)=ROUND('T1 ANSP'!M15,$D$76))</f>
        <v>1</v>
      </c>
      <c r="P76" s="183" t="b">
        <f>IF('T1 ANSP'!N15=0,"N/A",ROUND('T1 ANSP'!N50,$D$76)=ROUND('T1 ANSP'!N15,$D$76))</f>
        <v>1</v>
      </c>
      <c r="Q76" s="183" t="b">
        <f>IF('T1 ANSP'!O15=0,"N/A",ROUND('T1 ANSP'!O50,$D$76)=ROUND('T1 ANSP'!O15,$D$76))</f>
        <v>1</v>
      </c>
      <c r="R76" s="163"/>
      <c r="S76" s="183" t="b">
        <f>IF('T1 ANSP'!T15=0,"N/A",ROUND('T1 ANSP'!T50,$D$76)=ROUND('T1 ANSP'!T15,$D$76))</f>
        <v>1</v>
      </c>
      <c r="T76" s="183" t="b">
        <f>IF('T1 ANSP'!U15=0,"N/A",ROUND('T1 ANSP'!U50,$D$76)=ROUND('T1 ANSP'!U15,$D$76))</f>
        <v>1</v>
      </c>
    </row>
    <row r="77" spans="1:20" s="190" customFormat="1" ht="15" customHeight="1" outlineLevel="1">
      <c r="A77" s="185"/>
      <c r="B77" s="882"/>
      <c r="C77" s="883" t="s">
        <v>96</v>
      </c>
      <c r="D77" s="884"/>
      <c r="E77" s="184"/>
      <c r="F77" s="184"/>
      <c r="G77" s="184"/>
      <c r="H77" s="184"/>
      <c r="I77" s="184"/>
      <c r="M77" s="885">
        <f>IF('T1 ANSP'!K15=0,"N/A",ROUND('T1 ANSP'!K50,$D$76))</f>
        <v>170372.82199999999</v>
      </c>
      <c r="N77" s="885">
        <f>IF('T1 ANSP'!L15=0,"N/A",ROUND('T1 ANSP'!L50,$D$76))</f>
        <v>142455.77900000001</v>
      </c>
      <c r="O77" s="885">
        <f>IF('T1 ANSP'!M15=0,"N/A",ROUND('T1 ANSP'!M50,$D$76))</f>
        <v>127877.649</v>
      </c>
      <c r="P77" s="885">
        <f>IF('T1 ANSP'!N15=0,"N/A",ROUND('T1 ANSP'!N50,$D$76))</f>
        <v>118915.34600000001</v>
      </c>
      <c r="Q77" s="885">
        <f>IF('T1 ANSP'!O15=0,"N/A",ROUND('T1 ANSP'!O50,$D$76))</f>
        <v>130588.94</v>
      </c>
      <c r="R77" s="163"/>
      <c r="S77" s="885">
        <f>IF('T1 ANSP'!T15=0,"N/A",ROUND('T1 ANSP'!T50,$D$76))</f>
        <v>170677.016</v>
      </c>
      <c r="T77" s="885">
        <f>IF('T1 ANSP'!U15=0,"N/A",ROUND('T1 ANSP'!U50,$D$76))</f>
        <v>142628.60200000001</v>
      </c>
    </row>
    <row r="78" spans="1:20" s="190" customFormat="1" ht="15" customHeight="1" outlineLevel="1">
      <c r="A78" s="185"/>
      <c r="B78" s="882"/>
      <c r="C78" s="883" t="s">
        <v>97</v>
      </c>
      <c r="D78" s="884"/>
      <c r="E78" s="184"/>
      <c r="F78" s="184"/>
      <c r="G78" s="184"/>
      <c r="H78" s="184"/>
      <c r="I78" s="184"/>
      <c r="M78" s="885">
        <f>IF('T1 ANSP'!K15=0,"N/A",ROUND('T1 ANSP'!K15,$D$76))</f>
        <v>170372.82199999999</v>
      </c>
      <c r="N78" s="885">
        <f>IF('T1 ANSP'!L15=0,"N/A",ROUND('T1 ANSP'!L15,$D$76))</f>
        <v>142455.77900000001</v>
      </c>
      <c r="O78" s="885">
        <f>IF('T1 ANSP'!M15=0,"N/A",ROUND('T1 ANSP'!M15,$D$76))</f>
        <v>127877.649</v>
      </c>
      <c r="P78" s="885">
        <f>IF('T1 ANSP'!N15=0,"N/A",ROUND('T1 ANSP'!N15,$D$76))</f>
        <v>118915.34600000001</v>
      </c>
      <c r="Q78" s="885">
        <f>IF('T1 ANSP'!O15=0,"N/A",ROUND('T1 ANSP'!O15,$D$76))</f>
        <v>130588.94</v>
      </c>
      <c r="R78" s="163"/>
      <c r="S78" s="885">
        <f>IF('T1 ANSP'!T15=0,"N/A",ROUND('T1 ANSP'!T15,$D$76))</f>
        <v>170677.016</v>
      </c>
      <c r="T78" s="885">
        <f>IF('T1 ANSP'!U15=0,"N/A",ROUND('T1 ANSP'!U15,$D$76))</f>
        <v>142628.60200000001</v>
      </c>
    </row>
    <row r="79" spans="1:20" s="184" customFormat="1" ht="15" customHeight="1">
      <c r="A79" s="179" t="s">
        <v>98</v>
      </c>
      <c r="B79" s="879" t="s">
        <v>99</v>
      </c>
      <c r="C79" s="880" t="s">
        <v>100</v>
      </c>
      <c r="D79" s="881">
        <v>3</v>
      </c>
      <c r="M79" s="886" t="b">
        <f>IF('T1 ANSP'!K16=0,"N/A",ROUND('T1 ANSP'!K51,$D$79)=ROUND('T1 ANSP'!K36*'T1 ANSP'!K41,$D$79))</f>
        <v>0</v>
      </c>
      <c r="N79" s="886" t="b">
        <f>IF('T1 ANSP'!L16=0,"N/A",ROUND('T1 ANSP'!L51,$D$79)=ROUND('T1 ANSP'!L36*'T1 ANSP'!L41,$D$79))</f>
        <v>0</v>
      </c>
      <c r="O79" s="886" t="b">
        <f>IF('T1 ANSP'!M16=0,"N/A",ROUND('T1 ANSP'!M51,$D$79)=ROUND('T1 ANSP'!M36*'T1 ANSP'!M41,$D$79))</f>
        <v>0</v>
      </c>
      <c r="P79" s="886" t="b">
        <f>IF('T1 ANSP'!N16=0,"N/A",ROUND('T1 ANSP'!N51,$D$79)=ROUND('T1 ANSP'!N36*'T1 ANSP'!N41,$D$79))</f>
        <v>0</v>
      </c>
      <c r="Q79" s="886" t="b">
        <f>IF('T1 ANSP'!O16=0,"N/A",ROUND('T1 ANSP'!O51,$D$79)=ROUND('T1 ANSP'!O36*'T1 ANSP'!O41,$D$79))</f>
        <v>0</v>
      </c>
      <c r="R79" s="163"/>
      <c r="S79" s="886" t="b">
        <f>IF('T1 ANSP'!T16=0,"N/A",ROUND('T1 ANSP'!T51,$D$79)=ROUND('T1 ANSP'!T36*'T1 ANSP'!T41,$D$79))</f>
        <v>0</v>
      </c>
      <c r="T79" s="886" t="b">
        <f>IF('T1 ANSP'!U16=0,"N/A",ROUND('T1 ANSP'!U51,$D$79)=ROUND('T1 ANSP'!U36*'T1 ANSP'!U41,$D$79))</f>
        <v>0</v>
      </c>
    </row>
    <row r="80" spans="1:20" s="190" customFormat="1" ht="15" customHeight="1" outlineLevel="1">
      <c r="A80" s="185"/>
      <c r="B80" s="882"/>
      <c r="C80" s="883" t="s">
        <v>101</v>
      </c>
      <c r="D80" s="884"/>
      <c r="E80" s="184"/>
      <c r="F80" s="184"/>
      <c r="G80" s="184"/>
      <c r="H80" s="184"/>
      <c r="I80" s="184"/>
      <c r="M80" s="885">
        <f>IF('T1 ANSP'!K16=0,"N/A",ROUND('T1 ANSP'!K51,$D$79))</f>
        <v>30311.081999999999</v>
      </c>
      <c r="N80" s="885">
        <f>IF('T1 ANSP'!L16=0,"N/A",ROUND('T1 ANSP'!L51,$D$79))</f>
        <v>34194.930999999997</v>
      </c>
      <c r="O80" s="885">
        <f>IF('T1 ANSP'!M16=0,"N/A",ROUND('T1 ANSP'!M51,$D$79))</f>
        <v>36953.631000000001</v>
      </c>
      <c r="P80" s="885">
        <f>IF('T1 ANSP'!N16=0,"N/A",ROUND('T1 ANSP'!N51,$D$79))</f>
        <v>43716.114000000001</v>
      </c>
      <c r="Q80" s="885">
        <f>IF('T1 ANSP'!O16=0,"N/A",ROUND('T1 ANSP'!O51,$D$79))</f>
        <v>43898.463000000003</v>
      </c>
      <c r="R80" s="163"/>
      <c r="S80" s="885">
        <f>IF('T1 ANSP'!T16=0,"N/A",ROUND('T1 ANSP'!T51,$D$79))</f>
        <v>32475.151000000002</v>
      </c>
      <c r="T80" s="885">
        <f>IF('T1 ANSP'!U16=0,"N/A",ROUND('T1 ANSP'!U51,$D$79))</f>
        <v>39590.07</v>
      </c>
    </row>
    <row r="81" spans="1:27" s="190" customFormat="1" ht="15" customHeight="1" outlineLevel="1">
      <c r="A81" s="185"/>
      <c r="B81" s="882"/>
      <c r="C81" s="883" t="s">
        <v>102</v>
      </c>
      <c r="D81" s="884"/>
      <c r="E81" s="184"/>
      <c r="F81" s="184"/>
      <c r="G81" s="184"/>
      <c r="H81" s="184"/>
      <c r="I81" s="184"/>
      <c r="M81" s="885">
        <f>IF('T1 ANSP'!K16=0,"N/A",ROUND('T1 ANSP'!K36*'T1 ANSP'!K41,$D$79))</f>
        <v>34865.485000000001</v>
      </c>
      <c r="N81" s="885">
        <f>IF('T1 ANSP'!L16=0,"N/A",ROUND('T1 ANSP'!L36*'T1 ANSP'!L41,$D$79))</f>
        <v>35866.894</v>
      </c>
      <c r="O81" s="885">
        <f>IF('T1 ANSP'!M16=0,"N/A",ROUND('T1 ANSP'!M36*'T1 ANSP'!M41,$D$79))</f>
        <v>34478.173000000003</v>
      </c>
      <c r="P81" s="885">
        <f>IF('T1 ANSP'!N16=0,"N/A",ROUND('T1 ANSP'!N36*'T1 ANSP'!N41,$D$79))</f>
        <v>30175.153999999999</v>
      </c>
      <c r="Q81" s="885">
        <f>IF('T1 ANSP'!O16=0,"N/A",ROUND('T1 ANSP'!O36*'T1 ANSP'!O41,$D$79))</f>
        <v>30530.822</v>
      </c>
      <c r="R81" s="163"/>
      <c r="S81" s="885">
        <f>IF('T1 ANSP'!T16=0,"N/A",ROUND('T1 ANSP'!T36*'T1 ANSP'!T41,$D$79))</f>
        <v>30166.753000000001</v>
      </c>
      <c r="T81" s="885">
        <f>IF('T1 ANSP'!U16=0,"N/A",ROUND('T1 ANSP'!U36*'T1 ANSP'!U41,$D$79))</f>
        <v>31522.731</v>
      </c>
    </row>
    <row r="82" spans="1:27" s="194" customFormat="1" ht="18.75">
      <c r="A82" s="173" t="s">
        <v>13</v>
      </c>
      <c r="B82" s="174" t="s">
        <v>14</v>
      </c>
      <c r="C82" s="175" t="s">
        <v>103</v>
      </c>
      <c r="D82" s="192"/>
      <c r="E82" s="193"/>
      <c r="F82" s="193"/>
      <c r="G82" s="193"/>
      <c r="H82" s="193"/>
      <c r="I82" s="193"/>
      <c r="J82" s="193"/>
      <c r="K82" s="193"/>
      <c r="L82" s="193"/>
      <c r="M82" s="193"/>
      <c r="N82" s="193"/>
      <c r="O82" s="193"/>
      <c r="P82" s="193"/>
      <c r="Q82" s="193"/>
      <c r="R82" s="163"/>
      <c r="S82" s="193"/>
      <c r="T82" s="193"/>
      <c r="U82" s="163"/>
    </row>
    <row r="83" spans="1:27" s="206" customFormat="1" ht="15" customHeight="1">
      <c r="A83" s="179" t="s">
        <v>21</v>
      </c>
      <c r="B83" s="180" t="s">
        <v>22</v>
      </c>
      <c r="C83" s="181" t="s">
        <v>23</v>
      </c>
      <c r="D83" s="195">
        <v>3</v>
      </c>
      <c r="E83" s="183" t="b">
        <f>ROUND('T1 MET'!C18,$D$83)=ROUND(('T1 MET'!C12+SUM('T1 MET'!C14:C17)),$D$83)</f>
        <v>1</v>
      </c>
      <c r="F83" s="183" t="b">
        <f>ROUND('T1 MET'!D18,$D$83)=ROUND(('T1 MET'!D12+SUM('T1 MET'!D14:D17)),$D$83)</f>
        <v>1</v>
      </c>
      <c r="G83" s="183" t="b">
        <f>ROUND('T1 MET'!E18,$D$83)=ROUND(('T1 MET'!E12+SUM('T1 MET'!E14:E17)),$D$83)</f>
        <v>1</v>
      </c>
      <c r="H83" s="183" t="b">
        <f>ROUND('T1 MET'!F18,$D$83)=ROUND(('T1 MET'!F12+SUM('T1 MET'!F14:F17)),$D$83)</f>
        <v>1</v>
      </c>
      <c r="I83" s="183" t="b">
        <f>ROUND('T1 MET'!G18,$D$83)=ROUND(('T1 MET'!G12+SUM('T1 MET'!G14:G17)),$D$83)</f>
        <v>1</v>
      </c>
      <c r="J83" s="183" t="b">
        <f>ROUND('T1 MET'!H18,$D$83)=ROUND(('T1 MET'!H12+SUM('T1 MET'!H14:H17)),$D$83)</f>
        <v>1</v>
      </c>
      <c r="K83" s="183" t="b">
        <f>ROUND('T1 MET'!I18,$D$83)=ROUND(('T1 MET'!I12+SUM('T1 MET'!I14:I17)),$D$83)</f>
        <v>1</v>
      </c>
      <c r="L83" s="183" t="b">
        <f>ROUND('T1 MET'!J18,$D$83)=ROUND(('T1 MET'!J12+SUM('T1 MET'!J14:J17)),$D$83)</f>
        <v>1</v>
      </c>
      <c r="M83" s="183" t="b">
        <f>ROUND('T1 MET'!K18,$D$83)=ROUND(('T1 MET'!K12+SUM('T1 MET'!K14:K17)),$D$83)</f>
        <v>1</v>
      </c>
      <c r="N83" s="183" t="b">
        <f>ROUND('T1 MET'!L18,$D$83)=ROUND(('T1 MET'!L12+SUM('T1 MET'!L14:L17)),$D$83)</f>
        <v>1</v>
      </c>
      <c r="O83" s="183" t="b">
        <f>ROUND('T1 MET'!M18,$D$83)=ROUND(('T1 MET'!M12+SUM('T1 MET'!M14:M17)),$D$83)</f>
        <v>1</v>
      </c>
      <c r="P83" s="183" t="b">
        <f>ROUND('T1 MET'!N18,$D$83)=ROUND(('T1 MET'!N12+SUM('T1 MET'!N14:N17)),$D$83)</f>
        <v>1</v>
      </c>
      <c r="Q83" s="183" t="b">
        <f>ROUND('T1 MET'!O18,$D$83)=ROUND(('T1 MET'!O12+SUM('T1 MET'!O14:O17)),$D$83)</f>
        <v>1</v>
      </c>
      <c r="R83" s="163"/>
      <c r="S83" s="183" t="b">
        <f>ROUND('T1 MET'!T18,$D$83)=ROUND(('T1 MET'!T12+SUM('T1 MET'!T14:T17)),$D$83)</f>
        <v>1</v>
      </c>
      <c r="T83" s="183" t="b">
        <f>ROUND('T1 MET'!U18,$D$83)=ROUND(('T1 MET'!U12+SUM('T1 MET'!U14:U17)),$D$83)</f>
        <v>1</v>
      </c>
      <c r="U83" s="163"/>
    </row>
    <row r="84" spans="1:27" s="206" customFormat="1" ht="15" customHeight="1" outlineLevel="1">
      <c r="A84" s="185"/>
      <c r="B84" s="196"/>
      <c r="C84" s="187" t="s">
        <v>24</v>
      </c>
      <c r="D84" s="191"/>
      <c r="E84" s="878">
        <f>ROUND('T1 MET'!C18,$D$83)</f>
        <v>29130</v>
      </c>
      <c r="F84" s="878">
        <f>ROUND('T1 MET'!D18,$D$83)</f>
        <v>28718</v>
      </c>
      <c r="G84" s="878">
        <f>ROUND('T1 MET'!E18,$D$83)</f>
        <v>28213</v>
      </c>
      <c r="H84" s="878">
        <f>ROUND('T1 MET'!F18,$D$83)</f>
        <v>28438</v>
      </c>
      <c r="I84" s="878">
        <f>ROUND('T1 MET'!G18,$D$83)</f>
        <v>27852.3</v>
      </c>
      <c r="J84" s="878">
        <f>ROUND('T1 MET'!H18,$D$83)</f>
        <v>26446</v>
      </c>
      <c r="K84" s="878">
        <f>ROUND('T1 MET'!I18,$D$83)</f>
        <v>27081.343000000001</v>
      </c>
      <c r="L84" s="878">
        <f>ROUND('T1 MET'!J18,$D$83)</f>
        <v>27756.395</v>
      </c>
      <c r="M84" s="878">
        <f>ROUND('T1 MET'!K18,$D$83)</f>
        <v>30937.955000000002</v>
      </c>
      <c r="N84" s="878">
        <f>ROUND('T1 MET'!L18,$D$83)</f>
        <v>30193.923999999999</v>
      </c>
      <c r="O84" s="878">
        <f>ROUND('T1 MET'!M18,$D$83)</f>
        <v>31631.805</v>
      </c>
      <c r="P84" s="878">
        <f>ROUND('T1 MET'!N18,$D$83)</f>
        <v>33079.186999999998</v>
      </c>
      <c r="Q84" s="878">
        <f>ROUND('T1 MET'!O18,$D$83)</f>
        <v>38640.665999999997</v>
      </c>
      <c r="R84" s="163"/>
      <c r="S84" s="878">
        <f>ROUND('T1 MET'!T18,$D$83)</f>
        <v>28865.468000000001</v>
      </c>
      <c r="T84" s="878">
        <f>ROUND('T1 MET'!U18,$D$83)</f>
        <v>29269.24</v>
      </c>
      <c r="U84" s="163"/>
    </row>
    <row r="85" spans="1:27" s="206" customFormat="1" ht="15" customHeight="1" outlineLevel="1">
      <c r="A85" s="185"/>
      <c r="B85" s="186"/>
      <c r="C85" s="187" t="s">
        <v>25</v>
      </c>
      <c r="D85" s="191"/>
      <c r="E85" s="878">
        <f>ROUND(('T1 MET'!C12+SUM('T1 MET'!C14:C17)),$D$83)</f>
        <v>29130</v>
      </c>
      <c r="F85" s="878">
        <f>ROUND(('T1 MET'!D12+SUM('T1 MET'!D14:D17)),$D$83)</f>
        <v>28718</v>
      </c>
      <c r="G85" s="878">
        <f>ROUND(('T1 MET'!E12+SUM('T1 MET'!E14:E17)),$D$83)</f>
        <v>28213</v>
      </c>
      <c r="H85" s="878">
        <f>ROUND(('T1 MET'!F12+SUM('T1 MET'!F14:F17)),$D$83)</f>
        <v>28438</v>
      </c>
      <c r="I85" s="878">
        <f>ROUND(('T1 MET'!G12+SUM('T1 MET'!G14:G17)),$D$83)</f>
        <v>27852.3</v>
      </c>
      <c r="J85" s="878">
        <f>ROUND(('T1 MET'!H12+SUM('T1 MET'!H14:H17)),$D$83)</f>
        <v>26446</v>
      </c>
      <c r="K85" s="878">
        <f>ROUND(('T1 MET'!I12+SUM('T1 MET'!I14:I17)),$D$83)</f>
        <v>27081.343000000001</v>
      </c>
      <c r="L85" s="878">
        <f>ROUND(('T1 MET'!J12+SUM('T1 MET'!J14:J17)),$D$83)</f>
        <v>27756.395</v>
      </c>
      <c r="M85" s="878">
        <f>ROUND(('T1 MET'!K12+SUM('T1 MET'!K14:K17)),$D$83)</f>
        <v>30937.955000000002</v>
      </c>
      <c r="N85" s="878">
        <f>ROUND(('T1 MET'!L12+SUM('T1 MET'!L14:L17)),$D$83)</f>
        <v>30193.923999999999</v>
      </c>
      <c r="O85" s="878">
        <f>ROUND(('T1 MET'!M12+SUM('T1 MET'!M14:M17)),$D$83)</f>
        <v>31631.805</v>
      </c>
      <c r="P85" s="878">
        <f>ROUND(('T1 MET'!N12+SUM('T1 MET'!N14:N17)),$D$83)</f>
        <v>33079.186999999998</v>
      </c>
      <c r="Q85" s="878">
        <f>ROUND(('T1 MET'!O12+SUM('T1 MET'!O14:O17)),$D$83)</f>
        <v>38640.665999999997</v>
      </c>
      <c r="R85" s="163"/>
      <c r="S85" s="878">
        <f>ROUND(('T1 MET'!T12+SUM('T1 MET'!T14:T17)),$D$83)</f>
        <v>28865.468000000001</v>
      </c>
      <c r="T85" s="878">
        <f>ROUND(('T1 MET'!U12+SUM('T1 MET'!U14:U17)),$D$83)</f>
        <v>29269.24</v>
      </c>
      <c r="U85" s="163"/>
    </row>
    <row r="86" spans="1:27" s="206" customFormat="1" ht="15" customHeight="1">
      <c r="A86" s="179" t="s">
        <v>26</v>
      </c>
      <c r="B86" s="180" t="s">
        <v>27</v>
      </c>
      <c r="C86" s="181" t="s">
        <v>28</v>
      </c>
      <c r="D86" s="195">
        <v>3</v>
      </c>
      <c r="E86" s="183" t="b">
        <f>ROUND('T1 MET'!C31,$D$86)=ROUND(SUM('T1 MET'!C22:C30),$D$86)</f>
        <v>1</v>
      </c>
      <c r="F86" s="183" t="b">
        <f>ROUND('T1 MET'!D31,$D$86)=ROUND(SUM('T1 MET'!D22:D30),$D$86)</f>
        <v>1</v>
      </c>
      <c r="G86" s="183" t="b">
        <f>ROUND('T1 MET'!E31,$D$86)=ROUND(SUM('T1 MET'!E22:E30),$D$86)</f>
        <v>1</v>
      </c>
      <c r="H86" s="183" t="b">
        <f>ROUND('T1 MET'!F31,$D$86)=ROUND(SUM('T1 MET'!F22:F30),$D$86)</f>
        <v>1</v>
      </c>
      <c r="I86" s="183" t="b">
        <f>ROUND('T1 MET'!G31,$D$86)=ROUND(SUM('T1 MET'!G22:G30),$D$86)</f>
        <v>1</v>
      </c>
      <c r="J86" s="183" t="b">
        <f>ROUND('T1 MET'!H31,$D$86)=ROUND(SUM('T1 MET'!H22:H30),$D$86)</f>
        <v>1</v>
      </c>
      <c r="K86" s="183" t="b">
        <f>ROUND('T1 MET'!I31,$D$86)=ROUND(SUM('T1 MET'!I22:I30),$D$86)</f>
        <v>1</v>
      </c>
      <c r="L86" s="183" t="b">
        <f>ROUND('T1 MET'!J31,$D$86)=ROUND(SUM('T1 MET'!J22:J30),$D$86)</f>
        <v>1</v>
      </c>
      <c r="M86" s="183" t="b">
        <f>ROUND('T1 MET'!K31,$D$86)=ROUND(SUM('T1 MET'!K22:K30),$D$86)</f>
        <v>1</v>
      </c>
      <c r="N86" s="183" t="b">
        <f>ROUND('T1 MET'!L31,$D$86)=ROUND(SUM('T1 MET'!L22:L30),$D$86)</f>
        <v>1</v>
      </c>
      <c r="O86" s="183" t="b">
        <f>ROUND('T1 MET'!M31,$D$86)=ROUND(SUM('T1 MET'!M22:M30),$D$86)</f>
        <v>1</v>
      </c>
      <c r="P86" s="183" t="b">
        <f>ROUND('T1 MET'!N31,$D$86)=ROUND(SUM('T1 MET'!N22:N30),$D$86)</f>
        <v>1</v>
      </c>
      <c r="Q86" s="183" t="b">
        <f>ROUND('T1 MET'!O31,$D$86)=ROUND(SUM('T1 MET'!O22:O30),$D$86)</f>
        <v>1</v>
      </c>
      <c r="R86" s="163"/>
      <c r="S86" s="183" t="b">
        <f>ROUND('T1 MET'!T31,$D$86)=ROUND(SUM('T1 MET'!T22:T30),$D$86)</f>
        <v>1</v>
      </c>
      <c r="T86" s="183" t="b">
        <f>ROUND('T1 MET'!U31,$D$86)=ROUND(SUM('T1 MET'!U22:U30),$D$86)</f>
        <v>1</v>
      </c>
      <c r="U86" s="163"/>
    </row>
    <row r="87" spans="1:27" s="206" customFormat="1" ht="15" customHeight="1" outlineLevel="1">
      <c r="A87" s="185"/>
      <c r="B87" s="186"/>
      <c r="C87" s="187" t="s">
        <v>29</v>
      </c>
      <c r="D87" s="191"/>
      <c r="E87" s="878">
        <f>ROUND('T1 MET'!C31,$D$86)</f>
        <v>29130</v>
      </c>
      <c r="F87" s="878">
        <f>ROUND('T1 MET'!D31,$D$86)</f>
        <v>28718</v>
      </c>
      <c r="G87" s="878">
        <f>ROUND('T1 MET'!E31,$D$86)</f>
        <v>28213</v>
      </c>
      <c r="H87" s="878">
        <f>ROUND('T1 MET'!F31,$D$86)</f>
        <v>28438</v>
      </c>
      <c r="I87" s="878">
        <f>ROUND('T1 MET'!G31,$D$86)</f>
        <v>27852.3</v>
      </c>
      <c r="J87" s="878">
        <f>ROUND('T1 MET'!H31,$D$86)</f>
        <v>26446</v>
      </c>
      <c r="K87" s="878">
        <f>ROUND('T1 MET'!I31,$D$86)</f>
        <v>27081.343000000001</v>
      </c>
      <c r="L87" s="878">
        <f>ROUND('T1 MET'!J31,$D$86)</f>
        <v>27756.395</v>
      </c>
      <c r="M87" s="878">
        <f>ROUND('T1 MET'!K31,$D$86)</f>
        <v>30937.955000000002</v>
      </c>
      <c r="N87" s="878">
        <f>ROUND('T1 MET'!L31,$D$86)</f>
        <v>30193.923999999999</v>
      </c>
      <c r="O87" s="878">
        <f>ROUND('T1 MET'!M31,$D$86)</f>
        <v>31631.805</v>
      </c>
      <c r="P87" s="878">
        <f>ROUND('T1 MET'!N31,$D$86)</f>
        <v>34291.186999999998</v>
      </c>
      <c r="Q87" s="878">
        <f>ROUND('T1 MET'!O31,$D$86)</f>
        <v>38640.665999999997</v>
      </c>
      <c r="R87" s="163"/>
      <c r="S87" s="878">
        <f>ROUND('T1 MET'!T31,$D$86)</f>
        <v>28865.468000000001</v>
      </c>
      <c r="T87" s="878">
        <f>ROUND('T1 MET'!U31,$D$86)</f>
        <v>29269.24</v>
      </c>
      <c r="U87" s="163"/>
    </row>
    <row r="88" spans="1:27" s="206" customFormat="1" ht="15" customHeight="1" outlineLevel="1">
      <c r="A88" s="185"/>
      <c r="B88" s="186"/>
      <c r="C88" s="187" t="s">
        <v>30</v>
      </c>
      <c r="D88" s="191"/>
      <c r="E88" s="878">
        <f>ROUND(SUM('T1 MET'!C22:C30),$D$86)</f>
        <v>29130</v>
      </c>
      <c r="F88" s="878">
        <f>ROUND(SUM('T1 MET'!D22:D30),$D$86)</f>
        <v>28718</v>
      </c>
      <c r="G88" s="878">
        <f>ROUND(SUM('T1 MET'!E22:E30),$D$86)</f>
        <v>28213</v>
      </c>
      <c r="H88" s="878">
        <f>ROUND(SUM('T1 MET'!F22:F30),$D$86)</f>
        <v>28438</v>
      </c>
      <c r="I88" s="878">
        <f>ROUND(SUM('T1 MET'!G22:G30),$D$86)</f>
        <v>27852.3</v>
      </c>
      <c r="J88" s="878">
        <f>ROUND(SUM('T1 MET'!H22:H30),$D$86)</f>
        <v>26446</v>
      </c>
      <c r="K88" s="878">
        <f>ROUND(SUM('T1 MET'!I22:I30),$D$86)</f>
        <v>27081.343000000001</v>
      </c>
      <c r="L88" s="878">
        <f>ROUND(SUM('T1 MET'!J22:J30),$D$86)</f>
        <v>27756.395</v>
      </c>
      <c r="M88" s="878">
        <f>ROUND(SUM('T1 MET'!K22:K30),$D$86)</f>
        <v>30937.955000000002</v>
      </c>
      <c r="N88" s="878">
        <f>ROUND(SUM('T1 MET'!L22:L30),$D$86)</f>
        <v>30193.923999999999</v>
      </c>
      <c r="O88" s="878">
        <f>ROUND(SUM('T1 MET'!M22:M30),$D$86)</f>
        <v>31631.805</v>
      </c>
      <c r="P88" s="878">
        <f>ROUND(SUM('T1 MET'!N22:N30),$D$86)</f>
        <v>34291.186999999998</v>
      </c>
      <c r="Q88" s="878">
        <f>ROUND(SUM('T1 MET'!O22:O30),$D$86)</f>
        <v>38640.665999999997</v>
      </c>
      <c r="R88" s="163"/>
      <c r="S88" s="878">
        <f>ROUND(SUM('T1 MET'!T22:T30),$D$86)</f>
        <v>28865.468000000001</v>
      </c>
      <c r="T88" s="878">
        <f>ROUND(SUM('T1 MET'!U22:U30),$D$86)</f>
        <v>29269.24</v>
      </c>
      <c r="U88" s="163"/>
    </row>
    <row r="89" spans="1:27" s="206" customFormat="1" ht="15" customHeight="1">
      <c r="A89" s="197" t="s">
        <v>31</v>
      </c>
      <c r="B89" s="180" t="s">
        <v>52</v>
      </c>
      <c r="C89" s="181" t="s">
        <v>32</v>
      </c>
      <c r="D89" s="195">
        <v>3</v>
      </c>
      <c r="E89" s="183" t="b">
        <f>ROUND('T1 MET'!C18,$D$89)=ROUND('T1 MET'!C31,$D$89)</f>
        <v>1</v>
      </c>
      <c r="F89" s="183" t="b">
        <f>ROUND('T1 MET'!D18,$D$89)=ROUND('T1 MET'!D31,$D$89)</f>
        <v>1</v>
      </c>
      <c r="G89" s="183" t="b">
        <f>ROUND('T1 MET'!E18,$D$89)=ROUND('T1 MET'!E31,$D$89)</f>
        <v>1</v>
      </c>
      <c r="H89" s="183" t="b">
        <f>ROUND('T1 MET'!F18,$D$89)=ROUND('T1 MET'!F31,$D$89)</f>
        <v>1</v>
      </c>
      <c r="I89" s="183" t="b">
        <f>ROUND('T1 MET'!G18,$D$89)=ROUND('T1 MET'!G31,$D$89)</f>
        <v>1</v>
      </c>
      <c r="J89" s="183" t="b">
        <f>ROUND('T1 MET'!H18,$D$89)=ROUND('T1 MET'!H31,$D$89)</f>
        <v>1</v>
      </c>
      <c r="K89" s="183" t="b">
        <f>ROUND('T1 MET'!I18,$D$89)=ROUND('T1 MET'!I31,$D$89)</f>
        <v>1</v>
      </c>
      <c r="L89" s="183" t="b">
        <f>ROUND('T1 MET'!J18,$D$89)=ROUND('T1 MET'!J31,$D$89)</f>
        <v>1</v>
      </c>
      <c r="M89" s="183" t="b">
        <f>ROUND('T1 MET'!K18,$D$89)=ROUND('T1 MET'!K31,$D$89)</f>
        <v>1</v>
      </c>
      <c r="N89" s="183" t="b">
        <f>ROUND('T1 MET'!L18,$D$89)=ROUND('T1 MET'!L31,$D$89)</f>
        <v>1</v>
      </c>
      <c r="O89" s="183" t="b">
        <f>ROUND('T1 MET'!M18,$D$89)=ROUND('T1 MET'!M31,$D$89)</f>
        <v>1</v>
      </c>
      <c r="P89" s="183" t="b">
        <f>ROUND('T1 MET'!N18,$D$89)=ROUND('T1 MET'!N31,$D$89)</f>
        <v>0</v>
      </c>
      <c r="Q89" s="183" t="b">
        <f>ROUND('T1 MET'!O18,$D$89)=ROUND('T1 MET'!O31,$D$89)</f>
        <v>1</v>
      </c>
      <c r="R89" s="163"/>
      <c r="S89" s="183" t="b">
        <f>ROUND('T1 MET'!T18,$D$89)=ROUND('T1 MET'!T31,$D$89)</f>
        <v>1</v>
      </c>
      <c r="T89" s="183" t="b">
        <f>ROUND('T1 MET'!U18,$D$89)=ROUND('T1 MET'!U31,$D$89)</f>
        <v>1</v>
      </c>
      <c r="U89" s="163"/>
    </row>
    <row r="90" spans="1:27" s="206" customFormat="1" ht="15" customHeight="1" outlineLevel="1">
      <c r="A90" s="198"/>
      <c r="B90" s="186"/>
      <c r="C90" s="187" t="s">
        <v>24</v>
      </c>
      <c r="D90" s="191"/>
      <c r="E90" s="878">
        <f>ROUND('T1 MET'!C18,$D$89)</f>
        <v>29130</v>
      </c>
      <c r="F90" s="878">
        <f>ROUND('T1 MET'!D18,$D$89)</f>
        <v>28718</v>
      </c>
      <c r="G90" s="878">
        <f>ROUND('T1 MET'!E18,$D$89)</f>
        <v>28213</v>
      </c>
      <c r="H90" s="878">
        <f>ROUND('T1 MET'!F18,$D$89)</f>
        <v>28438</v>
      </c>
      <c r="I90" s="878">
        <f>ROUND('T1 MET'!G18,$D$89)</f>
        <v>27852.3</v>
      </c>
      <c r="J90" s="878">
        <f>ROUND('T1 MET'!H18,$D$89)</f>
        <v>26446</v>
      </c>
      <c r="K90" s="878">
        <f>ROUND('T1 MET'!I18,$D$89)</f>
        <v>27081.343000000001</v>
      </c>
      <c r="L90" s="878">
        <f>ROUND('T1 MET'!J18,$D$89)</f>
        <v>27756.395</v>
      </c>
      <c r="M90" s="878">
        <f>ROUND('T1 MET'!K18,$D$89)</f>
        <v>30937.955000000002</v>
      </c>
      <c r="N90" s="878">
        <f>ROUND('T1 MET'!L18,$D$89)</f>
        <v>30193.923999999999</v>
      </c>
      <c r="O90" s="878">
        <f>ROUND('T1 MET'!M18,$D$89)</f>
        <v>31631.805</v>
      </c>
      <c r="P90" s="878">
        <f>ROUND('T1 MET'!N18,$D$89)</f>
        <v>33079.186999999998</v>
      </c>
      <c r="Q90" s="878">
        <f>ROUND('T1 MET'!O18,$D$89)</f>
        <v>38640.665999999997</v>
      </c>
      <c r="R90" s="163"/>
      <c r="S90" s="878">
        <f>ROUND('T1 MET'!T18,$D$89)</f>
        <v>28865.468000000001</v>
      </c>
      <c r="T90" s="878">
        <f>ROUND('T1 MET'!U18,$D$89)</f>
        <v>29269.24</v>
      </c>
      <c r="U90" s="163"/>
    </row>
    <row r="91" spans="1:27" s="206" customFormat="1" ht="15" customHeight="1" outlineLevel="1">
      <c r="A91" s="198"/>
      <c r="B91" s="186"/>
      <c r="C91" s="187" t="s">
        <v>29</v>
      </c>
      <c r="D91" s="191"/>
      <c r="E91" s="878">
        <f>ROUND('T1 MET'!C31,$D$89)</f>
        <v>29130</v>
      </c>
      <c r="F91" s="878">
        <f>ROUND('T1 MET'!D31,$D$89)</f>
        <v>28718</v>
      </c>
      <c r="G91" s="878">
        <f>ROUND('T1 MET'!E31,$D$89)</f>
        <v>28213</v>
      </c>
      <c r="H91" s="878">
        <f>ROUND('T1 MET'!F31,$D$89)</f>
        <v>28438</v>
      </c>
      <c r="I91" s="878">
        <f>ROUND('T1 MET'!G31,$D$89)</f>
        <v>27852.3</v>
      </c>
      <c r="J91" s="878">
        <f>ROUND('T1 MET'!H31,$D$89)</f>
        <v>26446</v>
      </c>
      <c r="K91" s="878">
        <f>ROUND('T1 MET'!I31,$D$89)</f>
        <v>27081.343000000001</v>
      </c>
      <c r="L91" s="878">
        <f>ROUND('T1 MET'!J31,$D$89)</f>
        <v>27756.395</v>
      </c>
      <c r="M91" s="878">
        <f>ROUND('T1 MET'!K31,$D$89)</f>
        <v>30937.955000000002</v>
      </c>
      <c r="N91" s="878">
        <f>ROUND('T1 MET'!L31,$D$89)</f>
        <v>30193.923999999999</v>
      </c>
      <c r="O91" s="878">
        <f>ROUND('T1 MET'!M31,$D$89)</f>
        <v>31631.805</v>
      </c>
      <c r="P91" s="878">
        <f>ROUND('T1 MET'!N31,$D$89)</f>
        <v>34291.186999999998</v>
      </c>
      <c r="Q91" s="878">
        <f>ROUND('T1 MET'!O31,$D$89)</f>
        <v>38640.665999999997</v>
      </c>
      <c r="R91" s="163"/>
      <c r="S91" s="878">
        <f>ROUND('T1 MET'!T31,$D$89)</f>
        <v>28865.468000000001</v>
      </c>
      <c r="T91" s="878">
        <f>ROUND('T1 MET'!U31,$D$89)</f>
        <v>29269.24</v>
      </c>
      <c r="U91" s="163"/>
    </row>
    <row r="92" spans="1:27" s="184" customFormat="1" ht="15" customHeight="1">
      <c r="A92" s="179" t="s">
        <v>53</v>
      </c>
      <c r="B92" s="879" t="s">
        <v>54</v>
      </c>
      <c r="C92" s="913" t="s">
        <v>55</v>
      </c>
      <c r="D92" s="881">
        <v>3</v>
      </c>
      <c r="M92" s="183" t="b">
        <f>ROUND('T1 MET'!K13,$D$92)&gt;0</f>
        <v>1</v>
      </c>
      <c r="N92" s="183" t="b">
        <f>ROUND('T1 MET'!L13,$D$92)&gt;0</f>
        <v>1</v>
      </c>
      <c r="O92" s="183" t="b">
        <f>ROUND('T1 MET'!M13,$D$92)&gt;0</f>
        <v>1</v>
      </c>
      <c r="P92" s="183" t="b">
        <f>ROUND('T1 MET'!N13,$D$92)&gt;0</f>
        <v>1</v>
      </c>
      <c r="Q92" s="183" t="b">
        <f>ROUND('T1 MET'!O13,$D$92)&gt;0</f>
        <v>1</v>
      </c>
      <c r="R92" s="163"/>
      <c r="S92" s="183" t="b">
        <f>ROUND('T1 MET'!T13,$D$92)&gt;0</f>
        <v>1</v>
      </c>
      <c r="T92" s="183" t="b">
        <f>ROUND('T1 MET'!U13,$D$92)&gt;0</f>
        <v>1</v>
      </c>
    </row>
    <row r="93" spans="1:27" s="190" customFormat="1" ht="15" customHeight="1" outlineLevel="1">
      <c r="A93" s="216"/>
      <c r="B93" s="882"/>
      <c r="C93" s="883" t="s">
        <v>56</v>
      </c>
      <c r="D93" s="884"/>
      <c r="M93" s="914">
        <f>ROUND('T1 MET'!K13,$D$92)</f>
        <v>2896.6089999999999</v>
      </c>
      <c r="N93" s="914">
        <f>ROUND('T1 MET'!L13,$D$92)</f>
        <v>2925.5749999999998</v>
      </c>
      <c r="O93" s="914">
        <f>ROUND('T1 MET'!M13,$D$92)</f>
        <v>2954.8310000000001</v>
      </c>
      <c r="P93" s="914">
        <f>ROUND('T1 MET'!N13,$D$92)</f>
        <v>3417.58</v>
      </c>
      <c r="Q93" s="914">
        <f>ROUND('T1 MET'!O13,$D$92)</f>
        <v>3482.8789999999999</v>
      </c>
      <c r="R93" s="163"/>
      <c r="S93" s="914">
        <f>ROUND('T1 MET'!T13,$D$92)</f>
        <v>2896.6089999999999</v>
      </c>
      <c r="T93" s="914">
        <f>ROUND('T1 MET'!U13,$D$92)</f>
        <v>2693.6010000000001</v>
      </c>
      <c r="U93" s="184"/>
      <c r="V93" s="184"/>
      <c r="W93" s="184"/>
      <c r="X93" s="184"/>
      <c r="Y93" s="184"/>
      <c r="Z93" s="184"/>
      <c r="AA93" s="184"/>
    </row>
    <row r="94" spans="1:27" s="206" customFormat="1" ht="15" customHeight="1">
      <c r="A94" s="179" t="s">
        <v>37</v>
      </c>
      <c r="B94" s="180" t="s">
        <v>38</v>
      </c>
      <c r="C94" s="181" t="s">
        <v>39</v>
      </c>
      <c r="D94" s="182">
        <v>2</v>
      </c>
      <c r="E94" s="190"/>
      <c r="F94" s="183" t="b">
        <f>ROUND('T1 MET'!C65*(1+'T1'!D64),$D$94)=ROUND('T1 MET'!D65,$D$94)</f>
        <v>1</v>
      </c>
      <c r="G94" s="183" t="b">
        <f>ROUND('T1 MET'!D65*(1+'T1'!E64),$D$94)=ROUND('T1 MET'!E65,$D$94)</f>
        <v>1</v>
      </c>
      <c r="H94" s="183" t="b">
        <f>ROUND('T1 MET'!E65*(1+'T1'!F64),$D$94)=ROUND('T1 MET'!F65,$D$94)</f>
        <v>1</v>
      </c>
      <c r="I94" s="183" t="b">
        <f>ROUND('T1 MET'!F65*(1+'T1'!G64),$D$94)=ROUND('T1 MET'!G65,$D$94)</f>
        <v>1</v>
      </c>
      <c r="J94" s="183" t="b">
        <f>ROUND('T1 MET'!G65*(1+'T1'!H64),$D$94)=ROUND('T1 MET'!H65,$D$94)</f>
        <v>1</v>
      </c>
      <c r="K94" s="183" t="b">
        <f>ROUND('T1 MET'!H65*(1+'T1'!I64),$D$94)=ROUND('T1 MET'!I65,$D$94)</f>
        <v>1</v>
      </c>
      <c r="L94" s="183" t="b">
        <f>ROUND('T1 MET'!I65*(1+'T1'!J64),$D$94)=ROUND('T1 MET'!J65,$D$94)</f>
        <v>1</v>
      </c>
      <c r="M94" s="183" t="b">
        <f>ROUND('T1 MET'!J65*(1+'T1'!K64),$D$94)=ROUND('T1 MET'!K65,$D$94)</f>
        <v>0</v>
      </c>
      <c r="N94" s="183" t="b">
        <f>ROUND('T1 MET'!K65*(1+'T1'!L64),$D$94)=ROUND('T1 MET'!L65,$D$94)</f>
        <v>1</v>
      </c>
      <c r="O94" s="183" t="b">
        <f>ROUND('T1 MET'!L65*(1+'T1'!M64),$D$94)=ROUND('T1 MET'!M65,$D$94)</f>
        <v>1</v>
      </c>
      <c r="P94" s="183" t="b">
        <f>ROUND('T1 MET'!M65*(1+'T1'!N64),$D$94)=ROUND('T1 MET'!N65,$D$94)</f>
        <v>1</v>
      </c>
      <c r="Q94" s="183" t="b">
        <f>ROUND('T1 MET'!N65*(1+'T1'!O64),$D$94)=ROUND('T1 MET'!O65,$D$94)</f>
        <v>1</v>
      </c>
      <c r="R94" s="163"/>
      <c r="S94" s="183" t="b">
        <f>ROUND('T1 MET'!S65*(1+'T1'!T64),$D$94)=ROUND('T1 MET'!T65,$D$94)</f>
        <v>0</v>
      </c>
      <c r="T94" s="183" t="b">
        <f>ROUND('T1 MET'!T65*(1+'T1'!U64),$D$94)=ROUND('T1 MET'!U65,$D$94)</f>
        <v>1</v>
      </c>
      <c r="U94" s="163"/>
    </row>
    <row r="95" spans="1:27" s="206" customFormat="1" ht="15" customHeight="1" outlineLevel="1">
      <c r="A95" s="185"/>
      <c r="B95" s="186"/>
      <c r="C95" s="187" t="s">
        <v>40</v>
      </c>
      <c r="D95" s="191"/>
      <c r="E95" s="190"/>
      <c r="F95" s="215">
        <f>ROUND('T1 MET'!C65*(1+'T1'!D64),$D$94)</f>
        <v>95.27</v>
      </c>
      <c r="G95" s="215">
        <f>ROUND('T1 MET'!D65*(1+'T1'!E64),$D$94)</f>
        <v>96.69</v>
      </c>
      <c r="H95" s="215">
        <f>ROUND('T1 MET'!E65*(1+'T1'!F64),$D$94)</f>
        <v>96.69</v>
      </c>
      <c r="I95" s="215">
        <f>ROUND('T1 MET'!F65*(1+'T1'!G64),$D$94)</f>
        <v>97.37</v>
      </c>
      <c r="J95" s="215">
        <f>ROUND('T1 MET'!G65*(1+'T1'!H64),$D$94)</f>
        <v>100</v>
      </c>
      <c r="K95" s="215">
        <f>ROUND('T1 MET'!H65*(1+'T1'!I64),$D$94)</f>
        <v>102.5</v>
      </c>
      <c r="L95" s="215">
        <f>ROUND('T1 MET'!I65*(1+'T1'!J64),$D$94)</f>
        <v>104.35</v>
      </c>
      <c r="M95" s="215">
        <f>ROUND('T1 MET'!J65*(1+'T1'!K64),$D$94)</f>
        <v>106.43</v>
      </c>
      <c r="N95" s="215">
        <f>ROUND('T1 MET'!K65*(1+'T1'!L64),$D$94)</f>
        <v>108.57</v>
      </c>
      <c r="O95" s="215">
        <f>ROUND('T1 MET'!L65*(1+'T1'!M64),$D$94)</f>
        <v>110.74</v>
      </c>
      <c r="P95" s="215">
        <f>ROUND('T1 MET'!M65*(1+'T1'!N64),$D$94)</f>
        <v>115.22</v>
      </c>
      <c r="Q95" s="215">
        <f>ROUND('T1 MET'!N65*(1+'T1'!O64),$D$94)</f>
        <v>116.99</v>
      </c>
      <c r="R95" s="163"/>
      <c r="S95" s="215">
        <f>ROUND('T1 MET'!S65*(1+'T1'!T64),$D$94)</f>
        <v>0</v>
      </c>
      <c r="T95" s="215">
        <f>ROUND('T1 MET'!T65*(1+'T1'!U64),$D$94)</f>
        <v>108.02</v>
      </c>
      <c r="U95" s="163"/>
    </row>
    <row r="96" spans="1:27" s="206" customFormat="1" ht="15" customHeight="1" outlineLevel="1">
      <c r="A96" s="185"/>
      <c r="B96" s="186"/>
      <c r="C96" s="187" t="s">
        <v>41</v>
      </c>
      <c r="D96" s="191"/>
      <c r="E96" s="190"/>
      <c r="F96" s="215">
        <f>ROUND('T1 MET'!D65,$D$94)</f>
        <v>95.27</v>
      </c>
      <c r="G96" s="215">
        <f>ROUND('T1 MET'!E65,$D$94)</f>
        <v>96.69</v>
      </c>
      <c r="H96" s="215">
        <f>ROUND('T1 MET'!F65,$D$94)</f>
        <v>96.69</v>
      </c>
      <c r="I96" s="215">
        <f>ROUND('T1 MET'!G65,$D$94)</f>
        <v>97.37</v>
      </c>
      <c r="J96" s="215">
        <f>ROUND('T1 MET'!H65,$D$94)</f>
        <v>100</v>
      </c>
      <c r="K96" s="215">
        <f>ROUND('T1 MET'!I65,$D$94)</f>
        <v>102.5</v>
      </c>
      <c r="L96" s="215">
        <f>ROUND('T1 MET'!J65,$D$94)</f>
        <v>104.35</v>
      </c>
      <c r="M96" s="215">
        <f>ROUND('T1 MET'!K65,$D$94)</f>
        <v>106.44</v>
      </c>
      <c r="N96" s="215">
        <f>ROUND('T1 MET'!L65,$D$94)</f>
        <v>108.57</v>
      </c>
      <c r="O96" s="215">
        <f>ROUND('T1 MET'!M65,$D$94)</f>
        <v>110.74</v>
      </c>
      <c r="P96" s="215">
        <f>ROUND('T1 MET'!N65,$D$94)</f>
        <v>115.22</v>
      </c>
      <c r="Q96" s="215">
        <f>ROUND('T1 MET'!O65,$D$94)</f>
        <v>116.99</v>
      </c>
      <c r="R96" s="163"/>
      <c r="S96" s="215">
        <f>ROUND('T1 MET'!T65,$D$94)</f>
        <v>105.28</v>
      </c>
      <c r="T96" s="215">
        <f>ROUND('T1 MET'!U65,$D$94)</f>
        <v>108.02</v>
      </c>
      <c r="U96" s="163"/>
    </row>
    <row r="97" spans="1:21" s="206" customFormat="1" ht="15" customHeight="1">
      <c r="A97" s="179" t="s">
        <v>104</v>
      </c>
      <c r="B97" s="180" t="s">
        <v>58</v>
      </c>
      <c r="C97" s="181" t="s">
        <v>105</v>
      </c>
      <c r="D97" s="182">
        <v>3</v>
      </c>
      <c r="E97" s="183" t="b">
        <f>ROUND(((('T1 MET'!C61-'T1 MET'!C15-'T1 MET'!C16)/('T1 MET'!C65/100))+('T1 MET'!C15+'T1 MET'!C16)),$D$97)=ROUND('T1 MET'!C66,$D$97)</f>
        <v>0</v>
      </c>
      <c r="F97" s="183" t="b">
        <f>ROUND(((('T1 MET'!D61-'T1 MET'!D15-'T1 MET'!D16)/('T1 MET'!D65/100))+('T1 MET'!D15+'T1 MET'!D16)),$D$97)=ROUND('T1 MET'!D66,$D$97)</f>
        <v>0</v>
      </c>
      <c r="G97" s="183" t="b">
        <f>ROUND(((('T1 MET'!E61-'T1 MET'!E15-'T1 MET'!E16)/('T1 MET'!E65/100))+('T1 MET'!E15+'T1 MET'!E16)),$D$97)=ROUND('T1 MET'!E66,$D$97)</f>
        <v>0</v>
      </c>
      <c r="H97" s="183" t="b">
        <f>ROUND(((('T1 MET'!F61-'T1 MET'!F15-'T1 MET'!F16)/('T1 MET'!F65/100))+('T1 MET'!F15+'T1 MET'!F16)),$D$97)=ROUND('T1 MET'!F66,$D$97)</f>
        <v>0</v>
      </c>
      <c r="I97" s="183" t="b">
        <f>ROUND(((('T1 MET'!G61-'T1 MET'!G15-'T1 MET'!G16)/('T1 MET'!G65/100))+('T1 MET'!G15+'T1 MET'!G16)),$D$97)=ROUND('T1 MET'!G66,$D$97)</f>
        <v>0</v>
      </c>
      <c r="J97" s="183" t="b">
        <f>ROUND(((('T1 MET'!H61-'T1 MET'!H15-'T1 MET'!H16)/('T1 MET'!H65/100))+('T1 MET'!H15+'T1 MET'!H16)),$D$97)=ROUND('T1 MET'!H66,$D$97)</f>
        <v>1</v>
      </c>
      <c r="K97" s="183" t="b">
        <f>ROUND(((('T1 MET'!I61-'T1 MET'!I15-'T1 MET'!I16)/('T1 MET'!I65/100))+('T1 MET'!I15+'T1 MET'!I16)),$D$97)=ROUND('T1 MET'!I66,$D$97)</f>
        <v>0</v>
      </c>
      <c r="L97" s="183" t="b">
        <f>ROUND(((('T1 MET'!J61-'T1 MET'!J15-'T1 MET'!J16)/('T1 MET'!J65/100))+('T1 MET'!J15+'T1 MET'!J16)),$D$97)=ROUND('T1 MET'!J66,$D$97)</f>
        <v>0</v>
      </c>
      <c r="M97" s="183" t="b">
        <f>ROUND(((('T1 MET'!K61-'T1 MET'!K15-'T1 MET'!K16)/('T1 MET'!K65/100))+('T1 MET'!K15+'T1 MET'!K16)),$D$97)=ROUND('T1 MET'!K66,$D$97)</f>
        <v>0</v>
      </c>
      <c r="N97" s="183" t="b">
        <f>ROUND(((('T1 MET'!L61-'T1 MET'!L15-'T1 MET'!L16)/('T1 MET'!L65/100))+('T1 MET'!L15+'T1 MET'!L16)),$D$97)=ROUND('T1 MET'!L66,$D$97)</f>
        <v>0</v>
      </c>
      <c r="O97" s="183" t="b">
        <f>ROUND(((('T1 MET'!M61-'T1 MET'!M15-'T1 MET'!M16)/('T1 MET'!M65/100))+('T1 MET'!M15+'T1 MET'!M16)),$D$97)=ROUND('T1 MET'!M66,$D$97)</f>
        <v>0</v>
      </c>
      <c r="P97" s="183" t="b">
        <f>ROUND(((('T1 MET'!N61-'T1 MET'!N15-'T1 MET'!N16)/('T1 MET'!N65/100))+('T1 MET'!N15+'T1 MET'!N16)),$D$97)=ROUND('T1 MET'!N66,$D$97)</f>
        <v>0</v>
      </c>
      <c r="Q97" s="183" t="b">
        <f>ROUND(((('T1 MET'!O61-'T1 MET'!O15-'T1 MET'!O16)/('T1 MET'!O65/100))+('T1 MET'!O15+'T1 MET'!O16)),$D$97)=ROUND('T1 MET'!O66,$D$97)</f>
        <v>0</v>
      </c>
      <c r="R97" s="163"/>
      <c r="S97" s="183" t="b">
        <f>ROUND(((('T1 MET'!T61-'T1 MET'!T15-'T1 MET'!T16)/('T1 MET'!T65/100))+('T1 MET'!T15+'T1 MET'!T16)),$D$97)=ROUND('T1 MET'!T66,$D$97)</f>
        <v>0</v>
      </c>
      <c r="T97" s="183" t="b">
        <f>ROUND(((('T1 MET'!U61-'T1 MET'!U15-'T1 MET'!U16)/('T1 MET'!U65/100))+('T1 MET'!U15+'T1 MET'!U16)),$D$97)=ROUND('T1 MET'!U66,$D$97)</f>
        <v>0</v>
      </c>
      <c r="U97" s="163"/>
    </row>
    <row r="98" spans="1:21" s="206" customFormat="1" ht="15" customHeight="1" outlineLevel="1">
      <c r="A98" s="185"/>
      <c r="B98" s="186"/>
      <c r="C98" s="187" t="s">
        <v>60</v>
      </c>
      <c r="D98" s="191"/>
      <c r="E98" s="878">
        <f>ROUND(((('T1 MET'!C61-'T1 MET'!C15-'T1 MET'!C16)/('T1 MET'!C65/100))+('T1 MET'!C15+'T1 MET'!C16)),$D$97)</f>
        <v>31064.861000000001</v>
      </c>
      <c r="F98" s="878">
        <f>ROUND(((('T1 MET'!D61-'T1 MET'!D15-'T1 MET'!D16)/('T1 MET'!D65/100))+('T1 MET'!D15+'T1 MET'!D16)),$D$97)</f>
        <v>29946.53</v>
      </c>
      <c r="G98" s="878">
        <f>ROUND(((('T1 MET'!E61-'T1 MET'!E15-'T1 MET'!E16)/('T1 MET'!E65/100))+('T1 MET'!E15+'T1 MET'!E16)),$D$97)</f>
        <v>29040.817999999999</v>
      </c>
      <c r="H98" s="878">
        <f>ROUND(((('T1 MET'!F61-'T1 MET'!F15-'T1 MET'!F16)/('T1 MET'!F65/100))+('T1 MET'!F15+'T1 MET'!F16)),$D$97)</f>
        <v>29202.124</v>
      </c>
      <c r="I98" s="878">
        <f>ROUND(((('T1 MET'!G61-'T1 MET'!G15-'T1 MET'!G16)/('T1 MET'!G65/100))+('T1 MET'!G15+'T1 MET'!G16)),$D$97)</f>
        <v>28439.936000000002</v>
      </c>
      <c r="J98" s="878">
        <f>ROUND(((('T1 MET'!H61-'T1 MET'!H15-'T1 MET'!H16)/('T1 MET'!H65/100))+('T1 MET'!H15+'T1 MET'!H16)),$D$97)</f>
        <v>26446</v>
      </c>
      <c r="K98" s="878">
        <f>ROUND(((('T1 MET'!I61-'T1 MET'!I15-'T1 MET'!I16)/('T1 MET'!I65/100))+('T1 MET'!I15+'T1 MET'!I16)),$D$97)</f>
        <v>26569.31</v>
      </c>
      <c r="L98" s="878">
        <f>ROUND(((('T1 MET'!J61-'T1 MET'!J15-'T1 MET'!J16)/('T1 MET'!J65/100))+('T1 MET'!J15+'T1 MET'!J16)),$D$97)</f>
        <v>26854.108</v>
      </c>
      <c r="M98" s="878">
        <f>ROUND(((('T1 MET'!K61-'T1 MET'!K15-'T1 MET'!K16)/('T1 MET'!K65/100))+('T1 MET'!K15+'T1 MET'!K16)),$D$97)</f>
        <v>29427.536</v>
      </c>
      <c r="N98" s="878">
        <f>ROUND(((('T1 MET'!L61-'T1 MET'!L15-'T1 MET'!L16)/('T1 MET'!L65/100))+('T1 MET'!L15+'T1 MET'!L16)),$D$97)</f>
        <v>28282.589</v>
      </c>
      <c r="O98" s="878">
        <f>ROUND(((('T1 MET'!M61-'T1 MET'!M15-'T1 MET'!M16)/('T1 MET'!M65/100))+('T1 MET'!M15+'T1 MET'!M16)),$D$97)</f>
        <v>29252.034</v>
      </c>
      <c r="P98" s="878">
        <f>ROUND(((('T1 MET'!N61-'T1 MET'!N15-'T1 MET'!N16)/('T1 MET'!N65/100))+('T1 MET'!N15+'T1 MET'!N16)),$D$97)</f>
        <v>29622.792000000001</v>
      </c>
      <c r="Q98" s="878">
        <f>ROUND(((('T1 MET'!O61-'T1 MET'!O15-'T1 MET'!O16)/('T1 MET'!O65/100))+('T1 MET'!O15+'T1 MET'!O16)),$D$97)</f>
        <v>34489.031999999999</v>
      </c>
      <c r="R98" s="163"/>
      <c r="S98" s="878">
        <f>ROUND(((('T1 MET'!T61-'T1 MET'!T15-'T1 MET'!T16)/('T1 MET'!T65/100))+('T1 MET'!T15+'T1 MET'!T16)),$D$97)</f>
        <v>27717.116000000002</v>
      </c>
      <c r="T98" s="878">
        <f>ROUND(((('T1 MET'!U61-'T1 MET'!U15-'T1 MET'!U16)/('T1 MET'!U65/100))+('T1 MET'!U15+'T1 MET'!U16)),$D$97)</f>
        <v>27473.771000000001</v>
      </c>
      <c r="U98" s="163"/>
    </row>
    <row r="99" spans="1:21" s="206" customFormat="1" ht="15" customHeight="1" outlineLevel="1">
      <c r="A99" s="185"/>
      <c r="B99" s="186"/>
      <c r="C99" s="187" t="s">
        <v>61</v>
      </c>
      <c r="D99" s="191"/>
      <c r="E99" s="878">
        <f>ROUND('T1 MET'!C66,$D$97)</f>
        <v>31372.838</v>
      </c>
      <c r="F99" s="878">
        <f>ROUND('T1 MET'!D66,$D$97)</f>
        <v>30145.337</v>
      </c>
      <c r="G99" s="878">
        <f>ROUND('T1 MET'!E66,$D$97)</f>
        <v>29177.574000000001</v>
      </c>
      <c r="H99" s="878">
        <f>ROUND('T1 MET'!F66,$D$97)</f>
        <v>29410.267</v>
      </c>
      <c r="I99" s="878">
        <f>ROUND('T1 MET'!G66,$D$97)</f>
        <v>28604.312000000002</v>
      </c>
      <c r="J99" s="878">
        <f>ROUND('T1 MET'!H66,$D$97)</f>
        <v>26446</v>
      </c>
      <c r="K99" s="878">
        <f>ROUND('T1 MET'!I66,$D$97)</f>
        <v>26420.822</v>
      </c>
      <c r="L99" s="878">
        <f>ROUND('T1 MET'!J66,$D$97)</f>
        <v>26600.598999999998</v>
      </c>
      <c r="M99" s="878">
        <f>ROUND('T1 MET'!K66,$D$97)</f>
        <v>29065.266</v>
      </c>
      <c r="N99" s="878">
        <f>ROUND('T1 MET'!L66,$D$97)</f>
        <v>27810.07</v>
      </c>
      <c r="O99" s="878">
        <f>ROUND('T1 MET'!M66,$D$97)</f>
        <v>28563.165000000001</v>
      </c>
      <c r="P99" s="878">
        <f>ROUND('T1 MET'!N66,$D$97)</f>
        <v>28709.703000000001</v>
      </c>
      <c r="Q99" s="878">
        <f>ROUND('T1 MET'!O66,$D$97)</f>
        <v>33029.523999999998</v>
      </c>
      <c r="R99" s="163"/>
      <c r="S99" s="878">
        <f>ROUND('T1 MET'!T66,$D$97)</f>
        <v>27416.739000000001</v>
      </c>
      <c r="T99" s="878">
        <f>ROUND('T1 MET'!U66,$D$97)</f>
        <v>27095.756000000001</v>
      </c>
      <c r="U99" s="163"/>
    </row>
    <row r="100" spans="1:21" s="206" customFormat="1" ht="15" customHeight="1">
      <c r="A100" s="179" t="s">
        <v>62</v>
      </c>
      <c r="B100" s="180" t="s">
        <v>63</v>
      </c>
      <c r="C100" s="181" t="s">
        <v>64</v>
      </c>
      <c r="D100" s="191"/>
      <c r="E100" s="183" t="b">
        <f>'T1 MET'!C68='T1'!C68</f>
        <v>1</v>
      </c>
      <c r="F100" s="183" t="b">
        <f>'T1 MET'!D68='T1'!D68</f>
        <v>1</v>
      </c>
      <c r="G100" s="183" t="b">
        <f>'T1 MET'!E68='T1'!E68</f>
        <v>1</v>
      </c>
      <c r="H100" s="183" t="b">
        <f>'T1 MET'!F68='T1'!F68</f>
        <v>1</v>
      </c>
      <c r="I100" s="183" t="b">
        <f>'T1 MET'!G68='T1'!G68</f>
        <v>1</v>
      </c>
      <c r="J100" s="183" t="b">
        <f>'T1 MET'!H68='T1'!H68</f>
        <v>1</v>
      </c>
      <c r="K100" s="183" t="b">
        <f>'T1 MET'!I68='T1'!I68</f>
        <v>1</v>
      </c>
      <c r="L100" s="183" t="b">
        <f>'T1 MET'!J68='T1'!J68</f>
        <v>1</v>
      </c>
      <c r="M100" s="183" t="b">
        <f>'T1 MET'!K68='T1'!K68</f>
        <v>1</v>
      </c>
      <c r="N100" s="183" t="b">
        <f>'T1 MET'!L68='T1'!L68</f>
        <v>1</v>
      </c>
      <c r="O100" s="183" t="b">
        <f>'T1 MET'!M68='T1'!M68</f>
        <v>1</v>
      </c>
      <c r="P100" s="183" t="b">
        <f>'T1 MET'!N68='T1'!N68</f>
        <v>1</v>
      </c>
      <c r="Q100" s="183" t="b">
        <f>'T1 MET'!O68='T1'!O68</f>
        <v>1</v>
      </c>
      <c r="R100" s="163"/>
      <c r="S100" s="183" t="b">
        <f>'T1 MET'!T68='T1'!T68</f>
        <v>1</v>
      </c>
      <c r="T100" s="183" t="b">
        <f>'T1 MET'!U68='T1'!U68</f>
        <v>1</v>
      </c>
      <c r="U100" s="163"/>
    </row>
    <row r="101" spans="1:21" s="206" customFormat="1" ht="15" customHeight="1" outlineLevel="1">
      <c r="A101" s="185"/>
      <c r="B101" s="186"/>
      <c r="C101" s="187" t="s">
        <v>106</v>
      </c>
      <c r="D101" s="191"/>
      <c r="E101" s="878">
        <f>'T1 MET'!C68</f>
        <v>9607.8779999999988</v>
      </c>
      <c r="F101" s="878">
        <f>'T1 MET'!D68</f>
        <v>9754.9330000000009</v>
      </c>
      <c r="G101" s="878">
        <f>'T1 MET'!E68</f>
        <v>9979.4030000000002</v>
      </c>
      <c r="H101" s="878">
        <f>'T1 MET'!F68</f>
        <v>10153.9</v>
      </c>
      <c r="I101" s="878">
        <f>'T1 MET'!G68</f>
        <v>10874.798000000001</v>
      </c>
      <c r="J101" s="878">
        <f>'T1 MET'!H68</f>
        <v>11767.620999999999</v>
      </c>
      <c r="K101" s="878">
        <f>'T1 MET'!I68</f>
        <v>12194.153</v>
      </c>
      <c r="L101" s="878">
        <f>'T1 MET'!J68</f>
        <v>12593.8988214</v>
      </c>
      <c r="M101" s="878">
        <f>'T1 MET'!K68</f>
        <v>12647.945</v>
      </c>
      <c r="N101" s="878">
        <f>'T1 MET'!L68</f>
        <v>12891</v>
      </c>
      <c r="O101" s="878">
        <f>'T1 MET'!M68</f>
        <v>13183</v>
      </c>
      <c r="P101" s="878">
        <f>'T1 MET'!N68</f>
        <v>11715</v>
      </c>
      <c r="Q101" s="878">
        <f>'T1 MET'!O68</f>
        <v>12228</v>
      </c>
      <c r="R101" s="163"/>
      <c r="S101" s="878">
        <f>'T1 MET'!T68</f>
        <v>5099.1790000000001</v>
      </c>
      <c r="T101" s="878">
        <f>'T1 MET'!U68</f>
        <v>5395.3419999999996</v>
      </c>
      <c r="U101" s="163"/>
    </row>
    <row r="102" spans="1:21" s="206" customFormat="1" ht="15" customHeight="1" outlineLevel="1">
      <c r="A102" s="185"/>
      <c r="B102" s="186"/>
      <c r="C102" s="187" t="s">
        <v>66</v>
      </c>
      <c r="D102" s="191"/>
      <c r="E102" s="878">
        <f>'T1'!C68</f>
        <v>9607.8779999999988</v>
      </c>
      <c r="F102" s="878">
        <f>'T1'!D68</f>
        <v>9754.9330000000009</v>
      </c>
      <c r="G102" s="878">
        <f>'T1'!E68</f>
        <v>9979.4030000000002</v>
      </c>
      <c r="H102" s="878">
        <f>'T1'!F68</f>
        <v>10153.9</v>
      </c>
      <c r="I102" s="878">
        <f>'T1'!G68</f>
        <v>10874.798000000001</v>
      </c>
      <c r="J102" s="878">
        <f>'T1'!H68</f>
        <v>11767.620999999999</v>
      </c>
      <c r="K102" s="878">
        <f>'T1'!I68</f>
        <v>12194.153</v>
      </c>
      <c r="L102" s="878">
        <f>'T1'!J68</f>
        <v>12593.8988214</v>
      </c>
      <c r="M102" s="878">
        <f>'T1'!K68</f>
        <v>12647.945</v>
      </c>
      <c r="N102" s="878">
        <f>'T1'!L68</f>
        <v>12891</v>
      </c>
      <c r="O102" s="878">
        <f>'T1'!M68</f>
        <v>13183</v>
      </c>
      <c r="P102" s="878">
        <f>'T1'!N68</f>
        <v>11715</v>
      </c>
      <c r="Q102" s="878">
        <f>'T1'!O68</f>
        <v>12228</v>
      </c>
      <c r="R102" s="163"/>
      <c r="S102" s="878">
        <f>'T1'!T68</f>
        <v>5099.1790000000001</v>
      </c>
      <c r="T102" s="878">
        <f>'T1'!U68</f>
        <v>5395.3419999999996</v>
      </c>
    </row>
    <row r="103" spans="1:21" s="206" customFormat="1" ht="15" customHeight="1">
      <c r="A103" s="179" t="s">
        <v>42</v>
      </c>
      <c r="B103" s="180" t="s">
        <v>43</v>
      </c>
      <c r="C103" s="181" t="s">
        <v>44</v>
      </c>
      <c r="D103" s="182">
        <v>2</v>
      </c>
      <c r="E103" s="183" t="b">
        <f>ROUND(('T1 MET'!C66/'T1 MET'!C68),$D$103)=ROUND('T1 MET'!C70,$D$103)</f>
        <v>1</v>
      </c>
      <c r="F103" s="183" t="b">
        <f>ROUND(('T1 MET'!D66/'T1 MET'!D68),$D$103)=ROUND('T1 MET'!D70,$D$103)</f>
        <v>1</v>
      </c>
      <c r="G103" s="183" t="b">
        <f>ROUND(('T1 MET'!E66/'T1 MET'!E68),$D$103)=ROUND('T1 MET'!E70,$D$103)</f>
        <v>1</v>
      </c>
      <c r="H103" s="183" t="b">
        <f>ROUND(('T1 MET'!F66/'T1 MET'!F68),$D$103)=ROUND('T1 MET'!F70,$D$103)</f>
        <v>1</v>
      </c>
      <c r="I103" s="183" t="b">
        <f>ROUND(('T1 MET'!G66/'T1 MET'!G68),$D$103)=ROUND('T1 MET'!G70,$D$103)</f>
        <v>1</v>
      </c>
      <c r="J103" s="183" t="b">
        <f>ROUND(('T1 MET'!H66/'T1 MET'!H68),$D$103)=ROUND('T1 MET'!H70,$D$103)</f>
        <v>1</v>
      </c>
      <c r="K103" s="183" t="b">
        <f>ROUND(('T1 MET'!I66/'T1 MET'!I68),$D$103)=ROUND('T1 MET'!I70,$D$103)</f>
        <v>1</v>
      </c>
      <c r="L103" s="183" t="b">
        <f>ROUND(('T1 MET'!J66/'T1 MET'!J68),$D$103)=ROUND('T1 MET'!J70,$D$103)</f>
        <v>1</v>
      </c>
      <c r="M103" s="183" t="b">
        <f>ROUND(('T1 MET'!K66/'T1 MET'!K68),$D$103)=ROUND('T1 MET'!K70,$D$103)</f>
        <v>1</v>
      </c>
      <c r="N103" s="183" t="b">
        <f>ROUND(('T1 MET'!L66/'T1 MET'!L68),$D$103)=ROUND('T1 MET'!L70,$D$103)</f>
        <v>1</v>
      </c>
      <c r="O103" s="183" t="b">
        <f>ROUND(('T1 MET'!M66/'T1 MET'!M68),$D$103)=ROUND('T1 MET'!M70,$D$103)</f>
        <v>1</v>
      </c>
      <c r="P103" s="183" t="b">
        <f>ROUND(('T1 MET'!N66/'T1 MET'!N68),$D$103)=ROUND('T1 MET'!N70,$D$103)</f>
        <v>1</v>
      </c>
      <c r="Q103" s="183" t="b">
        <f>ROUND(('T1 MET'!O66/'T1 MET'!O68),$D$103)=ROUND('T1 MET'!O70,$D$103)</f>
        <v>1</v>
      </c>
      <c r="R103" s="163"/>
      <c r="S103" s="183" t="b">
        <f>ROUND(('T1 MET'!T66/'T1 MET'!T68),$D$103)=ROUND('T1 MET'!T70,$D$103)</f>
        <v>1</v>
      </c>
      <c r="T103" s="183" t="b">
        <f>ROUND(('T1 MET'!U66/'T1 MET'!U68),$D$103)=ROUND('T1 MET'!U70,$D$103)</f>
        <v>1</v>
      </c>
    </row>
    <row r="104" spans="1:21" s="206" customFormat="1" ht="15" customHeight="1" outlineLevel="1">
      <c r="A104" s="185"/>
      <c r="B104" s="186"/>
      <c r="C104" s="187" t="s">
        <v>45</v>
      </c>
      <c r="D104" s="191"/>
      <c r="E104" s="215">
        <f>ROUND(('T1 MET'!C66/'T1 MET'!C68),$D$103)</f>
        <v>3.27</v>
      </c>
      <c r="F104" s="215">
        <f>ROUND(('T1 MET'!D66/'T1 MET'!D68),$D$103)</f>
        <v>3.09</v>
      </c>
      <c r="G104" s="215">
        <f>ROUND(('T1 MET'!E66/'T1 MET'!E68),$D$103)</f>
        <v>2.92</v>
      </c>
      <c r="H104" s="215">
        <f>ROUND(('T1 MET'!F66/'T1 MET'!F68),$D$103)</f>
        <v>2.9</v>
      </c>
      <c r="I104" s="215">
        <f>ROUND(('T1 MET'!G66/'T1 MET'!G68),$D$103)</f>
        <v>2.63</v>
      </c>
      <c r="J104" s="215">
        <f>ROUND(('T1 MET'!H66/'T1 MET'!H68),$D$103)</f>
        <v>2.25</v>
      </c>
      <c r="K104" s="215">
        <f>ROUND(('T1 MET'!I66/'T1 MET'!I68),$D$103)</f>
        <v>2.17</v>
      </c>
      <c r="L104" s="215">
        <f>ROUND(('T1 MET'!J66/'T1 MET'!J68),$D$103)</f>
        <v>2.11</v>
      </c>
      <c r="M104" s="215">
        <f>ROUND(('T1 MET'!K66/'T1 MET'!K68),$D$103)</f>
        <v>2.2999999999999998</v>
      </c>
      <c r="N104" s="215">
        <f>ROUND(('T1 MET'!L66/'T1 MET'!L68),$D$103)</f>
        <v>2.16</v>
      </c>
      <c r="O104" s="215">
        <f>ROUND(('T1 MET'!M66/'T1 MET'!M68),$D$103)</f>
        <v>2.17</v>
      </c>
      <c r="P104" s="215">
        <f>ROUND(('T1 MET'!N66/'T1 MET'!N68),$D$103)</f>
        <v>2.4500000000000002</v>
      </c>
      <c r="Q104" s="215">
        <f>ROUND(('T1 MET'!O66/'T1 MET'!O68),$D$103)</f>
        <v>2.7</v>
      </c>
      <c r="R104" s="163"/>
      <c r="S104" s="215">
        <f>ROUND(('T1 MET'!T66/'T1 MET'!T68),$D$103)</f>
        <v>5.38</v>
      </c>
      <c r="T104" s="215">
        <f>ROUND(('T1 MET'!U66/'T1 MET'!U68),$D$103)</f>
        <v>5.0199999999999996</v>
      </c>
    </row>
    <row r="105" spans="1:21" s="206" customFormat="1" ht="15" customHeight="1" outlineLevel="1">
      <c r="A105" s="185"/>
      <c r="B105" s="186"/>
      <c r="C105" s="187" t="s">
        <v>46</v>
      </c>
      <c r="D105" s="191"/>
      <c r="E105" s="215">
        <f>ROUND('T1 MET'!C70,$D$103)</f>
        <v>3.27</v>
      </c>
      <c r="F105" s="215">
        <f>ROUND('T1 MET'!D70,$D$103)</f>
        <v>3.09</v>
      </c>
      <c r="G105" s="215">
        <f>ROUND('T1 MET'!E70,$D$103)</f>
        <v>2.92</v>
      </c>
      <c r="H105" s="215">
        <f>ROUND('T1 MET'!F70,$D$103)</f>
        <v>2.9</v>
      </c>
      <c r="I105" s="215">
        <f>ROUND('T1 MET'!G70,$D$103)</f>
        <v>2.63</v>
      </c>
      <c r="J105" s="215">
        <f>ROUND('T1 MET'!H70,$D$103)</f>
        <v>2.25</v>
      </c>
      <c r="K105" s="215">
        <f>ROUND('T1 MET'!I70,$D$103)</f>
        <v>2.17</v>
      </c>
      <c r="L105" s="215">
        <f>ROUND('T1 MET'!J70,$D$103)</f>
        <v>2.11</v>
      </c>
      <c r="M105" s="215">
        <f>ROUND('T1 MET'!K70,$D$103)</f>
        <v>2.2999999999999998</v>
      </c>
      <c r="N105" s="215">
        <f>ROUND('T1 MET'!L70,$D$103)</f>
        <v>2.16</v>
      </c>
      <c r="O105" s="215">
        <f>ROUND('T1 MET'!M70,$D$103)</f>
        <v>2.17</v>
      </c>
      <c r="P105" s="215">
        <f>ROUND('T1 MET'!N70,$D$103)</f>
        <v>2.4500000000000002</v>
      </c>
      <c r="Q105" s="215">
        <f>ROUND('T1 MET'!O70,$D$103)</f>
        <v>2.7</v>
      </c>
      <c r="R105" s="163"/>
      <c r="S105" s="215">
        <f>ROUND('T1 MET'!T70,$D$103)</f>
        <v>5.38</v>
      </c>
      <c r="T105" s="215">
        <f>ROUND('T1 MET'!U70,$D$103)</f>
        <v>5.0199999999999996</v>
      </c>
    </row>
    <row r="106" spans="1:21" s="206" customFormat="1" ht="15" customHeight="1">
      <c r="A106" s="197" t="s">
        <v>67</v>
      </c>
      <c r="B106" s="180" t="s">
        <v>34</v>
      </c>
      <c r="C106" s="181" t="s">
        <v>68</v>
      </c>
      <c r="D106" s="191"/>
      <c r="E106" s="183" t="b">
        <f>'T1 MET'!C64='T1'!C64</f>
        <v>1</v>
      </c>
      <c r="F106" s="183" t="b">
        <f>'T1 MET'!D64='T1'!D64</f>
        <v>1</v>
      </c>
      <c r="G106" s="183" t="b">
        <f>'T1 MET'!E64='T1'!E64</f>
        <v>1</v>
      </c>
      <c r="H106" s="183" t="b">
        <f>'T1 MET'!F64='T1'!F64</f>
        <v>1</v>
      </c>
      <c r="I106" s="183" t="b">
        <f>'T1 MET'!G64='T1'!G64</f>
        <v>1</v>
      </c>
      <c r="J106" s="183" t="b">
        <f>'T1 MET'!H64='T1'!H64</f>
        <v>1</v>
      </c>
      <c r="K106" s="183" t="b">
        <f>'T1 MET'!I64='T1'!I64</f>
        <v>1</v>
      </c>
      <c r="L106" s="183" t="b">
        <f>'T1 MET'!J64='T1'!J64</f>
        <v>1</v>
      </c>
      <c r="M106" s="183" t="b">
        <f>'T1 MET'!K64='T1'!K64</f>
        <v>1</v>
      </c>
      <c r="N106" s="183" t="b">
        <f>'T1 MET'!L64='T1'!L64</f>
        <v>1</v>
      </c>
      <c r="O106" s="183" t="b">
        <f>'T1 MET'!M64='T1'!M64</f>
        <v>1</v>
      </c>
      <c r="P106" s="183" t="b">
        <f>'T1 MET'!N64='T1'!N64</f>
        <v>1</v>
      </c>
      <c r="Q106" s="183" t="b">
        <f>'T1 MET'!O64='T1'!O64</f>
        <v>1</v>
      </c>
      <c r="R106" s="163"/>
      <c r="S106" s="183" t="b">
        <f>'T1 MET'!T64='T1'!T64</f>
        <v>1</v>
      </c>
      <c r="T106" s="183" t="b">
        <f>'T1 MET'!U64='T1'!U64</f>
        <v>1</v>
      </c>
    </row>
    <row r="107" spans="1:21" s="206" customFormat="1" ht="15" customHeight="1" outlineLevel="1">
      <c r="A107" s="198"/>
      <c r="B107" s="186"/>
      <c r="C107" s="187" t="s">
        <v>69</v>
      </c>
      <c r="D107" s="191"/>
      <c r="E107" s="199">
        <f>'T1 MET'!C64</f>
        <v>2.8000000000000001E-2</v>
      </c>
      <c r="F107" s="199">
        <f>'T1 MET'!D64</f>
        <v>2.5999999999999999E-2</v>
      </c>
      <c r="G107" s="199">
        <f>'T1 MET'!E64</f>
        <v>1.4999999999999999E-2</v>
      </c>
      <c r="H107" s="199">
        <f>'T1 MET'!F64</f>
        <v>0</v>
      </c>
      <c r="I107" s="199">
        <f>'T1 MET'!G64</f>
        <v>7.0000000000000001E-3</v>
      </c>
      <c r="J107" s="199">
        <f>'T1 MET'!H64</f>
        <v>2.7E-2</v>
      </c>
      <c r="K107" s="199">
        <f>'T1 MET'!I64</f>
        <v>2.5000000000000001E-2</v>
      </c>
      <c r="L107" s="199">
        <f>'T1 MET'!J64</f>
        <v>1.7999999999999999E-2</v>
      </c>
      <c r="M107" s="199">
        <f>'T1 MET'!K64</f>
        <v>2.0000000000000132E-2</v>
      </c>
      <c r="N107" s="199">
        <f>'T1 MET'!L64</f>
        <v>1.9999999999999799E-2</v>
      </c>
      <c r="O107" s="199">
        <f>'T1 MET'!M64</f>
        <v>2.0000000000000205E-2</v>
      </c>
      <c r="P107" s="199">
        <f>'T1 MET'!N64</f>
        <v>4.0419530703928341E-2</v>
      </c>
      <c r="Q107" s="199">
        <f>'T1 MET'!O64</f>
        <v>1.5350874280278148E-2</v>
      </c>
      <c r="R107" s="163"/>
      <c r="S107" s="199">
        <f>'T1 MET'!T64</f>
        <v>8.9999999999999993E-3</v>
      </c>
      <c r="T107" s="199">
        <f>'T1 MET'!U64</f>
        <v>2.5999999999999999E-2</v>
      </c>
    </row>
    <row r="108" spans="1:21" s="206" customFormat="1" ht="15" customHeight="1" outlineLevel="1">
      <c r="A108" s="198"/>
      <c r="B108" s="186"/>
      <c r="C108" s="187" t="s">
        <v>70</v>
      </c>
      <c r="D108" s="191"/>
      <c r="E108" s="199">
        <f>'T1'!C64</f>
        <v>2.8000000000000001E-2</v>
      </c>
      <c r="F108" s="199">
        <f>'T1'!D64</f>
        <v>2.5999999999999999E-2</v>
      </c>
      <c r="G108" s="199">
        <f>'T1'!E64</f>
        <v>1.4999999999999999E-2</v>
      </c>
      <c r="H108" s="199">
        <f>'T1'!F64</f>
        <v>0</v>
      </c>
      <c r="I108" s="199">
        <f>'T1'!G64</f>
        <v>7.0000000000000001E-3</v>
      </c>
      <c r="J108" s="199">
        <f>'T1'!H64</f>
        <v>2.7E-2</v>
      </c>
      <c r="K108" s="199">
        <f>'T1'!I64</f>
        <v>2.5000000000000001E-2</v>
      </c>
      <c r="L108" s="199">
        <f>'T1'!J64</f>
        <v>1.7999999999999999E-2</v>
      </c>
      <c r="M108" s="199">
        <f>'T1'!K64</f>
        <v>2.0000000000000132E-2</v>
      </c>
      <c r="N108" s="199">
        <f>'T1'!L64</f>
        <v>1.9999999999999799E-2</v>
      </c>
      <c r="O108" s="199">
        <f>'T1'!M64</f>
        <v>2.0000000000000205E-2</v>
      </c>
      <c r="P108" s="199">
        <f>'T1'!N64</f>
        <v>4.0419530703928341E-2</v>
      </c>
      <c r="Q108" s="199">
        <f>'T1'!O64</f>
        <v>1.5350874280278148E-2</v>
      </c>
      <c r="R108" s="163"/>
      <c r="S108" s="199">
        <f>'T1'!T64</f>
        <v>8.9999999999999993E-3</v>
      </c>
      <c r="T108" s="199">
        <f>'T1'!U64</f>
        <v>2.5999999999999999E-2</v>
      </c>
    </row>
    <row r="109" spans="1:21" s="206" customFormat="1" ht="15" customHeight="1">
      <c r="A109" s="197" t="s">
        <v>71</v>
      </c>
      <c r="B109" s="180" t="s">
        <v>38</v>
      </c>
      <c r="C109" s="181" t="s">
        <v>72</v>
      </c>
      <c r="D109" s="191"/>
      <c r="E109" s="183" t="b">
        <f>'T1 MET'!C65='T1'!C65</f>
        <v>1</v>
      </c>
      <c r="F109" s="183" t="b">
        <f>'T1 MET'!D65='T1'!D65</f>
        <v>1</v>
      </c>
      <c r="G109" s="183" t="b">
        <f>'T1 MET'!E65='T1'!E65</f>
        <v>1</v>
      </c>
      <c r="H109" s="183" t="b">
        <f>'T1 MET'!F65='T1'!F65</f>
        <v>1</v>
      </c>
      <c r="I109" s="183" t="b">
        <f>'T1 MET'!G65='T1'!G65</f>
        <v>1</v>
      </c>
      <c r="J109" s="183" t="b">
        <f>'T1 MET'!H65='T1'!H65</f>
        <v>1</v>
      </c>
      <c r="K109" s="183" t="b">
        <f>'T1 MET'!I65='T1'!I65</f>
        <v>1</v>
      </c>
      <c r="L109" s="183" t="b">
        <f>'T1 MET'!J65='T1'!J65</f>
        <v>1</v>
      </c>
      <c r="M109" s="183" t="b">
        <f>'T1 MET'!K65='T1'!K65</f>
        <v>1</v>
      </c>
      <c r="N109" s="183" t="b">
        <f>'T1 MET'!L65='T1'!L65</f>
        <v>1</v>
      </c>
      <c r="O109" s="183" t="b">
        <f>'T1 MET'!M65='T1'!M65</f>
        <v>1</v>
      </c>
      <c r="P109" s="183" t="b">
        <f>'T1 MET'!N65='T1'!N65</f>
        <v>1</v>
      </c>
      <c r="Q109" s="183" t="b">
        <f>'T1 MET'!O65='T1'!O65</f>
        <v>1</v>
      </c>
      <c r="R109" s="163"/>
      <c r="S109" s="183" t="b">
        <f>'T1 MET'!T65='T1'!T65</f>
        <v>1</v>
      </c>
      <c r="T109" s="183" t="b">
        <f>'T1 MET'!U65='T1'!U65</f>
        <v>1</v>
      </c>
    </row>
    <row r="110" spans="1:21" s="206" customFormat="1" ht="15" customHeight="1" outlineLevel="1">
      <c r="A110" s="200"/>
      <c r="B110" s="186"/>
      <c r="C110" s="187" t="s">
        <v>73</v>
      </c>
      <c r="D110" s="191"/>
      <c r="E110" s="215">
        <f>'T1 MET'!C65</f>
        <v>92.851020823042745</v>
      </c>
      <c r="F110" s="215">
        <f>'T1 MET'!D65</f>
        <v>95.265147364441859</v>
      </c>
      <c r="G110" s="215">
        <f>'T1 MET'!E65</f>
        <v>96.694124574908471</v>
      </c>
      <c r="H110" s="215">
        <f>'T1 MET'!F65</f>
        <v>96.694124574908471</v>
      </c>
      <c r="I110" s="215">
        <f>'T1 MET'!G65</f>
        <v>97.370983446932826</v>
      </c>
      <c r="J110" s="215">
        <f>'T1 MET'!H65</f>
        <v>100</v>
      </c>
      <c r="K110" s="215">
        <f>'T1 MET'!I65</f>
        <v>102.49999999999999</v>
      </c>
      <c r="L110" s="215">
        <f>'T1 MET'!J65</f>
        <v>104.34499999999998</v>
      </c>
      <c r="M110" s="215">
        <f>'T1 MET'!K65</f>
        <v>106.44304700754894</v>
      </c>
      <c r="N110" s="215">
        <f>'T1 MET'!L65</f>
        <v>108.5719079476999</v>
      </c>
      <c r="O110" s="215">
        <f>'T1 MET'!M65</f>
        <v>110.74334610665392</v>
      </c>
      <c r="P110" s="215">
        <f>'T1 MET'!N65</f>
        <v>115.21954018486758</v>
      </c>
      <c r="Q110" s="215">
        <f>'T1 MET'!O65</f>
        <v>116.98826086087693</v>
      </c>
      <c r="R110" s="163"/>
      <c r="S110" s="215">
        <f>'T1 MET'!T65</f>
        <v>105.28410499999997</v>
      </c>
      <c r="T110" s="215">
        <f>'T1 MET'!U65</f>
        <v>108.02149172999997</v>
      </c>
    </row>
    <row r="111" spans="1:21" s="206" customFormat="1" ht="15" customHeight="1" outlineLevel="1">
      <c r="A111" s="200"/>
      <c r="B111" s="186"/>
      <c r="C111" s="187" t="s">
        <v>74</v>
      </c>
      <c r="D111" s="191"/>
      <c r="E111" s="215">
        <f>'T1'!C65</f>
        <v>92.851020823042745</v>
      </c>
      <c r="F111" s="215">
        <f>'T1'!D65</f>
        <v>95.265147364441859</v>
      </c>
      <c r="G111" s="215">
        <f>'T1'!E65</f>
        <v>96.694124574908471</v>
      </c>
      <c r="H111" s="215">
        <f>'T1'!F65</f>
        <v>96.694124574908471</v>
      </c>
      <c r="I111" s="215">
        <f>'T1'!G65</f>
        <v>97.370983446932826</v>
      </c>
      <c r="J111" s="215">
        <f>'T1'!H65</f>
        <v>100</v>
      </c>
      <c r="K111" s="215">
        <f>'T1'!I65</f>
        <v>102.49999999999999</v>
      </c>
      <c r="L111" s="215">
        <f>'T1'!J65</f>
        <v>104.34499999999998</v>
      </c>
      <c r="M111" s="215">
        <f>'T1'!K65</f>
        <v>106.44304700754894</v>
      </c>
      <c r="N111" s="215">
        <f>'T1'!L65</f>
        <v>108.5719079476999</v>
      </c>
      <c r="O111" s="215">
        <f>'T1'!M65</f>
        <v>110.74334610665392</v>
      </c>
      <c r="P111" s="215">
        <f>'T1'!N65</f>
        <v>115.21954018486758</v>
      </c>
      <c r="Q111" s="215">
        <f>'T1'!O65</f>
        <v>116.98826086087693</v>
      </c>
      <c r="R111" s="163"/>
      <c r="S111" s="215">
        <f>'T1'!T65</f>
        <v>105.28410499999997</v>
      </c>
      <c r="T111" s="215">
        <f>'T1'!U65</f>
        <v>108.02149172999997</v>
      </c>
    </row>
    <row r="112" spans="1:21" s="206" customFormat="1" ht="15" customHeight="1">
      <c r="A112" s="179" t="s">
        <v>75</v>
      </c>
      <c r="B112" s="180" t="s">
        <v>76</v>
      </c>
      <c r="C112" s="201" t="s">
        <v>77</v>
      </c>
      <c r="D112" s="182">
        <v>3</v>
      </c>
      <c r="E112" s="183" t="str">
        <f>IF('T1 MET'!C16&gt;0,(ROUND('T1 MET'!C41,$D$112)=ROUND('T1 MET'!C16/'T1 MET'!C39,$D$112)),"N/A")</f>
        <v>N/A</v>
      </c>
      <c r="F112" s="183" t="str">
        <f>IF('T1 MET'!D16&gt;0,(ROUND('T1 MET'!D41,$D$112)=ROUND('T1 MET'!D16/'T1 MET'!D39,$D$112)),"N/A")</f>
        <v>N/A</v>
      </c>
      <c r="G112" s="183" t="str">
        <f>IF('T1 MET'!E16&gt;0,(ROUND('T1 MET'!E41,$D$112)=ROUND('T1 MET'!E16/'T1 MET'!E39,$D$112)),"N/A")</f>
        <v>N/A</v>
      </c>
      <c r="H112" s="183" t="b">
        <f>IF('T1 MET'!F16&gt;0,(ROUND('T1 MET'!F41,$D$112)=ROUND('T1 MET'!F16/'T1 MET'!F39,$D$112)),"N/A")</f>
        <v>1</v>
      </c>
      <c r="I112" s="183" t="b">
        <f>IF('T1 MET'!G16&gt;0,(ROUND('T1 MET'!G41,$D$112)=ROUND('T1 MET'!G16/'T1 MET'!G39,$D$112)),"N/A")</f>
        <v>1</v>
      </c>
      <c r="J112" s="183" t="b">
        <f>IF('T1 MET'!H16&gt;0,(ROUND('T1 MET'!H41,$D$112)=ROUND('T1 MET'!H16/'T1 MET'!H39,$D$112)),"N/A")</f>
        <v>1</v>
      </c>
      <c r="K112" s="183" t="b">
        <f>IF('T1 MET'!I16&gt;0,(ROUND('T1 MET'!I41,$D$112)=ROUND('T1 MET'!I16/'T1 MET'!I39,$D$112)),"N/A")</f>
        <v>1</v>
      </c>
      <c r="L112" s="183" t="b">
        <f>IF('T1 MET'!J16&gt;0,(ROUND('T1 MET'!J41,$D$112)=ROUND('T1 MET'!J16/'T1 MET'!J39,$D$112)),"N/A")</f>
        <v>1</v>
      </c>
      <c r="M112" s="183" t="b">
        <f>IF('T1 MET'!K16&gt;0,(ROUND('T1 MET'!K41,$D$112)=ROUND('T1 MET'!K16/'T1 MET'!K39,$D$112)),"N/A")</f>
        <v>1</v>
      </c>
      <c r="N112" s="183" t="b">
        <f>IF('T1 MET'!L16&gt;0,(ROUND('T1 MET'!L41,$D$112)=ROUND('T1 MET'!L16/'T1 MET'!L39,$D$112)),"N/A")</f>
        <v>1</v>
      </c>
      <c r="O112" s="183" t="b">
        <f>IF('T1 MET'!M16&gt;0,(ROUND('T1 MET'!M41,$D$112)=ROUND('T1 MET'!M16/'T1 MET'!M39,$D$112)),"N/A")</f>
        <v>1</v>
      </c>
      <c r="P112" s="183" t="b">
        <f>IF('T1 MET'!N16&gt;0,(ROUND('T1 MET'!N41,$D$112)=ROUND('T1 MET'!N16/'T1 MET'!N39,$D$112)),"N/A")</f>
        <v>1</v>
      </c>
      <c r="Q112" s="183" t="b">
        <f>IF('T1 MET'!O16&gt;0,(ROUND('T1 MET'!O41,$D$112)=ROUND('T1 MET'!O16/'T1 MET'!O39,$D$112)),"N/A")</f>
        <v>1</v>
      </c>
      <c r="R112" s="163"/>
      <c r="S112" s="183" t="b">
        <f>IF('T1 MET'!T16&gt;0,(ROUND('T1 MET'!T41,$D$112)=ROUND('T1 MET'!T16/'T1 MET'!T39,$D$112)),"N/A")</f>
        <v>1</v>
      </c>
      <c r="T112" s="183" t="b">
        <f>IF('T1 MET'!U16&gt;0,(ROUND('T1 MET'!U41,$D$112)=ROUND('T1 MET'!U16/'T1 MET'!U39,$D$112)),"N/A")</f>
        <v>1</v>
      </c>
    </row>
    <row r="113" spans="1:20" s="206" customFormat="1" ht="15" customHeight="1" outlineLevel="1">
      <c r="A113" s="185"/>
      <c r="B113" s="186"/>
      <c r="C113" s="187" t="s">
        <v>78</v>
      </c>
      <c r="D113" s="191"/>
      <c r="E113" s="202" t="str">
        <f>IF('T1 MET'!C16&gt;0,(ROUND('T1 MET'!C41,$D$112)),"N/A")</f>
        <v>N/A</v>
      </c>
      <c r="F113" s="202" t="str">
        <f>IF('T1 MET'!D16&gt;0,(ROUND('T1 MET'!D41,$D$112)),"N/A")</f>
        <v>N/A</v>
      </c>
      <c r="G113" s="202" t="str">
        <f>IF('T1 MET'!E16&gt;0,(ROUND('T1 MET'!E41,$D$112)),"N/A")</f>
        <v>N/A</v>
      </c>
      <c r="H113" s="202">
        <f>IF('T1 MET'!F16&gt;0,(ROUND('T1 MET'!F41,$D$112)),"N/A")</f>
        <v>5.2999999999999999E-2</v>
      </c>
      <c r="I113" s="202">
        <f>IF('T1 MET'!G16&gt;0,(ROUND('T1 MET'!G41,$D$112)),"N/A")</f>
        <v>5.2999999999999999E-2</v>
      </c>
      <c r="J113" s="202">
        <f>IF('T1 MET'!H16&gt;0,(ROUND('T1 MET'!H41,$D$112)),"N/A")</f>
        <v>5.2999999999999999E-2</v>
      </c>
      <c r="K113" s="202">
        <f>IF('T1 MET'!I16&gt;0,(ROUND('T1 MET'!I41,$D$112)),"N/A")</f>
        <v>5.2999999999999999E-2</v>
      </c>
      <c r="L113" s="202">
        <f>IF('T1 MET'!J16&gt;0,(ROUND('T1 MET'!J41,$D$112)),"N/A")</f>
        <v>5.2999999999999999E-2</v>
      </c>
      <c r="M113" s="202">
        <f>IF('T1 MET'!K16&gt;0,(ROUND('T1 MET'!K41,$D$112)),"N/A")</f>
        <v>5.2999999999999999E-2</v>
      </c>
      <c r="N113" s="202">
        <f>IF('T1 MET'!L16&gt;0,(ROUND('T1 MET'!L41,$D$112)),"N/A")</f>
        <v>5.2999999999999999E-2</v>
      </c>
      <c r="O113" s="202">
        <f>IF('T1 MET'!M16&gt;0,(ROUND('T1 MET'!M41,$D$112)),"N/A")</f>
        <v>5.2999999999999999E-2</v>
      </c>
      <c r="P113" s="202">
        <f>IF('T1 MET'!N16&gt;0,(ROUND('T1 MET'!N41,$D$112)),"N/A")</f>
        <v>4.3999999999999997E-2</v>
      </c>
      <c r="Q113" s="202">
        <f>IF('T1 MET'!O16&gt;0,(ROUND('T1 MET'!O41,$D$112)),"N/A")</f>
        <v>4.3999999999999997E-2</v>
      </c>
      <c r="R113" s="163"/>
      <c r="S113" s="202">
        <f>IF('T1 MET'!T16&gt;0,(ROUND('T1 MET'!T41,$D$112)),"N/A")</f>
        <v>4.2999999999999997E-2</v>
      </c>
      <c r="T113" s="202">
        <f>IF('T1 MET'!U16&gt;0,(ROUND('T1 MET'!U41,$D$112)),"N/A")</f>
        <v>5.2999999999999999E-2</v>
      </c>
    </row>
    <row r="114" spans="1:20" s="206" customFormat="1" ht="15" customHeight="1" outlineLevel="1">
      <c r="A114" s="185"/>
      <c r="B114" s="186"/>
      <c r="C114" s="187" t="s">
        <v>79</v>
      </c>
      <c r="D114" s="191"/>
      <c r="E114" s="202" t="str">
        <f>IF('T1 MET'!C16&gt;0,ROUND('T1 MET'!C16/'T1 MET'!C39,$D$112),"N/A")</f>
        <v>N/A</v>
      </c>
      <c r="F114" s="202" t="str">
        <f>IF('T1 MET'!D16&gt;0,ROUND('T1 MET'!D16/'T1 MET'!D39,$D$112),"N/A")</f>
        <v>N/A</v>
      </c>
      <c r="G114" s="202" t="str">
        <f>IF('T1 MET'!E16&gt;0,ROUND('T1 MET'!E16/'T1 MET'!E39,$D$112),"N/A")</f>
        <v>N/A</v>
      </c>
      <c r="H114" s="202">
        <f>IF('T1 MET'!F16&gt;0,ROUND('T1 MET'!F16/'T1 MET'!F39,$D$112),"N/A")</f>
        <v>5.2999999999999999E-2</v>
      </c>
      <c r="I114" s="202">
        <f>IF('T1 MET'!G16&gt;0,ROUND('T1 MET'!G16/'T1 MET'!G39,$D$112),"N/A")</f>
        <v>5.2999999999999999E-2</v>
      </c>
      <c r="J114" s="202">
        <f>IF('T1 MET'!H16&gt;0,ROUND('T1 MET'!H16/'T1 MET'!H39,$D$112),"N/A")</f>
        <v>5.2999999999999999E-2</v>
      </c>
      <c r="K114" s="202">
        <f>IF('T1 MET'!I16&gt;0,ROUND('T1 MET'!I16/'T1 MET'!I39,$D$112),"N/A")</f>
        <v>5.2999999999999999E-2</v>
      </c>
      <c r="L114" s="202">
        <f>IF('T1 MET'!J16&gt;0,ROUND('T1 MET'!J16/'T1 MET'!J39,$D$112),"N/A")</f>
        <v>5.2999999999999999E-2</v>
      </c>
      <c r="M114" s="202">
        <f>IF('T1 MET'!K16&gt;0,ROUND('T1 MET'!K16/'T1 MET'!K39,$D$112),"N/A")</f>
        <v>5.2999999999999999E-2</v>
      </c>
      <c r="N114" s="202">
        <f>IF('T1 MET'!L16&gt;0,ROUND('T1 MET'!L16/'T1 MET'!L39,$D$112),"N/A")</f>
        <v>5.2999999999999999E-2</v>
      </c>
      <c r="O114" s="202">
        <f>IF('T1 MET'!M16&gt;0,ROUND('T1 MET'!M16/'T1 MET'!M39,$D$112),"N/A")</f>
        <v>5.2999999999999999E-2</v>
      </c>
      <c r="P114" s="202">
        <f>IF('T1 MET'!N16&gt;0,ROUND('T1 MET'!N16/'T1 MET'!N39,$D$112),"N/A")</f>
        <v>4.3999999999999997E-2</v>
      </c>
      <c r="Q114" s="202">
        <f>IF('T1 MET'!O16&gt;0,ROUND('T1 MET'!O16/'T1 MET'!O39,$D$112),"N/A")</f>
        <v>4.3999999999999997E-2</v>
      </c>
      <c r="R114" s="163"/>
      <c r="S114" s="202">
        <f>IF('T1 MET'!T16&gt;0,ROUND('T1 MET'!T16/'T1 MET'!T39,$D$112),"N/A")</f>
        <v>4.2999999999999997E-2</v>
      </c>
      <c r="T114" s="202">
        <f>IF('T1 MET'!U16&gt;0,ROUND('T1 MET'!U16/'T1 MET'!U39,$D$112),"N/A")</f>
        <v>5.2999999999999999E-2</v>
      </c>
    </row>
    <row r="115" spans="1:20" s="206" customFormat="1" ht="15" customHeight="1">
      <c r="A115" s="179" t="s">
        <v>80</v>
      </c>
      <c r="B115" s="180" t="s">
        <v>81</v>
      </c>
      <c r="C115" s="203" t="s">
        <v>82</v>
      </c>
      <c r="D115" s="182">
        <v>2</v>
      </c>
      <c r="E115" s="183" t="str">
        <f>IF('T1 MET'!C16&gt;0,IF(ISERROR(ROUND(('T1 MET'!C16-('T1 MET'!C39*'T1 MET'!C43))/(('T1 MET'!C39*'T1 MET'!C42)-('T1 MET'!C39*'T1 MET'!C43)),$D$115)),"N/A",ROUND(('T1 MET'!C16-('T1 MET'!C39*'T1 MET'!C43))/(('T1 MET'!C39*'T1 MET'!C42)-('T1 MET'!C39*'T1 MET'!C43)),$D$115))=ROUND('T1 MET'!C44,$D$115),"N/A")</f>
        <v>N/A</v>
      </c>
      <c r="F115" s="183" t="str">
        <f>IF('T1 MET'!D16&gt;0,IF(ISERROR(ROUND(('T1 MET'!D16-('T1 MET'!D39*'T1 MET'!D43))/(('T1 MET'!D39*'T1 MET'!D42)-('T1 MET'!D39*'T1 MET'!D43)),$D$115)),"N/A",ROUND(('T1 MET'!D16-('T1 MET'!D39*'T1 MET'!D43))/(('T1 MET'!D39*'T1 MET'!D42)-('T1 MET'!D39*'T1 MET'!D43)),$D$115))=ROUND('T1 MET'!D44,$D$115),"N/A")</f>
        <v>N/A</v>
      </c>
      <c r="G115" s="183" t="str">
        <f>IF('T1 MET'!E16&gt;0,IF(ISERROR(ROUND(('T1 MET'!E16-('T1 MET'!E39*'T1 MET'!E43))/(('T1 MET'!E39*'T1 MET'!E42)-('T1 MET'!E39*'T1 MET'!E43)),$D$115)),"N/A",ROUND(('T1 MET'!E16-('T1 MET'!E39*'T1 MET'!E43))/(('T1 MET'!E39*'T1 MET'!E42)-('T1 MET'!E39*'T1 MET'!E43)),$D$115))=ROUND('T1 MET'!E44,$D$115),"N/A")</f>
        <v>N/A</v>
      </c>
      <c r="H115" s="183" t="b">
        <f>IF('T1 MET'!F16&gt;0,IF(ISERROR(ROUND(('T1 MET'!F16-('T1 MET'!F39*'T1 MET'!F43))/(('T1 MET'!F39*'T1 MET'!F42)-('T1 MET'!F39*'T1 MET'!F43)),$D$115)),"N/A",ROUND(('T1 MET'!F16-('T1 MET'!F39*'T1 MET'!F43))/(('T1 MET'!F39*'T1 MET'!F42)-('T1 MET'!F39*'T1 MET'!F43)),$D$115))=ROUND('T1 MET'!F44,$D$115),"N/A")</f>
        <v>1</v>
      </c>
      <c r="I115" s="183" t="b">
        <f>IF('T1 MET'!G16&gt;0,IF(ISERROR(ROUND(('T1 MET'!G16-('T1 MET'!G39*'T1 MET'!G43))/(('T1 MET'!G39*'T1 MET'!G42)-('T1 MET'!G39*'T1 MET'!G43)),$D$115)),"N/A",ROUND(('T1 MET'!G16-('T1 MET'!G39*'T1 MET'!G43))/(('T1 MET'!G39*'T1 MET'!G42)-('T1 MET'!G39*'T1 MET'!G43)),$D$115))=ROUND('T1 MET'!G44,$D$115),"N/A")</f>
        <v>1</v>
      </c>
      <c r="J115" s="183" t="b">
        <f>IF('T1 MET'!H16&gt;0,IF(ISERROR(ROUND(('T1 MET'!H16-('T1 MET'!H39*'T1 MET'!H43))/(('T1 MET'!H39*'T1 MET'!H42)-('T1 MET'!H39*'T1 MET'!H43)),$D$115)),"N/A",ROUND(('T1 MET'!H16-('T1 MET'!H39*'T1 MET'!H43))/(('T1 MET'!H39*'T1 MET'!H42)-('T1 MET'!H39*'T1 MET'!H43)),$D$115))=ROUND('T1 MET'!H44,$D$115),"N/A")</f>
        <v>1</v>
      </c>
      <c r="K115" s="183" t="b">
        <f>IF('T1 MET'!I16&gt;0,IF(ISERROR(ROUND(('T1 MET'!I16-('T1 MET'!I39*'T1 MET'!I43))/(('T1 MET'!I39*'T1 MET'!I42)-('T1 MET'!I39*'T1 MET'!I43)),$D$115)),"N/A",ROUND(('T1 MET'!I16-('T1 MET'!I39*'T1 MET'!I43))/(('T1 MET'!I39*'T1 MET'!I42)-('T1 MET'!I39*'T1 MET'!I43)),$D$115))=ROUND('T1 MET'!I44,$D$115),"N/A")</f>
        <v>1</v>
      </c>
      <c r="L115" s="183" t="b">
        <f>IF('T1 MET'!J16&gt;0,IF(ISERROR(ROUND(('T1 MET'!J16-('T1 MET'!J39*'T1 MET'!J43))/(('T1 MET'!J39*'T1 MET'!J42)-('T1 MET'!J39*'T1 MET'!J43)),$D$115)),"N/A",ROUND(('T1 MET'!J16-('T1 MET'!J39*'T1 MET'!J43))/(('T1 MET'!J39*'T1 MET'!J42)-('T1 MET'!J39*'T1 MET'!J43)),$D$115))=ROUND('T1 MET'!J44,$D$115),"N/A")</f>
        <v>1</v>
      </c>
      <c r="M115" s="183" t="b">
        <f>IF('T1 MET'!K16&gt;0,IF(ISERROR(ROUND(('T1 MET'!K16-('T1 MET'!K39*'T1 MET'!K43))/(('T1 MET'!K39*'T1 MET'!K42)-('T1 MET'!K39*'T1 MET'!K43)),$D$115)),"N/A",ROUND(('T1 MET'!K16-('T1 MET'!K39*'T1 MET'!K43))/(('T1 MET'!K39*'T1 MET'!K42)-('T1 MET'!K39*'T1 MET'!K43)),$D$115))=ROUND('T1 MET'!K44,$D$115),"N/A")</f>
        <v>1</v>
      </c>
      <c r="N115" s="183" t="b">
        <f>IF('T1 MET'!L16&gt;0,IF(ISERROR(ROUND(('T1 MET'!L16-('T1 MET'!L39*'T1 MET'!L43))/(('T1 MET'!L39*'T1 MET'!L42)-('T1 MET'!L39*'T1 MET'!L43)),$D$115)),"N/A",ROUND(('T1 MET'!L16-('T1 MET'!L39*'T1 MET'!L43))/(('T1 MET'!L39*'T1 MET'!L42)-('T1 MET'!L39*'T1 MET'!L43)),$D$115))=ROUND('T1 MET'!L44,$D$115),"N/A")</f>
        <v>1</v>
      </c>
      <c r="O115" s="183" t="b">
        <f>IF('T1 MET'!M16&gt;0,IF(ISERROR(ROUND(('T1 MET'!M16-('T1 MET'!M39*'T1 MET'!M43))/(('T1 MET'!M39*'T1 MET'!M42)-('T1 MET'!M39*'T1 MET'!M43)),$D$115)),"N/A",ROUND(('T1 MET'!M16-('T1 MET'!M39*'T1 MET'!M43))/(('T1 MET'!M39*'T1 MET'!M42)-('T1 MET'!M39*'T1 MET'!M43)),$D$115))=ROUND('T1 MET'!M44,$D$115),"N/A")</f>
        <v>1</v>
      </c>
      <c r="P115" s="183" t="b">
        <f>IF('T1 MET'!N16&gt;0,IF(ISERROR(ROUND(('T1 MET'!N16-('T1 MET'!N39*'T1 MET'!N43))/(('T1 MET'!N39*'T1 MET'!N42)-('T1 MET'!N39*'T1 MET'!N43)),$D$115)),"N/A",ROUND(('T1 MET'!N16-('T1 MET'!N39*'T1 MET'!N43))/(('T1 MET'!N39*'T1 MET'!N42)-('T1 MET'!N39*'T1 MET'!N43)),$D$115))=ROUND('T1 MET'!N44,$D$115),"N/A")</f>
        <v>0</v>
      </c>
      <c r="Q115" s="183" t="b">
        <f>IF('T1 MET'!O16&gt;0,IF(ISERROR(ROUND(('T1 MET'!O16-('T1 MET'!O39*'T1 MET'!O43))/(('T1 MET'!O39*'T1 MET'!O42)-('T1 MET'!O39*'T1 MET'!O43)),$D$115)),"N/A",ROUND(('T1 MET'!O16-('T1 MET'!O39*'T1 MET'!O43))/(('T1 MET'!O39*'T1 MET'!O42)-('T1 MET'!O39*'T1 MET'!O43)),$D$115))=ROUND('T1 MET'!O44,$D$115),"N/A")</f>
        <v>0</v>
      </c>
      <c r="R115" s="163"/>
      <c r="S115" s="183" t="b">
        <f>IF('T1 MET'!T16&gt;0,IF(ISERROR(ROUND(('T1 MET'!T16-('T1 MET'!T39*'T1 MET'!T43))/(('T1 MET'!T39*'T1 MET'!T42)-('T1 MET'!T39*'T1 MET'!T43)),$D$115)),"N/A",ROUND(('T1 MET'!T16-('T1 MET'!T39*'T1 MET'!T43))/(('T1 MET'!T39*'T1 MET'!T42)-('T1 MET'!T39*'T1 MET'!T43)),$D$115))=ROUND('T1 MET'!T44,$D$115),"N/A")</f>
        <v>0</v>
      </c>
      <c r="T115" s="183" t="b">
        <f>IF('T1 MET'!U16&gt;0,IF(ISERROR(ROUND(('T1 MET'!U16-('T1 MET'!U39*'T1 MET'!U43))/(('T1 MET'!U39*'T1 MET'!U42)-('T1 MET'!U39*'T1 MET'!U43)),$D$115)),"N/A",ROUND(('T1 MET'!U16-('T1 MET'!U39*'T1 MET'!U43))/(('T1 MET'!U39*'T1 MET'!U42)-('T1 MET'!U39*'T1 MET'!U43)),$D$115))=ROUND('T1 MET'!U44,$D$115),"N/A")</f>
        <v>1</v>
      </c>
    </row>
    <row r="116" spans="1:20" s="206" customFormat="1" ht="15" customHeight="1" outlineLevel="1">
      <c r="A116" s="185"/>
      <c r="B116" s="186"/>
      <c r="C116" s="204" t="s">
        <v>83</v>
      </c>
      <c r="D116" s="191"/>
      <c r="E116" s="205" t="str">
        <f>IF(ISERROR(ROUND(('T1 MET'!C16-('T1 MET'!C39*'T1 MET'!C43))/(('T1 MET'!C39*'T1 MET'!C42)-('T1 MET'!C39*'T1 MET'!C43)),$D$115)),"N/A",ROUND(('T1 MET'!C16-('T1 MET'!C39*'T1 MET'!C43))/(('T1 MET'!C39*'T1 MET'!C42)-('T1 MET'!C39*'T1 MET'!C43)),$D$115))</f>
        <v>N/A</v>
      </c>
      <c r="F116" s="205" t="str">
        <f>IF(ISERROR(ROUND(('T1 MET'!D16-('T1 MET'!D39*'T1 MET'!D43))/(('T1 MET'!D39*'T1 MET'!D42)-('T1 MET'!D39*'T1 MET'!D43)),$D$115)),"N/A",ROUND(('T1 MET'!D16-('T1 MET'!D39*'T1 MET'!D43))/(('T1 MET'!D39*'T1 MET'!D42)-('T1 MET'!D39*'T1 MET'!D43)),$D$115))</f>
        <v>N/A</v>
      </c>
      <c r="G116" s="205" t="str">
        <f>IF(ISERROR(ROUND(('T1 MET'!E16-('T1 MET'!E39*'T1 MET'!E43))/(('T1 MET'!E39*'T1 MET'!E42)-('T1 MET'!E39*'T1 MET'!E43)),$D$115)),"N/A",ROUND(('T1 MET'!E16-('T1 MET'!E39*'T1 MET'!E43))/(('T1 MET'!E39*'T1 MET'!E42)-('T1 MET'!E39*'T1 MET'!E43)),$D$115))</f>
        <v>N/A</v>
      </c>
      <c r="H116" s="205">
        <f>IF(ISERROR(ROUND(('T1 MET'!F16-('T1 MET'!F39*'T1 MET'!F43))/(('T1 MET'!F39*'T1 MET'!F42)-('T1 MET'!F39*'T1 MET'!F43)),$D$115)),"N/A",ROUND(('T1 MET'!F16-('T1 MET'!F39*'T1 MET'!F43))/(('T1 MET'!F39*'T1 MET'!F42)-('T1 MET'!F39*'T1 MET'!F43)),$D$115))</f>
        <v>1</v>
      </c>
      <c r="I116" s="205">
        <f>IF(ISERROR(ROUND(('T1 MET'!G16-('T1 MET'!G39*'T1 MET'!G43))/(('T1 MET'!G39*'T1 MET'!G42)-('T1 MET'!G39*'T1 MET'!G43)),$D$115)),"N/A",ROUND(('T1 MET'!G16-('T1 MET'!G39*'T1 MET'!G43))/(('T1 MET'!G39*'T1 MET'!G42)-('T1 MET'!G39*'T1 MET'!G43)),$D$115))</f>
        <v>1</v>
      </c>
      <c r="J116" s="205">
        <f>IF(ISERROR(ROUND(('T1 MET'!H16-('T1 MET'!H39*'T1 MET'!H43))/(('T1 MET'!H39*'T1 MET'!H42)-('T1 MET'!H39*'T1 MET'!H43)),$D$115)),"N/A",ROUND(('T1 MET'!H16-('T1 MET'!H39*'T1 MET'!H43))/(('T1 MET'!H39*'T1 MET'!H42)-('T1 MET'!H39*'T1 MET'!H43)),$D$115))</f>
        <v>1</v>
      </c>
      <c r="K116" s="205">
        <f>IF(ISERROR(ROUND(('T1 MET'!I16-('T1 MET'!I39*'T1 MET'!I43))/(('T1 MET'!I39*'T1 MET'!I42)-('T1 MET'!I39*'T1 MET'!I43)),$D$115)),"N/A",ROUND(('T1 MET'!I16-('T1 MET'!I39*'T1 MET'!I43))/(('T1 MET'!I39*'T1 MET'!I42)-('T1 MET'!I39*'T1 MET'!I43)),$D$115))</f>
        <v>1</v>
      </c>
      <c r="L116" s="205">
        <f>IF(ISERROR(ROUND(('T1 MET'!J16-('T1 MET'!J39*'T1 MET'!J43))/(('T1 MET'!J39*'T1 MET'!J42)-('T1 MET'!J39*'T1 MET'!J43)),$D$115)),"N/A",ROUND(('T1 MET'!J16-('T1 MET'!J39*'T1 MET'!J43))/(('T1 MET'!J39*'T1 MET'!J42)-('T1 MET'!J39*'T1 MET'!J43)),$D$115))</f>
        <v>1</v>
      </c>
      <c r="M116" s="205">
        <f>IF(ISERROR(ROUND(('T1 MET'!K16-('T1 MET'!K39*'T1 MET'!K43))/(('T1 MET'!K39*'T1 MET'!K42)-('T1 MET'!K39*'T1 MET'!K43)),$D$115)),"N/A",ROUND(('T1 MET'!K16-('T1 MET'!K39*'T1 MET'!K43))/(('T1 MET'!K39*'T1 MET'!K42)-('T1 MET'!K39*'T1 MET'!K43)),$D$115))</f>
        <v>1</v>
      </c>
      <c r="N116" s="205">
        <f>IF(ISERROR(ROUND(('T1 MET'!L16-('T1 MET'!L39*'T1 MET'!L43))/(('T1 MET'!L39*'T1 MET'!L42)-('T1 MET'!L39*'T1 MET'!L43)),$D$115)),"N/A",ROUND(('T1 MET'!L16-('T1 MET'!L39*'T1 MET'!L43))/(('T1 MET'!L39*'T1 MET'!L42)-('T1 MET'!L39*'T1 MET'!L43)),$D$115))</f>
        <v>1</v>
      </c>
      <c r="O116" s="205">
        <f>IF(ISERROR(ROUND(('T1 MET'!M16-('T1 MET'!M39*'T1 MET'!M43))/(('T1 MET'!M39*'T1 MET'!M42)-('T1 MET'!M39*'T1 MET'!M43)),$D$115)),"N/A",ROUND(('T1 MET'!M16-('T1 MET'!M39*'T1 MET'!M43))/(('T1 MET'!M39*'T1 MET'!M42)-('T1 MET'!M39*'T1 MET'!M43)),$D$115))</f>
        <v>1</v>
      </c>
      <c r="P116" s="205" t="str">
        <f>IF(ISERROR(ROUND(('T1 MET'!N16-('T1 MET'!N39*'T1 MET'!N43))/(('T1 MET'!N39*'T1 MET'!N42)-('T1 MET'!N39*'T1 MET'!N43)),$D$115)),"N/A",ROUND(('T1 MET'!N16-('T1 MET'!N39*'T1 MET'!N43))/(('T1 MET'!N39*'T1 MET'!N42)-('T1 MET'!N39*'T1 MET'!N43)),$D$115))</f>
        <v>N/A</v>
      </c>
      <c r="Q116" s="205" t="str">
        <f>IF(ISERROR(ROUND(('T1 MET'!O16-('T1 MET'!O39*'T1 MET'!O43))/(('T1 MET'!O39*'T1 MET'!O42)-('T1 MET'!O39*'T1 MET'!O43)),$D$115)),"N/A",ROUND(('T1 MET'!O16-('T1 MET'!O39*'T1 MET'!O43))/(('T1 MET'!O39*'T1 MET'!O42)-('T1 MET'!O39*'T1 MET'!O43)),$D$115))</f>
        <v>N/A</v>
      </c>
      <c r="R116" s="163"/>
      <c r="S116" s="205">
        <f>IF(ISERROR(ROUND(('T1 MET'!T16-('T1 MET'!T39*'T1 MET'!T43))/(('T1 MET'!T39*'T1 MET'!T42)-('T1 MET'!T39*'T1 MET'!T43)),$D$115)),"N/A",ROUND(('T1 MET'!T16-('T1 MET'!T39*'T1 MET'!T43))/(('T1 MET'!T39*'T1 MET'!T42)-('T1 MET'!T39*'T1 MET'!T43)),$D$115))</f>
        <v>0.81</v>
      </c>
      <c r="T116" s="205">
        <f>IF(ISERROR(ROUND(('T1 MET'!U16-('T1 MET'!U39*'T1 MET'!U43))/(('T1 MET'!U39*'T1 MET'!U42)-('T1 MET'!U39*'T1 MET'!U43)),$D$115)),"N/A",ROUND(('T1 MET'!U16-('T1 MET'!U39*'T1 MET'!U43))/(('T1 MET'!U39*'T1 MET'!U42)-('T1 MET'!U39*'T1 MET'!U43)),$D$115))</f>
        <v>1</v>
      </c>
    </row>
    <row r="117" spans="1:20" s="206" customFormat="1" ht="15" customHeight="1" outlineLevel="1">
      <c r="A117" s="185"/>
      <c r="B117" s="186"/>
      <c r="C117" s="204" t="s">
        <v>84</v>
      </c>
      <c r="D117" s="191"/>
      <c r="E117" s="217" t="str">
        <f>IF('T1 MET'!C16&gt;0,ROUND('T1 MET'!C44,$D$115),"N/A")</f>
        <v>N/A</v>
      </c>
      <c r="F117" s="217" t="str">
        <f>IF('T1 MET'!D16&gt;0,ROUND('T1 MET'!D44,$D$115),"N/A")</f>
        <v>N/A</v>
      </c>
      <c r="G117" s="217" t="str">
        <f>IF('T1 MET'!E16&gt;0,ROUND('T1 MET'!E44,$D$115),"N/A")</f>
        <v>N/A</v>
      </c>
      <c r="H117" s="217">
        <f>IF('T1 MET'!F16&gt;0,ROUND('T1 MET'!F44,$D$115),"N/A")</f>
        <v>1</v>
      </c>
      <c r="I117" s="217">
        <f>IF('T1 MET'!G16&gt;0,ROUND('T1 MET'!G44,$D$115),"N/A")</f>
        <v>1</v>
      </c>
      <c r="J117" s="217">
        <f>IF('T1 MET'!H16&gt;0,ROUND('T1 MET'!H44,$D$115),"N/A")</f>
        <v>1</v>
      </c>
      <c r="K117" s="217">
        <f>IF('T1 MET'!I16&gt;0,ROUND('T1 MET'!I44,$D$115),"N/A")</f>
        <v>1</v>
      </c>
      <c r="L117" s="217">
        <f>IF('T1 MET'!J16&gt;0,ROUND('T1 MET'!J44,$D$115),"N/A")</f>
        <v>1</v>
      </c>
      <c r="M117" s="217">
        <f>IF('T1 MET'!K16&gt;0,ROUND('T1 MET'!K44,$D$115),"N/A")</f>
        <v>1</v>
      </c>
      <c r="N117" s="217">
        <f>IF('T1 MET'!L16&gt;0,ROUND('T1 MET'!L44,$D$115),"N/A")</f>
        <v>1</v>
      </c>
      <c r="O117" s="217">
        <f>IF('T1 MET'!M16&gt;0,ROUND('T1 MET'!M44,$D$115),"N/A")</f>
        <v>1</v>
      </c>
      <c r="P117" s="217">
        <f>IF('T1 MET'!N16&gt;0,ROUND('T1 MET'!N44,$D$115),"N/A")</f>
        <v>1</v>
      </c>
      <c r="Q117" s="217">
        <f>IF('T1 MET'!O16&gt;0,ROUND('T1 MET'!O44,$D$115),"N/A")</f>
        <v>1</v>
      </c>
      <c r="R117" s="163"/>
      <c r="S117" s="217">
        <f>IF('T1 MET'!T16&gt;0,ROUND('T1 MET'!T44,$D$115),"N/A")</f>
        <v>1</v>
      </c>
      <c r="T117" s="217">
        <f>IF('T1 MET'!U16&gt;0,ROUND('T1 MET'!U44,$D$115),"N/A")</f>
        <v>1</v>
      </c>
    </row>
    <row r="118" spans="1:20" s="206" customFormat="1" ht="15" customHeight="1">
      <c r="A118" s="179" t="s">
        <v>85</v>
      </c>
      <c r="B118" s="180" t="s">
        <v>86</v>
      </c>
      <c r="C118" s="181" t="s">
        <v>87</v>
      </c>
      <c r="D118" s="182">
        <v>3</v>
      </c>
      <c r="E118" s="183" t="b">
        <f>ROUND(SUM('T1 MET'!C36:C38),$D$118)=ROUND('T1 MET'!C39,$D$118)</f>
        <v>1</v>
      </c>
      <c r="F118" s="183" t="b">
        <f>ROUND(SUM('T1 MET'!D36:D38),$D$118)=ROUND('T1 MET'!D39,$D$118)</f>
        <v>1</v>
      </c>
      <c r="G118" s="183" t="b">
        <f>ROUND(SUM('T1 MET'!E36:E38),$D$118)=ROUND('T1 MET'!E39,$D$118)</f>
        <v>1</v>
      </c>
      <c r="H118" s="183" t="b">
        <f>ROUND(SUM('T1 MET'!F36:F38),$D$118)=ROUND('T1 MET'!F39,$D$118)</f>
        <v>1</v>
      </c>
      <c r="I118" s="183" t="b">
        <f>ROUND(SUM('T1 MET'!G36:G38),$D$118)=ROUND('T1 MET'!G39,$D$118)</f>
        <v>1</v>
      </c>
      <c r="J118" s="183" t="b">
        <f>ROUND(SUM('T1 MET'!H36:H38),$D$118)=ROUND('T1 MET'!H39,$D$118)</f>
        <v>1</v>
      </c>
      <c r="K118" s="183" t="b">
        <f>ROUND(SUM('T1 MET'!I36:I38),$D$118)=ROUND('T1 MET'!I39,$D$118)</f>
        <v>1</v>
      </c>
      <c r="L118" s="183" t="b">
        <f>ROUND(SUM('T1 MET'!J36:J38),$D$118)=ROUND('T1 MET'!J39,$D$118)</f>
        <v>1</v>
      </c>
      <c r="M118" s="183" t="b">
        <f>ROUND(SUM('T1 MET'!K36:K38),$D$118)=ROUND('T1 MET'!K39,$D$118)</f>
        <v>1</v>
      </c>
      <c r="N118" s="183" t="b">
        <f>ROUND(SUM('T1 MET'!L36:L38),$D$118)=ROUND('T1 MET'!L39,$D$118)</f>
        <v>1</v>
      </c>
      <c r="O118" s="183" t="b">
        <f>ROUND(SUM('T1 MET'!M36:M38),$D$118)=ROUND('T1 MET'!M39,$D$118)</f>
        <v>1</v>
      </c>
      <c r="P118" s="183" t="b">
        <f>ROUND(SUM('T1 MET'!N36:N38),$D$118)=ROUND('T1 MET'!N39,$D$118)</f>
        <v>1</v>
      </c>
      <c r="Q118" s="183" t="b">
        <f>ROUND(SUM('T1 MET'!O36:O38),$D$118)=ROUND('T1 MET'!O39,$D$118)</f>
        <v>1</v>
      </c>
      <c r="R118" s="163"/>
      <c r="S118" s="183" t="b">
        <f>ROUND(SUM('T1 MET'!T36:T38),$D$118)=ROUND('T1 MET'!T39,$D$118)</f>
        <v>1</v>
      </c>
      <c r="T118" s="183" t="b">
        <f>ROUND(SUM('T1 MET'!U36:U38),$D$118)=ROUND('T1 MET'!U39,$D$118)</f>
        <v>1</v>
      </c>
    </row>
    <row r="119" spans="1:20" s="206" customFormat="1" ht="15" customHeight="1" outlineLevel="1">
      <c r="A119" s="185"/>
      <c r="B119" s="186"/>
      <c r="C119" s="187" t="s">
        <v>88</v>
      </c>
      <c r="D119" s="191"/>
      <c r="E119" s="878">
        <f>ROUND(SUM('T1 MET'!C36:C38),$D$118)</f>
        <v>0</v>
      </c>
      <c r="F119" s="878">
        <f>ROUND(SUM('T1 MET'!D36:D38),$D$118)</f>
        <v>0</v>
      </c>
      <c r="G119" s="878">
        <f>ROUND(SUM('T1 MET'!E36:E38),$D$118)</f>
        <v>0</v>
      </c>
      <c r="H119" s="878">
        <f>ROUND(SUM('T1 MET'!F36:F38),$D$118)</f>
        <v>39505</v>
      </c>
      <c r="I119" s="878">
        <f>ROUND(SUM('T1 MET'!G36:G38),$D$118)</f>
        <v>39505</v>
      </c>
      <c r="J119" s="878">
        <f>ROUND(SUM('T1 MET'!H36:H38),$D$118)</f>
        <v>39505</v>
      </c>
      <c r="K119" s="878">
        <f>ROUND(SUM('T1 MET'!I36:I38),$D$118)</f>
        <v>39505</v>
      </c>
      <c r="L119" s="878">
        <f>ROUND(SUM('T1 MET'!J36:J38),$D$118)</f>
        <v>39505</v>
      </c>
      <c r="M119" s="878">
        <f>ROUND(SUM('T1 MET'!K36:K38),$D$118)</f>
        <v>37554.786999999997</v>
      </c>
      <c r="N119" s="878">
        <f>ROUND(SUM('T1 MET'!L36:L38),$D$118)</f>
        <v>37554.786999999997</v>
      </c>
      <c r="O119" s="878">
        <f>ROUND(SUM('T1 MET'!M36:M38),$D$118)</f>
        <v>37554.786999999997</v>
      </c>
      <c r="P119" s="878">
        <f>ROUND(SUM('T1 MET'!N36:N38),$D$118)</f>
        <v>76654.933999999994</v>
      </c>
      <c r="Q119" s="878">
        <f>ROUND(SUM('T1 MET'!O36:O38),$D$118)</f>
        <v>80280.373000000007</v>
      </c>
      <c r="R119" s="163"/>
      <c r="S119" s="878">
        <f>ROUND(SUM('T1 MET'!T36:T38),$D$118)</f>
        <v>46394.733999999997</v>
      </c>
      <c r="T119" s="878">
        <f>ROUND(SUM('T1 MET'!U36:U38),$D$118)</f>
        <v>48900</v>
      </c>
    </row>
    <row r="120" spans="1:20" s="206" customFormat="1" ht="15" customHeight="1" outlineLevel="1">
      <c r="A120" s="185"/>
      <c r="B120" s="186"/>
      <c r="C120" s="187" t="s">
        <v>89</v>
      </c>
      <c r="D120" s="191"/>
      <c r="E120" s="878">
        <f>ROUND('T1 MET'!C39,$D$118)</f>
        <v>0</v>
      </c>
      <c r="F120" s="878">
        <f>ROUND('T1 MET'!D39,$D$118)</f>
        <v>0</v>
      </c>
      <c r="G120" s="878">
        <f>ROUND('T1 MET'!E39,$D$118)</f>
        <v>0</v>
      </c>
      <c r="H120" s="878">
        <f>ROUND('T1 MET'!F39,$D$118)</f>
        <v>39505</v>
      </c>
      <c r="I120" s="878">
        <f>ROUND('T1 MET'!G39,$D$118)</f>
        <v>39505</v>
      </c>
      <c r="J120" s="878">
        <f>ROUND('T1 MET'!H39,$D$118)</f>
        <v>39505</v>
      </c>
      <c r="K120" s="878">
        <f>ROUND('T1 MET'!I39,$D$118)</f>
        <v>39505</v>
      </c>
      <c r="L120" s="878">
        <f>ROUND('T1 MET'!J39,$D$118)</f>
        <v>39505</v>
      </c>
      <c r="M120" s="878">
        <f>ROUND('T1 MET'!K39,$D$118)</f>
        <v>37554.786999999997</v>
      </c>
      <c r="N120" s="878">
        <f>ROUND('T1 MET'!L39,$D$118)</f>
        <v>37554.786999999997</v>
      </c>
      <c r="O120" s="878">
        <f>ROUND('T1 MET'!M39,$D$118)</f>
        <v>37554.786999999997</v>
      </c>
      <c r="P120" s="878">
        <f>ROUND('T1 MET'!N39,$D$118)</f>
        <v>76654.933999999994</v>
      </c>
      <c r="Q120" s="878">
        <f>ROUND('T1 MET'!O39,$D$118)</f>
        <v>80280.373000000007</v>
      </c>
      <c r="R120" s="163"/>
      <c r="S120" s="878">
        <f>ROUND('T1 MET'!T39,$D$118)</f>
        <v>46394.733999999997</v>
      </c>
      <c r="T120" s="878">
        <f>ROUND('T1 MET'!U39,$D$118)</f>
        <v>48900</v>
      </c>
    </row>
    <row r="121" spans="1:20" s="206" customFormat="1" ht="15" customHeight="1">
      <c r="A121" s="179" t="s">
        <v>90</v>
      </c>
      <c r="B121" s="180" t="s">
        <v>86</v>
      </c>
      <c r="C121" s="203" t="s">
        <v>91</v>
      </c>
      <c r="D121" s="182">
        <v>3</v>
      </c>
      <c r="E121" s="183" t="b">
        <f>IF(ROUND('T1 MET'!C39,$D$121)=0,ROUND('T1 MET'!C16,$D$121)=0,TRUE)</f>
        <v>1</v>
      </c>
      <c r="F121" s="183" t="b">
        <f>IF(ROUND('T1 MET'!D39,$D$121)=0,ROUND('T1 MET'!D16,$D$121)=0,TRUE)</f>
        <v>1</v>
      </c>
      <c r="G121" s="183" t="b">
        <f>IF(ROUND('T1 MET'!E39,$D$121)=0,ROUND('T1 MET'!E16,$D$121)=0,TRUE)</f>
        <v>1</v>
      </c>
      <c r="H121" s="183" t="b">
        <f>IF(ROUND('T1 MET'!F39,$D$121)=0,ROUND('T1 MET'!F16,$D$121)=0,TRUE)</f>
        <v>1</v>
      </c>
      <c r="I121" s="183" t="b">
        <f>IF(ROUND('T1 MET'!G39,$D$121)=0,ROUND('T1 MET'!G16,$D$121)=0,TRUE)</f>
        <v>1</v>
      </c>
      <c r="J121" s="183" t="b">
        <f>IF(ROUND('T1 MET'!H39,$D$121)=0,ROUND('T1 MET'!H16,$D$121)=0,TRUE)</f>
        <v>1</v>
      </c>
      <c r="K121" s="183" t="b">
        <f>IF(ROUND('T1 MET'!I39,$D$121)=0,ROUND('T1 MET'!I16,$D$121)=0,TRUE)</f>
        <v>1</v>
      </c>
      <c r="L121" s="183" t="b">
        <f>IF(ROUND('T1 MET'!J39,$D$121)=0,ROUND('T1 MET'!J16,$D$121)=0,TRUE)</f>
        <v>1</v>
      </c>
      <c r="M121" s="183" t="b">
        <f>IF(ROUND('T1 MET'!K39,$D$121)=0,ROUND('T1 MET'!K16,$D$121)=0,TRUE)</f>
        <v>1</v>
      </c>
      <c r="N121" s="183" t="b">
        <f>IF(ROUND('T1 MET'!L39,$D$121)=0,ROUND('T1 MET'!L16,$D$121)=0,TRUE)</f>
        <v>1</v>
      </c>
      <c r="O121" s="183" t="b">
        <f>IF(ROUND('T1 MET'!M39,$D$121)=0,ROUND('T1 MET'!M16,$D$121)=0,TRUE)</f>
        <v>1</v>
      </c>
      <c r="P121" s="183" t="b">
        <f>IF(ROUND('T1 MET'!N39,$D$121)=0,ROUND('T1 MET'!N16,$D$121)=0,TRUE)</f>
        <v>1</v>
      </c>
      <c r="Q121" s="183" t="b">
        <f>IF(ROUND('T1 MET'!O39,$D$121)=0,ROUND('T1 MET'!O16,$D$121)=0,TRUE)</f>
        <v>1</v>
      </c>
      <c r="R121" s="163"/>
      <c r="S121" s="183" t="b">
        <f>IF(ROUND('T1 MET'!T39,$D$121)=0,ROUND('T1 MET'!T16,$D$121)=0,TRUE)</f>
        <v>1</v>
      </c>
      <c r="T121" s="183" t="b">
        <f>IF(ROUND('T1 MET'!U39,$D$121)=0,ROUND('T1 MET'!U16,$D$121)=0,TRUE)</f>
        <v>1</v>
      </c>
    </row>
    <row r="122" spans="1:20" s="206" customFormat="1" ht="15" customHeight="1" outlineLevel="1">
      <c r="A122" s="185"/>
      <c r="B122" s="186"/>
      <c r="C122" s="187" t="s">
        <v>89</v>
      </c>
      <c r="D122" s="191"/>
      <c r="E122" s="878">
        <f>ROUND('T1 MET'!C39,$D$121)</f>
        <v>0</v>
      </c>
      <c r="F122" s="878">
        <f>ROUND('T1 MET'!D39,$D$121)</f>
        <v>0</v>
      </c>
      <c r="G122" s="878">
        <f>ROUND('T1 MET'!E39,$D$121)</f>
        <v>0</v>
      </c>
      <c r="H122" s="878">
        <f>ROUND('T1 MET'!F39,$D$121)</f>
        <v>39505</v>
      </c>
      <c r="I122" s="878">
        <f>ROUND('T1 MET'!G39,$D$121)</f>
        <v>39505</v>
      </c>
      <c r="J122" s="878">
        <f>ROUND('T1 MET'!H39,$D$121)</f>
        <v>39505</v>
      </c>
      <c r="K122" s="878">
        <f>ROUND('T1 MET'!I39,$D$121)</f>
        <v>39505</v>
      </c>
      <c r="L122" s="878">
        <f>ROUND('T1 MET'!J39,$D$121)</f>
        <v>39505</v>
      </c>
      <c r="M122" s="878">
        <f>ROUND('T1 MET'!K39,$D$121)</f>
        <v>37554.786999999997</v>
      </c>
      <c r="N122" s="878">
        <f>ROUND('T1 MET'!L39,$D$121)</f>
        <v>37554.786999999997</v>
      </c>
      <c r="O122" s="878">
        <f>ROUND('T1 MET'!M39,$D$121)</f>
        <v>37554.786999999997</v>
      </c>
      <c r="P122" s="878">
        <f>ROUND('T1 MET'!N39,$D$121)</f>
        <v>76654.933999999994</v>
      </c>
      <c r="Q122" s="878">
        <f>ROUND('T1 MET'!O39,$D$121)</f>
        <v>80280.373000000007</v>
      </c>
      <c r="R122" s="163"/>
      <c r="S122" s="878">
        <f>ROUND('T1 MET'!T39,$D$121)</f>
        <v>46394.733999999997</v>
      </c>
      <c r="T122" s="878">
        <f>ROUND('T1 MET'!U39,$D$121)</f>
        <v>48900</v>
      </c>
    </row>
    <row r="123" spans="1:20" s="206" customFormat="1" ht="15" customHeight="1" outlineLevel="1">
      <c r="A123" s="185"/>
      <c r="B123" s="186"/>
      <c r="C123" s="187" t="s">
        <v>92</v>
      </c>
      <c r="D123" s="191"/>
      <c r="E123" s="878">
        <f>ROUND('T1 MET'!C16,$D$121)</f>
        <v>0</v>
      </c>
      <c r="F123" s="878">
        <f>ROUND('T1 MET'!D16,$D$121)</f>
        <v>0</v>
      </c>
      <c r="G123" s="878">
        <f>ROUND('T1 MET'!E16,$D$121)</f>
        <v>0</v>
      </c>
      <c r="H123" s="878">
        <f>ROUND('T1 MET'!F16,$D$121)</f>
        <v>2088</v>
      </c>
      <c r="I123" s="878">
        <f>ROUND('T1 MET'!G16,$D$121)</f>
        <v>2088</v>
      </c>
      <c r="J123" s="878">
        <f>ROUND('T1 MET'!H16,$D$121)</f>
        <v>2088</v>
      </c>
      <c r="K123" s="878">
        <f>ROUND('T1 MET'!I16,$D$121)</f>
        <v>2088</v>
      </c>
      <c r="L123" s="878">
        <f>ROUND('T1 MET'!J16,$D$121)</f>
        <v>2088</v>
      </c>
      <c r="M123" s="878">
        <f>ROUND('T1 MET'!K16,$D$121)</f>
        <v>1984.923</v>
      </c>
      <c r="N123" s="878">
        <f>ROUND('T1 MET'!L16,$D$121)</f>
        <v>1984.923</v>
      </c>
      <c r="O123" s="878">
        <f>ROUND('T1 MET'!M16,$D$121)</f>
        <v>1984.923</v>
      </c>
      <c r="P123" s="878">
        <f>ROUND('T1 MET'!N16,$D$121)</f>
        <v>3334.49</v>
      </c>
      <c r="Q123" s="878">
        <f>ROUND('T1 MET'!O16,$D$121)</f>
        <v>3492.1959999999999</v>
      </c>
      <c r="R123" s="163"/>
      <c r="S123" s="878">
        <f>ROUND('T1 MET'!T16,$D$121)</f>
        <v>1984.923</v>
      </c>
      <c r="T123" s="878">
        <f>ROUND('T1 MET'!U16,$D$121)</f>
        <v>2591.6999999999998</v>
      </c>
    </row>
    <row r="124" spans="1:20" s="184" customFormat="1" ht="15" customHeight="1">
      <c r="A124" s="179" t="s">
        <v>93</v>
      </c>
      <c r="B124" s="879" t="s">
        <v>94</v>
      </c>
      <c r="C124" s="880" t="s">
        <v>95</v>
      </c>
      <c r="D124" s="881">
        <v>3</v>
      </c>
      <c r="M124" s="183" t="b">
        <f>IF('T1 MET'!K15=0,"N/A",ROUND('T1 MET'!K50,$D$124)=ROUND('T1 MET'!K15,$D$124))</f>
        <v>0</v>
      </c>
      <c r="N124" s="183" t="b">
        <f>IF('T1 MET'!L15=0,"N/A",ROUND('T1 MET'!L50,$D$124)=ROUND('T1 MET'!L15,$D$124))</f>
        <v>0</v>
      </c>
      <c r="O124" s="183" t="b">
        <f>IF('T1 MET'!M15=0,"N/A",ROUND('T1 MET'!M50,$D$124)=ROUND('T1 MET'!M15,$D$124))</f>
        <v>0</v>
      </c>
      <c r="P124" s="183" t="b">
        <f>IF('T1 MET'!N15=0,"N/A",ROUND('T1 MET'!N50,$D$124)=ROUND('T1 MET'!N15,$D$124))</f>
        <v>0</v>
      </c>
      <c r="Q124" s="183" t="b">
        <f>IF('T1 MET'!O15=0,"N/A",ROUND('T1 MET'!O50,$D$124)=ROUND('T1 MET'!O15,$D$124))</f>
        <v>0</v>
      </c>
      <c r="R124" s="163"/>
      <c r="S124" s="183" t="b">
        <f>IF('T1 MET'!T15=0,"N/A",ROUND('T1 MET'!T50,$D$124)=ROUND('T1 MET'!T15,$D$124))</f>
        <v>0</v>
      </c>
      <c r="T124" s="183" t="b">
        <f>IF('T1 MET'!U15=0,"N/A",ROUND('T1 MET'!U50,$D$124)=ROUND('T1 MET'!U15,$D$124))</f>
        <v>0</v>
      </c>
    </row>
    <row r="125" spans="1:20" s="190" customFormat="1" ht="15" customHeight="1" outlineLevel="1">
      <c r="A125" s="185"/>
      <c r="B125" s="882"/>
      <c r="C125" s="883" t="s">
        <v>96</v>
      </c>
      <c r="D125" s="884"/>
      <c r="E125" s="184"/>
      <c r="F125" s="184"/>
      <c r="G125" s="184"/>
      <c r="H125" s="184"/>
      <c r="I125" s="184"/>
      <c r="M125" s="887">
        <f>IF('T1 MET'!K15=0,"N/A",ROUND('T1 MET'!K50,$D$124))</f>
        <v>0</v>
      </c>
      <c r="N125" s="887">
        <f>IF('T1 MET'!L15=0,"N/A",ROUND('T1 MET'!L50,$D$124))</f>
        <v>0</v>
      </c>
      <c r="O125" s="887">
        <f>IF('T1 MET'!M15=0,"N/A",ROUND('T1 MET'!M50,$D$124))</f>
        <v>0</v>
      </c>
      <c r="P125" s="887">
        <f>IF('T1 MET'!N15=0,"N/A",ROUND('T1 MET'!N50,$D$124))</f>
        <v>0</v>
      </c>
      <c r="Q125" s="887">
        <f>IF('T1 MET'!O15=0,"N/A",ROUND('T1 MET'!O50,$D$124))</f>
        <v>0</v>
      </c>
      <c r="R125" s="163"/>
      <c r="S125" s="887">
        <f>IF('T1 MET'!T15=0,"N/A",ROUND('T1 MET'!T50,$D$124))</f>
        <v>0</v>
      </c>
      <c r="T125" s="887">
        <f>IF('T1 MET'!U15=0,"N/A",ROUND('T1 MET'!U50,$D$124))</f>
        <v>0</v>
      </c>
    </row>
    <row r="126" spans="1:20" s="190" customFormat="1" ht="15" customHeight="1" outlineLevel="1">
      <c r="A126" s="185"/>
      <c r="B126" s="882"/>
      <c r="C126" s="883" t="s">
        <v>97</v>
      </c>
      <c r="D126" s="884"/>
      <c r="E126" s="184"/>
      <c r="F126" s="184"/>
      <c r="G126" s="184"/>
      <c r="H126" s="184"/>
      <c r="I126" s="184"/>
      <c r="M126" s="887">
        <f>IF('T1 MET'!K15=0,"N/A",ROUND('T1 MET'!K15,$D$124))</f>
        <v>4000</v>
      </c>
      <c r="N126" s="887">
        <f>IF('T1 MET'!L15=0,"N/A",ROUND('T1 MET'!L15,$D$124))</f>
        <v>4000</v>
      </c>
      <c r="O126" s="887">
        <f>IF('T1 MET'!M15=0,"N/A",ROUND('T1 MET'!M15,$D$124))</f>
        <v>5116</v>
      </c>
      <c r="P126" s="887">
        <f>IF('T1 MET'!N15=0,"N/A",ROUND('T1 MET'!N15,$D$124))</f>
        <v>3578.0520000000001</v>
      </c>
      <c r="Q126" s="887">
        <f>IF('T1 MET'!O15=0,"N/A",ROUND('T1 MET'!O15,$D$124))</f>
        <v>6558.5839999999998</v>
      </c>
      <c r="R126" s="163"/>
      <c r="S126" s="887">
        <f>IF('T1 MET'!T15=0,"N/A",ROUND('T1 MET'!T15,$D$124))</f>
        <v>4000</v>
      </c>
      <c r="T126" s="887">
        <f>IF('T1 MET'!U15=0,"N/A",ROUND('T1 MET'!U15,$D$124))</f>
        <v>2498.8409999999999</v>
      </c>
    </row>
    <row r="127" spans="1:20" s="184" customFormat="1" ht="15" customHeight="1">
      <c r="A127" s="179" t="s">
        <v>98</v>
      </c>
      <c r="B127" s="879" t="s">
        <v>99</v>
      </c>
      <c r="C127" s="880" t="s">
        <v>100</v>
      </c>
      <c r="D127" s="881">
        <v>3</v>
      </c>
      <c r="M127" s="183" t="b">
        <f>IF('T1 MET'!K16=0,"N/A",ROUND('T1 MET'!K51,$D$127)=ROUND('T1 MET'!K36*'T1 MET'!K41,$D$127))</f>
        <v>0</v>
      </c>
      <c r="N127" s="183" t="b">
        <f>IF('T1 MET'!L16=0,"N/A",ROUND('T1 MET'!L51,$D$127)=ROUND('T1 MET'!L36*'T1 MET'!L41,$D$127))</f>
        <v>0</v>
      </c>
      <c r="O127" s="183" t="b">
        <f>IF('T1 MET'!M16=0,"N/A",ROUND('T1 MET'!M51,$D$127)=ROUND('T1 MET'!M36*'T1 MET'!M41,$D$127))</f>
        <v>0</v>
      </c>
      <c r="P127" s="183" t="b">
        <f>IF('T1 MET'!N16=0,"N/A",ROUND('T1 MET'!N51,$D$127)=ROUND('T1 MET'!N36*'T1 MET'!N41,$D$127))</f>
        <v>0</v>
      </c>
      <c r="Q127" s="183" t="b">
        <f>IF('T1 MET'!O16=0,"N/A",ROUND('T1 MET'!O51,$D$127)=ROUND('T1 MET'!O36*'T1 MET'!O41,$D$127))</f>
        <v>0</v>
      </c>
      <c r="R127" s="163"/>
      <c r="S127" s="183" t="b">
        <f>IF('T1 MET'!T16=0,"N/A",ROUND('T1 MET'!T51,$D$127)=ROUND('T1 MET'!T36*'T1 MET'!T41,$D$127))</f>
        <v>0</v>
      </c>
      <c r="T127" s="183" t="b">
        <f>IF('T1 MET'!U16=0,"N/A",ROUND('T1 MET'!U51,$D$127)=ROUND('T1 MET'!U36*'T1 MET'!U41,$D$127))</f>
        <v>0</v>
      </c>
    </row>
    <row r="128" spans="1:20" s="190" customFormat="1" ht="15" customHeight="1" outlineLevel="1">
      <c r="A128" s="185"/>
      <c r="B128" s="882"/>
      <c r="C128" s="883" t="s">
        <v>101</v>
      </c>
      <c r="D128" s="884"/>
      <c r="E128" s="184"/>
      <c r="F128" s="184"/>
      <c r="G128" s="184"/>
      <c r="H128" s="184"/>
      <c r="I128" s="184"/>
      <c r="M128" s="887">
        <f>IF('T1 MET'!K16=0,"N/A",ROUND('T1 MET'!K51,$D$127))</f>
        <v>0</v>
      </c>
      <c r="N128" s="887">
        <f>IF('T1 MET'!L16=0,"N/A",ROUND('T1 MET'!L51,$D$127))</f>
        <v>0</v>
      </c>
      <c r="O128" s="887">
        <f>IF('T1 MET'!M16=0,"N/A",ROUND('T1 MET'!M51,$D$127))</f>
        <v>0</v>
      </c>
      <c r="P128" s="887">
        <f>IF('T1 MET'!N16=0,"N/A",ROUND('T1 MET'!N51,$D$127))</f>
        <v>0</v>
      </c>
      <c r="Q128" s="887">
        <f>IF('T1 MET'!O16=0,"N/A",ROUND('T1 MET'!O51,$D$127))</f>
        <v>0</v>
      </c>
      <c r="R128" s="163"/>
      <c r="S128" s="887">
        <f>IF('T1 MET'!T16=0,"N/A",ROUND('T1 MET'!T51,$D$127))</f>
        <v>0</v>
      </c>
      <c r="T128" s="887">
        <f>IF('T1 MET'!U16=0,"N/A",ROUND('T1 MET'!U51,$D$127))</f>
        <v>0</v>
      </c>
    </row>
    <row r="129" spans="1:20" s="190" customFormat="1" ht="15" customHeight="1" outlineLevel="1">
      <c r="A129" s="185"/>
      <c r="B129" s="882"/>
      <c r="C129" s="883" t="s">
        <v>102</v>
      </c>
      <c r="D129" s="884"/>
      <c r="E129" s="184"/>
      <c r="F129" s="184"/>
      <c r="G129" s="184"/>
      <c r="H129" s="184"/>
      <c r="I129" s="184"/>
      <c r="M129" s="887">
        <f>IF('T1 MET'!K16=0,"N/A",ROUND('T1 MET'!K36*'T1 MET'!K41,$D$127))</f>
        <v>1984.923</v>
      </c>
      <c r="N129" s="887">
        <f>IF('T1 MET'!L16=0,"N/A",ROUND('T1 MET'!L36*'T1 MET'!L41,$D$127))</f>
        <v>1984.923</v>
      </c>
      <c r="O129" s="887">
        <f>IF('T1 MET'!M16=0,"N/A",ROUND('T1 MET'!M36*'T1 MET'!M41,$D$127))</f>
        <v>1984.923</v>
      </c>
      <c r="P129" s="887">
        <f>IF('T1 MET'!N16=0,"N/A",ROUND('T1 MET'!N36*'T1 MET'!N41,$D$127))</f>
        <v>3334.49</v>
      </c>
      <c r="Q129" s="887">
        <f>IF('T1 MET'!O16=0,"N/A",ROUND('T1 MET'!O36*'T1 MET'!O41,$D$127))</f>
        <v>3492.1959999999999</v>
      </c>
      <c r="R129" s="163"/>
      <c r="S129" s="887">
        <f>IF('T1 MET'!T16=0,"N/A",ROUND('T1 MET'!T36*'T1 MET'!T41,$D$127))</f>
        <v>1984.923</v>
      </c>
      <c r="T129" s="887">
        <f>IF('T1 MET'!U16=0,"N/A",ROUND('T1 MET'!U36*'T1 MET'!U41,$D$127))</f>
        <v>2591.6999999999998</v>
      </c>
    </row>
    <row r="130" spans="1:20" s="194" customFormat="1" ht="18.75">
      <c r="A130" s="173" t="s">
        <v>13</v>
      </c>
      <c r="B130" s="174" t="s">
        <v>14</v>
      </c>
      <c r="C130" s="175" t="s">
        <v>107</v>
      </c>
      <c r="D130" s="192"/>
      <c r="E130" s="193"/>
      <c r="F130" s="193"/>
      <c r="G130" s="193"/>
      <c r="H130" s="193"/>
      <c r="I130" s="193"/>
      <c r="J130" s="193"/>
      <c r="K130" s="193"/>
      <c r="L130" s="193"/>
      <c r="M130" s="193"/>
      <c r="N130" s="193"/>
      <c r="O130" s="193"/>
      <c r="P130" s="193"/>
      <c r="Q130" s="193"/>
      <c r="R130" s="163"/>
      <c r="S130" s="193"/>
      <c r="T130" s="193"/>
    </row>
    <row r="131" spans="1:20" s="184" customFormat="1" ht="15" customHeight="1">
      <c r="A131" s="179" t="s">
        <v>21</v>
      </c>
      <c r="B131" s="180" t="s">
        <v>22</v>
      </c>
      <c r="C131" s="181" t="s">
        <v>108</v>
      </c>
      <c r="D131" s="182">
        <v>3</v>
      </c>
      <c r="E131" s="183" t="b">
        <f>ROUND('T1 NSA'!C18,$D$131)=ROUND(SUM('T1 NSA'!C14:C17)+'T1 NSA'!C12,$D$131)</f>
        <v>1</v>
      </c>
      <c r="F131" s="183" t="b">
        <f>ROUND('T1 NSA'!D18,$D$131)=ROUND(SUM('T1 NSA'!D14:D17)+'T1 NSA'!D12,$D$131)</f>
        <v>1</v>
      </c>
      <c r="G131" s="183" t="b">
        <f>ROUND('T1 NSA'!E18,$D$131)=ROUND(SUM('T1 NSA'!E14:E17)+'T1 NSA'!E12,$D$131)</f>
        <v>1</v>
      </c>
      <c r="H131" s="183" t="b">
        <f>ROUND('T1 NSA'!F18,$D$131)=ROUND(SUM('T1 NSA'!F14:F17)+'T1 NSA'!F12,$D$131)</f>
        <v>1</v>
      </c>
      <c r="I131" s="183" t="b">
        <f>ROUND('T1 NSA'!G18,$D$131)=ROUND(SUM('T1 NSA'!G14:G17)+'T1 NSA'!G12,$D$131)</f>
        <v>1</v>
      </c>
      <c r="J131" s="183" t="b">
        <f>ROUND('T1 NSA'!H18,$D$131)=ROUND(SUM('T1 NSA'!H14:H17)+'T1 NSA'!H12,$D$131)</f>
        <v>1</v>
      </c>
      <c r="K131" s="183" t="b">
        <f>ROUND('T1 NSA'!I18,$D$131)=ROUND(SUM('T1 NSA'!I14:I17)+'T1 NSA'!I12,$D$131)</f>
        <v>1</v>
      </c>
      <c r="L131" s="183" t="b">
        <f>ROUND('T1 NSA'!J18,$D$131)=ROUND(SUM('T1 NSA'!J14:J17)+'T1 NSA'!J12,$D$131)</f>
        <v>1</v>
      </c>
      <c r="M131" s="183" t="b">
        <f>ROUND('T1 NSA'!K18,$D$131)=ROUND(SUM('T1 NSA'!K14:K17)+'T1 NSA'!K12,$D$131)</f>
        <v>1</v>
      </c>
      <c r="N131" s="183" t="b">
        <f>ROUND('T1 NSA'!L18,$D$131)=ROUND(SUM('T1 NSA'!L14:L17)+'T1 NSA'!L12,$D$131)</f>
        <v>1</v>
      </c>
      <c r="O131" s="183" t="b">
        <f>ROUND('T1 NSA'!M18,$D$131)=ROUND(SUM('T1 NSA'!M14:M17)+'T1 NSA'!M12,$D$131)</f>
        <v>1</v>
      </c>
      <c r="P131" s="183" t="b">
        <f>ROUND('T1 NSA'!N18,$D$131)=ROUND(SUM('T1 NSA'!N14:N17)+'T1 NSA'!N12,$D$131)</f>
        <v>1</v>
      </c>
      <c r="Q131" s="183" t="b">
        <f>ROUND('T1 NSA'!O18,$D$131)=ROUND(SUM('T1 NSA'!O14:O17)+'T1 NSA'!O12,$D$131)</f>
        <v>1</v>
      </c>
      <c r="R131" s="163"/>
      <c r="S131" s="183" t="b">
        <f>ROUND('T1 NSA'!T18,$D$131)=ROUND(SUM('T1 NSA'!T14:T17)+'T1 NSA'!T12,$D$131)</f>
        <v>1</v>
      </c>
      <c r="T131" s="183" t="b">
        <f>ROUND('T1 NSA'!U18,$D$131)=ROUND(SUM('T1 NSA'!U14:U17)+'T1 NSA'!U12,$D$131)</f>
        <v>1</v>
      </c>
    </row>
    <row r="132" spans="1:20" s="190" customFormat="1" ht="15" customHeight="1" outlineLevel="1">
      <c r="A132" s="185"/>
      <c r="B132" s="186"/>
      <c r="C132" s="187" t="s">
        <v>24</v>
      </c>
      <c r="D132" s="191"/>
      <c r="E132" s="878">
        <f>ROUND('T1 NSA'!C18,$D$131)</f>
        <v>56918</v>
      </c>
      <c r="F132" s="878">
        <f>ROUND('T1 NSA'!D18,$D$131)</f>
        <v>60137</v>
      </c>
      <c r="G132" s="878">
        <f>ROUND('T1 NSA'!E18,$D$131)</f>
        <v>58351.838000000003</v>
      </c>
      <c r="H132" s="878">
        <f>ROUND('T1 NSA'!F18,$D$131)</f>
        <v>55858.411999999997</v>
      </c>
      <c r="I132" s="878">
        <f>ROUND('T1 NSA'!G18,$D$131)</f>
        <v>61348.08</v>
      </c>
      <c r="J132" s="878">
        <f>ROUND('T1 NSA'!H18,$D$131)</f>
        <v>66282.816000000006</v>
      </c>
      <c r="K132" s="878">
        <f>ROUND('T1 NSA'!I18,$D$131)</f>
        <v>64282.502999999997</v>
      </c>
      <c r="L132" s="878">
        <f>ROUND('T1 NSA'!J18,$D$131)</f>
        <v>62707.05</v>
      </c>
      <c r="M132" s="878">
        <f>ROUND('T1 NSA'!K18,$D$131)</f>
        <v>69525.566999999995</v>
      </c>
      <c r="N132" s="878">
        <f>ROUND('T1 NSA'!L18,$D$131)</f>
        <v>70562.278000000006</v>
      </c>
      <c r="O132" s="878">
        <f>ROUND('T1 NSA'!M18,$D$131)</f>
        <v>70564.365999999995</v>
      </c>
      <c r="P132" s="878">
        <f>ROUND('T1 NSA'!N18,$D$131)</f>
        <v>76714.453999999998</v>
      </c>
      <c r="Q132" s="878">
        <f>ROUND('T1 NSA'!O18,$D$131)</f>
        <v>76912.335999999996</v>
      </c>
      <c r="R132" s="163"/>
      <c r="S132" s="878">
        <f>ROUND('T1 NSA'!T18,$D$131)</f>
        <v>62005.930999999997</v>
      </c>
      <c r="T132" s="878">
        <f>ROUND('T1 NSA'!U18,$D$131)</f>
        <v>63953.277999999998</v>
      </c>
    </row>
    <row r="133" spans="1:20" s="190" customFormat="1" ht="15" customHeight="1" outlineLevel="1">
      <c r="A133" s="185"/>
      <c r="B133" s="186"/>
      <c r="C133" s="187" t="s">
        <v>25</v>
      </c>
      <c r="D133" s="191"/>
      <c r="E133" s="878">
        <f>ROUND(SUM('T1 NSA'!C14:C17)+'T1 NSA'!C12,$D$131)</f>
        <v>56918</v>
      </c>
      <c r="F133" s="878">
        <f>ROUND(SUM('T1 NSA'!D14:D17)+'T1 NSA'!D12,$D$131)</f>
        <v>60137</v>
      </c>
      <c r="G133" s="878">
        <f>ROUND(SUM('T1 NSA'!E14:E17)+'T1 NSA'!E12,$D$131)</f>
        <v>58351.838000000003</v>
      </c>
      <c r="H133" s="878">
        <f>ROUND(SUM('T1 NSA'!F14:F17)+'T1 NSA'!F12,$D$131)</f>
        <v>55858.411999999997</v>
      </c>
      <c r="I133" s="878">
        <f>ROUND(SUM('T1 NSA'!G14:G17)+'T1 NSA'!G12,$D$131)</f>
        <v>61348.08</v>
      </c>
      <c r="J133" s="878">
        <f>ROUND(SUM('T1 NSA'!H14:H17)+'T1 NSA'!H12,$D$131)</f>
        <v>66282.816000000006</v>
      </c>
      <c r="K133" s="878">
        <f>ROUND(SUM('T1 NSA'!I14:I17)+'T1 NSA'!I12,$D$131)</f>
        <v>64282.502999999997</v>
      </c>
      <c r="L133" s="878">
        <f>ROUND(SUM('T1 NSA'!J14:J17)+'T1 NSA'!J12,$D$131)</f>
        <v>62707.05</v>
      </c>
      <c r="M133" s="878">
        <f>ROUND(SUM('T1 NSA'!K14:K17)+'T1 NSA'!K12,$D$131)</f>
        <v>69525.566999999995</v>
      </c>
      <c r="N133" s="878">
        <f>ROUND(SUM('T1 NSA'!L14:L17)+'T1 NSA'!L12,$D$131)</f>
        <v>70562.278000000006</v>
      </c>
      <c r="O133" s="878">
        <f>ROUND(SUM('T1 NSA'!M14:M17)+'T1 NSA'!M12,$D$131)</f>
        <v>70564.365999999995</v>
      </c>
      <c r="P133" s="878">
        <f>ROUND(SUM('T1 NSA'!N14:N17)+'T1 NSA'!N12,$D$131)</f>
        <v>76714.453999999998</v>
      </c>
      <c r="Q133" s="878">
        <f>ROUND(SUM('T1 NSA'!O14:O17)+'T1 NSA'!O12,$D$131)</f>
        <v>76912.335999999996</v>
      </c>
      <c r="R133" s="163"/>
      <c r="S133" s="878">
        <f>ROUND(SUM('T1 NSA'!T14:T17)+'T1 NSA'!T12,$D$131)</f>
        <v>62005.930999999997</v>
      </c>
      <c r="T133" s="878">
        <f>ROUND(SUM('T1 NSA'!U14:U17)+'T1 NSA'!U12,$D$131)</f>
        <v>63953.277999999998</v>
      </c>
    </row>
    <row r="134" spans="1:20" s="184" customFormat="1" ht="15" customHeight="1">
      <c r="A134" s="179" t="s">
        <v>26</v>
      </c>
      <c r="B134" s="180" t="s">
        <v>27</v>
      </c>
      <c r="C134" s="181" t="s">
        <v>28</v>
      </c>
      <c r="D134" s="182">
        <v>3</v>
      </c>
      <c r="E134" s="183" t="b">
        <f>ROUND('T1 NSA'!C31,$D$134)=ROUND(SUM('T1 NSA'!C22:C30),$D$134)</f>
        <v>1</v>
      </c>
      <c r="F134" s="183" t="b">
        <f>ROUND('T1 NSA'!D31,$D$134)=ROUND(SUM('T1 NSA'!D22:D30),$D$134)</f>
        <v>1</v>
      </c>
      <c r="G134" s="183" t="b">
        <f>ROUND('T1 NSA'!E31,$D$134)=ROUND(SUM('T1 NSA'!E22:E30),$D$134)</f>
        <v>1</v>
      </c>
      <c r="H134" s="183" t="b">
        <f>ROUND('T1 NSA'!F31,$D$134)=ROUND(SUM('T1 NSA'!F22:F30),$D$134)</f>
        <v>1</v>
      </c>
      <c r="I134" s="183" t="b">
        <f>ROUND('T1 NSA'!G31,$D$134)=ROUND(SUM('T1 NSA'!G22:G30),$D$134)</f>
        <v>1</v>
      </c>
      <c r="J134" s="183" t="b">
        <f>ROUND('T1 NSA'!H31,$D$134)=ROUND(SUM('T1 NSA'!H22:H30),$D$134)</f>
        <v>1</v>
      </c>
      <c r="K134" s="183" t="b">
        <f>ROUND('T1 NSA'!I31,$D$134)=ROUND(SUM('T1 NSA'!I22:I30),$D$134)</f>
        <v>1</v>
      </c>
      <c r="L134" s="183" t="b">
        <f>ROUND('T1 NSA'!J31,$D$134)=ROUND(SUM('T1 NSA'!J22:J30),$D$134)</f>
        <v>1</v>
      </c>
      <c r="M134" s="183" t="b">
        <f>ROUND('T1 NSA'!K31,$D$134)=ROUND(SUM('T1 NSA'!K22:K30),$D$134)</f>
        <v>1</v>
      </c>
      <c r="N134" s="183" t="b">
        <f>ROUND('T1 NSA'!L31,$D$134)=ROUND(SUM('T1 NSA'!L22:L30),$D$134)</f>
        <v>1</v>
      </c>
      <c r="O134" s="183" t="b">
        <f>ROUND('T1 NSA'!M31,$D$134)=ROUND(SUM('T1 NSA'!M22:M30),$D$134)</f>
        <v>1</v>
      </c>
      <c r="P134" s="183" t="b">
        <f>ROUND('T1 NSA'!N31,$D$134)=ROUND(SUM('T1 NSA'!N22:N30),$D$134)</f>
        <v>1</v>
      </c>
      <c r="Q134" s="183" t="b">
        <f>ROUND('T1 NSA'!O31,$D$134)=ROUND(SUM('T1 NSA'!O22:O30),$D$134)</f>
        <v>1</v>
      </c>
      <c r="R134" s="163"/>
      <c r="S134" s="183" t="b">
        <f>ROUND('T1 NSA'!T31,$D$134)=ROUND(SUM('T1 NSA'!T22:T30),$D$134)</f>
        <v>1</v>
      </c>
      <c r="T134" s="183" t="b">
        <f>ROUND('T1 NSA'!U31,$D$134)=ROUND(SUM('T1 NSA'!U22:U30),$D$134)</f>
        <v>1</v>
      </c>
    </row>
    <row r="135" spans="1:20" s="190" customFormat="1" ht="15" customHeight="1" outlineLevel="1">
      <c r="A135" s="185"/>
      <c r="B135" s="186"/>
      <c r="C135" s="187" t="s">
        <v>29</v>
      </c>
      <c r="D135" s="191"/>
      <c r="E135" s="878">
        <f>ROUND('T1 NSA'!C31,$D$134)</f>
        <v>56918</v>
      </c>
      <c r="F135" s="878">
        <f>ROUND('T1 NSA'!D31,$D$134)</f>
        <v>60137</v>
      </c>
      <c r="G135" s="878">
        <f>ROUND('T1 NSA'!E31,$D$134)</f>
        <v>58351.838000000003</v>
      </c>
      <c r="H135" s="878">
        <f>ROUND('T1 NSA'!F31,$D$134)</f>
        <v>55858.411999999997</v>
      </c>
      <c r="I135" s="878">
        <f>ROUND('T1 NSA'!G31,$D$134)</f>
        <v>61348.08</v>
      </c>
      <c r="J135" s="878">
        <f>ROUND('T1 NSA'!H31,$D$134)</f>
        <v>66282.816000000006</v>
      </c>
      <c r="K135" s="878">
        <f>ROUND('T1 NSA'!I31,$D$134)</f>
        <v>64282.502999999997</v>
      </c>
      <c r="L135" s="878">
        <f>ROUND('T1 NSA'!J31,$D$134)</f>
        <v>62707.05</v>
      </c>
      <c r="M135" s="878">
        <f>ROUND('T1 NSA'!K31,$D$134)</f>
        <v>69525.566999999995</v>
      </c>
      <c r="N135" s="878">
        <f>ROUND('T1 NSA'!L31,$D$134)</f>
        <v>70562.278000000006</v>
      </c>
      <c r="O135" s="878">
        <f>ROUND('T1 NSA'!M31,$D$134)</f>
        <v>70564.365999999995</v>
      </c>
      <c r="P135" s="878">
        <f>ROUND('T1 NSA'!N31,$D$134)</f>
        <v>76714.453999999998</v>
      </c>
      <c r="Q135" s="878">
        <f>ROUND('T1 NSA'!O31,$D$134)</f>
        <v>76912.335999999996</v>
      </c>
      <c r="R135" s="163"/>
      <c r="S135" s="878">
        <f>ROUND('T1 NSA'!T31,$D$134)</f>
        <v>62005.930999999997</v>
      </c>
      <c r="T135" s="878">
        <f>ROUND('T1 NSA'!U31,$D$134)</f>
        <v>63953.277999999998</v>
      </c>
    </row>
    <row r="136" spans="1:20" s="190" customFormat="1" ht="15" customHeight="1" outlineLevel="1">
      <c r="A136" s="185"/>
      <c r="B136" s="186"/>
      <c r="C136" s="187" t="s">
        <v>30</v>
      </c>
      <c r="D136" s="191"/>
      <c r="E136" s="878">
        <f>ROUND(SUM('T1 NSA'!C22:C30),$D$134)</f>
        <v>56918</v>
      </c>
      <c r="F136" s="878">
        <f>ROUND(SUM('T1 NSA'!D22:D30),$D$134)</f>
        <v>60137</v>
      </c>
      <c r="G136" s="878">
        <f>ROUND(SUM('T1 NSA'!E22:E30),$D$134)</f>
        <v>58351.838000000003</v>
      </c>
      <c r="H136" s="878">
        <f>ROUND(SUM('T1 NSA'!F22:F30),$D$134)</f>
        <v>55858.411999999997</v>
      </c>
      <c r="I136" s="878">
        <f>ROUND(SUM('T1 NSA'!G22:G30),$D$134)</f>
        <v>61348.08</v>
      </c>
      <c r="J136" s="878">
        <f>ROUND(SUM('T1 NSA'!H22:H30),$D$134)</f>
        <v>66282.816000000006</v>
      </c>
      <c r="K136" s="878">
        <f>ROUND(SUM('T1 NSA'!I22:I30),$D$134)</f>
        <v>64282.502999999997</v>
      </c>
      <c r="L136" s="878">
        <f>ROUND(SUM('T1 NSA'!J22:J30),$D$134)</f>
        <v>62707.05</v>
      </c>
      <c r="M136" s="878">
        <f>ROUND(SUM('T1 NSA'!K22:K30),$D$134)</f>
        <v>69525.566999999995</v>
      </c>
      <c r="N136" s="878">
        <f>ROUND(SUM('T1 NSA'!L22:L30),$D$134)</f>
        <v>70562.278000000006</v>
      </c>
      <c r="O136" s="878">
        <f>ROUND(SUM('T1 NSA'!M22:M30),$D$134)</f>
        <v>70564.365999999995</v>
      </c>
      <c r="P136" s="878">
        <f>ROUND(SUM('T1 NSA'!N22:N30),$D$134)</f>
        <v>76714.453999999998</v>
      </c>
      <c r="Q136" s="878">
        <f>ROUND(SUM('T1 NSA'!O22:O30),$D$134)</f>
        <v>76912.335999999996</v>
      </c>
      <c r="R136" s="163"/>
      <c r="S136" s="878">
        <f>ROUND(SUM('T1 NSA'!T22:T30),$D$134)</f>
        <v>62005.930999999997</v>
      </c>
      <c r="T136" s="878">
        <f>ROUND(SUM('T1 NSA'!U22:U30),$D$134)</f>
        <v>63953.277999999998</v>
      </c>
    </row>
    <row r="137" spans="1:20" s="184" customFormat="1" ht="15" customHeight="1">
      <c r="A137" s="179" t="s">
        <v>31</v>
      </c>
      <c r="B137" s="180" t="s">
        <v>27</v>
      </c>
      <c r="C137" s="181" t="s">
        <v>32</v>
      </c>
      <c r="D137" s="182">
        <v>3</v>
      </c>
      <c r="E137" s="183" t="b">
        <f>ROUND('T1 NSA'!C18,$D$137)=ROUND('T1 NSA'!C31,$D$137)</f>
        <v>1</v>
      </c>
      <c r="F137" s="183" t="b">
        <f>ROUND('T1 NSA'!D18,$D$137)=ROUND('T1 NSA'!D31,$D$137)</f>
        <v>1</v>
      </c>
      <c r="G137" s="183" t="b">
        <f>ROUND('T1 NSA'!E18,$D$137)=ROUND('T1 NSA'!E31,$D$137)</f>
        <v>1</v>
      </c>
      <c r="H137" s="183" t="b">
        <f>ROUND('T1 NSA'!F18,$D$137)=ROUND('T1 NSA'!F31,$D$137)</f>
        <v>1</v>
      </c>
      <c r="I137" s="183" t="b">
        <f>ROUND('T1 NSA'!G18,$D$137)=ROUND('T1 NSA'!G31,$D$137)</f>
        <v>1</v>
      </c>
      <c r="J137" s="183" t="b">
        <f>ROUND('T1 NSA'!H18,$D$137)=ROUND('T1 NSA'!H31,$D$137)</f>
        <v>1</v>
      </c>
      <c r="K137" s="183" t="b">
        <f>ROUND('T1 NSA'!I18,$D$137)=ROUND('T1 NSA'!I31,$D$137)</f>
        <v>1</v>
      </c>
      <c r="L137" s="183" t="b">
        <f>ROUND('T1 NSA'!J18,$D$137)=ROUND('T1 NSA'!J31,$D$137)</f>
        <v>1</v>
      </c>
      <c r="M137" s="183" t="b">
        <f>ROUND('T1 NSA'!K18,$D$137)=ROUND('T1 NSA'!K31,$D$137)</f>
        <v>1</v>
      </c>
      <c r="N137" s="183" t="b">
        <f>ROUND('T1 NSA'!L18,$D$137)=ROUND('T1 NSA'!L31,$D$137)</f>
        <v>1</v>
      </c>
      <c r="O137" s="183" t="b">
        <f>ROUND('T1 NSA'!M18,$D$137)=ROUND('T1 NSA'!M31,$D$137)</f>
        <v>1</v>
      </c>
      <c r="P137" s="183" t="b">
        <f>ROUND('T1 NSA'!N18,$D$137)=ROUND('T1 NSA'!N31,$D$137)</f>
        <v>1</v>
      </c>
      <c r="Q137" s="183" t="b">
        <f>ROUND('T1 NSA'!O18,$D$137)=ROUND('T1 NSA'!O31,$D$137)</f>
        <v>1</v>
      </c>
      <c r="R137" s="163"/>
      <c r="S137" s="183" t="b">
        <f>ROUND('T1 NSA'!T18,$D$137)=ROUND('T1 NSA'!T31,$D$137)</f>
        <v>1</v>
      </c>
      <c r="T137" s="183" t="b">
        <f>ROUND('T1 NSA'!U18,$D$137)=ROUND('T1 NSA'!U31,$D$137)</f>
        <v>1</v>
      </c>
    </row>
    <row r="138" spans="1:20" s="190" customFormat="1" ht="15" customHeight="1" outlineLevel="1">
      <c r="A138" s="185"/>
      <c r="B138" s="186"/>
      <c r="C138" s="187" t="s">
        <v>24</v>
      </c>
      <c r="D138" s="191"/>
      <c r="E138" s="878">
        <f>ROUND('T1 NSA'!C18,$D$137)</f>
        <v>56918</v>
      </c>
      <c r="F138" s="878">
        <f>ROUND('T1 NSA'!D18,$D$137)</f>
        <v>60137</v>
      </c>
      <c r="G138" s="878">
        <f>ROUND('T1 NSA'!E18,$D$137)</f>
        <v>58351.838000000003</v>
      </c>
      <c r="H138" s="878">
        <f>ROUND('T1 NSA'!F18,$D$137)</f>
        <v>55858.411999999997</v>
      </c>
      <c r="I138" s="878">
        <f>ROUND('T1 NSA'!G18,$D$137)</f>
        <v>61348.08</v>
      </c>
      <c r="J138" s="878">
        <f>ROUND('T1 NSA'!H18,$D$137)</f>
        <v>66282.816000000006</v>
      </c>
      <c r="K138" s="878">
        <f>ROUND('T1 NSA'!I18,$D$137)</f>
        <v>64282.502999999997</v>
      </c>
      <c r="L138" s="878">
        <f>ROUND('T1 NSA'!J18,$D$137)</f>
        <v>62707.05</v>
      </c>
      <c r="M138" s="878">
        <f>ROUND('T1 NSA'!K18,$D$137)</f>
        <v>69525.566999999995</v>
      </c>
      <c r="N138" s="878">
        <f>ROUND('T1 NSA'!L18,$D$137)</f>
        <v>70562.278000000006</v>
      </c>
      <c r="O138" s="878">
        <f>ROUND('T1 NSA'!M18,$D$137)</f>
        <v>70564.365999999995</v>
      </c>
      <c r="P138" s="878">
        <f>ROUND('T1 NSA'!N18,$D$137)</f>
        <v>76714.453999999998</v>
      </c>
      <c r="Q138" s="878">
        <f>ROUND('T1 NSA'!O18,$D$137)</f>
        <v>76912.335999999996</v>
      </c>
      <c r="R138" s="163"/>
      <c r="S138" s="878">
        <f>ROUND('T1 NSA'!T18,$D$137)</f>
        <v>62005.930999999997</v>
      </c>
      <c r="T138" s="878">
        <f>ROUND('T1 NSA'!U18,$D$137)</f>
        <v>63953.277999999998</v>
      </c>
    </row>
    <row r="139" spans="1:20" s="190" customFormat="1" ht="15" customHeight="1" outlineLevel="1">
      <c r="A139" s="185"/>
      <c r="B139" s="186"/>
      <c r="C139" s="187" t="s">
        <v>29</v>
      </c>
      <c r="D139" s="191"/>
      <c r="E139" s="878">
        <f>ROUND('T1 NSA'!C31,$D$137)</f>
        <v>56918</v>
      </c>
      <c r="F139" s="878">
        <f>ROUND('T1 NSA'!D31,$D$137)</f>
        <v>60137</v>
      </c>
      <c r="G139" s="878">
        <f>ROUND('T1 NSA'!E31,$D$137)</f>
        <v>58351.838000000003</v>
      </c>
      <c r="H139" s="878">
        <f>ROUND('T1 NSA'!F31,$D$137)</f>
        <v>55858.411999999997</v>
      </c>
      <c r="I139" s="878">
        <f>ROUND('T1 NSA'!G31,$D$137)</f>
        <v>61348.08</v>
      </c>
      <c r="J139" s="878">
        <f>ROUND('T1 NSA'!H31,$D$137)</f>
        <v>66282.816000000006</v>
      </c>
      <c r="K139" s="878">
        <f>ROUND('T1 NSA'!I31,$D$137)</f>
        <v>64282.502999999997</v>
      </c>
      <c r="L139" s="878">
        <f>ROUND('T1 NSA'!J31,$D$137)</f>
        <v>62707.05</v>
      </c>
      <c r="M139" s="878">
        <f>ROUND('T1 NSA'!K31,$D$137)</f>
        <v>69525.566999999995</v>
      </c>
      <c r="N139" s="878">
        <f>ROUND('T1 NSA'!L31,$D$137)</f>
        <v>70562.278000000006</v>
      </c>
      <c r="O139" s="878">
        <f>ROUND('T1 NSA'!M31,$D$137)</f>
        <v>70564.365999999995</v>
      </c>
      <c r="P139" s="878">
        <f>ROUND('T1 NSA'!N31,$D$137)</f>
        <v>76714.453999999998</v>
      </c>
      <c r="Q139" s="878">
        <f>ROUND('T1 NSA'!O31,$D$137)</f>
        <v>76912.335999999996</v>
      </c>
      <c r="R139" s="163"/>
      <c r="S139" s="878">
        <f>ROUND('T1 NSA'!T31,$D$137)</f>
        <v>62005.930999999997</v>
      </c>
      <c r="T139" s="878">
        <f>ROUND('T1 NSA'!U31,$D$137)</f>
        <v>63953.277999999998</v>
      </c>
    </row>
    <row r="140" spans="1:20" s="184" customFormat="1" ht="15" customHeight="1">
      <c r="A140" s="179" t="s">
        <v>109</v>
      </c>
      <c r="B140" s="879" t="s">
        <v>110</v>
      </c>
      <c r="C140" s="906" t="s">
        <v>111</v>
      </c>
      <c r="D140" s="881">
        <v>3</v>
      </c>
      <c r="E140" s="183" t="b">
        <f>ROUND('T1 NSA'!C55,$D$140)&lt;&gt;0</f>
        <v>1</v>
      </c>
      <c r="F140" s="183" t="b">
        <f>ROUND('T1 NSA'!D55,$D$140)&lt;&gt;0</f>
        <v>1</v>
      </c>
      <c r="G140" s="183" t="b">
        <f>ROUND('T1 NSA'!E55,$D$140)&lt;&gt;0</f>
        <v>1</v>
      </c>
      <c r="H140" s="183" t="b">
        <f>ROUND('T1 NSA'!F55,$D$140)&lt;&gt;0</f>
        <v>1</v>
      </c>
      <c r="I140" s="183" t="b">
        <f>ROUND('T1 NSA'!G55,$D$140)&lt;&gt;0</f>
        <v>1</v>
      </c>
      <c r="J140" s="183" t="b">
        <f>ROUND('T1 NSA'!H55,$D$140)&lt;&gt;0</f>
        <v>1</v>
      </c>
      <c r="K140" s="183" t="b">
        <f>ROUND('T1 NSA'!I55,$D$140)&lt;&gt;0</f>
        <v>1</v>
      </c>
      <c r="L140" s="183" t="b">
        <f>ROUND('T1 NSA'!J55,$D$140)&lt;&gt;0</f>
        <v>1</v>
      </c>
      <c r="M140" s="183" t="b">
        <f>ROUND('T1 NSA'!K55,$D$140)&lt;&gt;0</f>
        <v>1</v>
      </c>
      <c r="N140" s="183" t="b">
        <f>ROUND('T1 NSA'!L55,$D$140)&lt;&gt;0</f>
        <v>1</v>
      </c>
      <c r="O140" s="183" t="b">
        <f>ROUND('T1 NSA'!M55,$D$140)&lt;&gt;0</f>
        <v>1</v>
      </c>
      <c r="P140" s="183" t="b">
        <f>ROUND('T1 NSA'!N55,$D$140)&lt;&gt;0</f>
        <v>1</v>
      </c>
      <c r="Q140" s="183" t="b">
        <f>ROUND('T1 NSA'!O55,$D$140)&lt;&gt;0</f>
        <v>1</v>
      </c>
      <c r="R140" s="163"/>
      <c r="S140" s="183" t="b">
        <f>ROUND('T1 NSA'!T55,$D$140)&lt;&gt;0</f>
        <v>1</v>
      </c>
      <c r="T140" s="183" t="b">
        <f>ROUND('T1 NSA'!U55,$D$140)&lt;&gt;0</f>
        <v>1</v>
      </c>
    </row>
    <row r="141" spans="1:20" s="190" customFormat="1" ht="15" customHeight="1" outlineLevel="1">
      <c r="A141" s="185"/>
      <c r="B141" s="882"/>
      <c r="C141" s="907" t="s">
        <v>112</v>
      </c>
      <c r="D141" s="884"/>
      <c r="E141" s="189">
        <f>ROUND('T1 NSA'!C55,$D$140)</f>
        <v>53481.307000000001</v>
      </c>
      <c r="F141" s="189">
        <f>ROUND('T1 NSA'!D55,$D$140)</f>
        <v>55411.639000000003</v>
      </c>
      <c r="G141" s="189">
        <f>ROUND('T1 NSA'!E55,$D$140)</f>
        <v>56546</v>
      </c>
      <c r="H141" s="189">
        <f>ROUND('T1 NSA'!F55,$D$140)</f>
        <v>58338</v>
      </c>
      <c r="I141" s="189">
        <f>ROUND('T1 NSA'!G55,$D$140)</f>
        <v>58852</v>
      </c>
      <c r="J141" s="189">
        <f>ROUND('T1 NSA'!H55,$D$140)</f>
        <v>60816</v>
      </c>
      <c r="K141" s="189">
        <f>ROUND('T1 NSA'!I55,$D$140)</f>
        <v>58204.771000000001</v>
      </c>
      <c r="L141" s="189">
        <f>ROUND('T1 NSA'!J55,$D$140)</f>
        <v>56478.44</v>
      </c>
      <c r="M141" s="189">
        <f>ROUND('T1 NSA'!K55,$D$140)</f>
        <v>58574.82</v>
      </c>
      <c r="N141" s="189">
        <f>ROUND('T1 NSA'!L55,$D$140)</f>
        <v>57777.082999999999</v>
      </c>
      <c r="O141" s="189">
        <f>ROUND('T1 NSA'!M55,$D$140)</f>
        <v>56893.942999999999</v>
      </c>
      <c r="P141" s="189">
        <f>ROUND('T1 NSA'!N55,$D$140)</f>
        <v>58926.684000000001</v>
      </c>
      <c r="Q141" s="189">
        <f>ROUND('T1 NSA'!O55,$D$140)</f>
        <v>59133.66</v>
      </c>
      <c r="R141" s="163"/>
      <c r="S141" s="189">
        <f>ROUND('T1 NSA'!T55,$D$140)</f>
        <v>52518.417999999998</v>
      </c>
      <c r="T141" s="189">
        <f>ROUND('T1 NSA'!U55,$D$140)</f>
        <v>50244.695</v>
      </c>
    </row>
    <row r="142" spans="1:20" s="184" customFormat="1" ht="15" customHeight="1">
      <c r="A142" s="179" t="s">
        <v>113</v>
      </c>
      <c r="B142" s="879" t="s">
        <v>114</v>
      </c>
      <c r="C142" s="913" t="s">
        <v>115</v>
      </c>
      <c r="D142" s="881">
        <v>3</v>
      </c>
      <c r="E142" s="183" t="b">
        <f>ROUND('T1 NSA'!C57,$D$142)=ROUND(IF(OR('T1 NSA'!C56=0,'T1 NSA'!C56=""),'T1 NSA'!C55*1,'T1 NSA'!C55*'T1 NSA'!C56),$D$142)</f>
        <v>1</v>
      </c>
      <c r="F142" s="183" t="b">
        <f>ROUND('T1 NSA'!D57,$D$142)=ROUND(IF(OR('T1 NSA'!D56=0,'T1 NSA'!D56=""),'T1 NSA'!D55*1,'T1 NSA'!D55*'T1 NSA'!D56),$D$142)</f>
        <v>1</v>
      </c>
      <c r="G142" s="183" t="b">
        <f>ROUND('T1 NSA'!E57,$D$142)=ROUND(IF(OR('T1 NSA'!E56=0,'T1 NSA'!E56=""),'T1 NSA'!E55*1,'T1 NSA'!E55*'T1 NSA'!E56),$D$142)</f>
        <v>1</v>
      </c>
      <c r="H142" s="183" t="b">
        <f>ROUND('T1 NSA'!F57,$D$142)=ROUND(IF(OR('T1 NSA'!F56=0,'T1 NSA'!F56=""),'T1 NSA'!F55*1,'T1 NSA'!F55*'T1 NSA'!F56),$D$142)</f>
        <v>1</v>
      </c>
      <c r="I142" s="183" t="b">
        <f>ROUND('T1 NSA'!G57,$D$142)=ROUND(IF(OR('T1 NSA'!G56=0,'T1 NSA'!G56=""),'T1 NSA'!G55*1,'T1 NSA'!G55*'T1 NSA'!G56),$D$142)</f>
        <v>1</v>
      </c>
      <c r="J142" s="183" t="b">
        <f>ROUND('T1 NSA'!H57,$D$142)=ROUND(IF(OR('T1 NSA'!H56=0,'T1 NSA'!H56=""),'T1 NSA'!H55*1,'T1 NSA'!H55*'T1 NSA'!H56),$D$142)</f>
        <v>1</v>
      </c>
      <c r="K142" s="183" t="b">
        <f>ROUND('T1 NSA'!I57,$D$142)=ROUND(IF(OR('T1 NSA'!I56=0,'T1 NSA'!I56=""),'T1 NSA'!I55*1,'T1 NSA'!I55*'T1 NSA'!I56),$D$142)</f>
        <v>1</v>
      </c>
      <c r="L142" s="183" t="b">
        <f>ROUND('T1 NSA'!J57,$D$142)=ROUND(IF(OR('T1 NSA'!J56=0,'T1 NSA'!J56=""),'T1 NSA'!J55*1,'T1 NSA'!J55*'T1 NSA'!J56),$D$142)</f>
        <v>1</v>
      </c>
      <c r="M142" s="183" t="b">
        <f>ROUND('T1 NSA'!K57,$D$142)=ROUND(IF(OR('T1 NSA'!K56=0,'T1 NSA'!K56=""),'T1 NSA'!K55*1,'T1 NSA'!K55*'T1 NSA'!K56),$D$142)</f>
        <v>1</v>
      </c>
      <c r="N142" s="183" t="b">
        <f>ROUND('T1 NSA'!L57,$D$142)=ROUND(IF(OR('T1 NSA'!L56=0,'T1 NSA'!L56=""),'T1 NSA'!L55*1,'T1 NSA'!L55*'T1 NSA'!L56),$D$142)</f>
        <v>1</v>
      </c>
      <c r="O142" s="183" t="b">
        <f>ROUND('T1 NSA'!M57,$D$142)=ROUND(IF(OR('T1 NSA'!M56=0,'T1 NSA'!M56=""),'T1 NSA'!M55*1,'T1 NSA'!M55*'T1 NSA'!M56),$D$142)</f>
        <v>1</v>
      </c>
      <c r="P142" s="183" t="b">
        <f>ROUND('T1 NSA'!N57,$D$142)=ROUND(IF(OR('T1 NSA'!N56=0,'T1 NSA'!N56=""),'T1 NSA'!N55*1,'T1 NSA'!N55*'T1 NSA'!N56),$D$142)</f>
        <v>1</v>
      </c>
      <c r="Q142" s="183" t="b">
        <f>ROUND('T1 NSA'!O57,$D$142)=ROUND(IF(OR('T1 NSA'!O56=0,'T1 NSA'!O56=""),'T1 NSA'!O55*1,'T1 NSA'!O55*'T1 NSA'!O56),$D$142)</f>
        <v>1</v>
      </c>
      <c r="R142" s="163"/>
      <c r="S142" s="183" t="b">
        <f>ROUND('T1 NSA'!T57,$D$142)=ROUND(IF(OR('T1 NSA'!T56=0,'T1 NSA'!T56=""),'T1 NSA'!T55*1,'T1 NSA'!T55*'T1 NSA'!T56),$D$142)</f>
        <v>1</v>
      </c>
      <c r="T142" s="183" t="b">
        <f>ROUND('T1 NSA'!U57,$D$142)=ROUND(IF(OR('T1 NSA'!U56=0,'T1 NSA'!U56=""),'T1 NSA'!U55*1,'T1 NSA'!U55*'T1 NSA'!U56),$D$142)</f>
        <v>1</v>
      </c>
    </row>
    <row r="143" spans="1:20" s="190" customFormat="1" ht="15" customHeight="1" outlineLevel="1">
      <c r="A143" s="185"/>
      <c r="B143" s="882"/>
      <c r="C143" s="907" t="s">
        <v>116</v>
      </c>
      <c r="D143" s="884"/>
      <c r="E143" s="189">
        <f>ROUND('T1 NSA'!C57,$D$142)</f>
        <v>43385.908000000003</v>
      </c>
      <c r="F143" s="189">
        <f>ROUND('T1 NSA'!D57,$D$142)</f>
        <v>47045.59</v>
      </c>
      <c r="G143" s="189">
        <f>ROUND('T1 NSA'!E57,$D$142)</f>
        <v>45587.838000000003</v>
      </c>
      <c r="H143" s="189">
        <f>ROUND('T1 NSA'!F57,$D$142)</f>
        <v>42365.055999999997</v>
      </c>
      <c r="I143" s="189">
        <f>ROUND('T1 NSA'!G57,$D$142)</f>
        <v>48197.375</v>
      </c>
      <c r="J143" s="189">
        <f>ROUND('T1 NSA'!H57,$D$142)</f>
        <v>53269.402999999998</v>
      </c>
      <c r="K143" s="189">
        <f>ROUND('T1 NSA'!I57,$D$142)</f>
        <v>51490.500999999997</v>
      </c>
      <c r="L143" s="189">
        <f>ROUND('T1 NSA'!J57,$D$142)</f>
        <v>49529.05</v>
      </c>
      <c r="M143" s="189">
        <f>ROUND('T1 NSA'!K57,$D$142)</f>
        <v>50495.243999999999</v>
      </c>
      <c r="N143" s="189">
        <f>ROUND('T1 NSA'!L57,$D$142)</f>
        <v>49807.542999999998</v>
      </c>
      <c r="O143" s="189">
        <f>ROUND('T1 NSA'!M57,$D$142)</f>
        <v>49046.22</v>
      </c>
      <c r="P143" s="189">
        <f>ROUND('T1 NSA'!N57,$D$142)</f>
        <v>49208.553999999996</v>
      </c>
      <c r="Q143" s="189">
        <f>ROUND('T1 NSA'!O57,$D$142)</f>
        <v>49381.396000000001</v>
      </c>
      <c r="R143" s="163"/>
      <c r="S143" s="189">
        <f>ROUND('T1 NSA'!T57,$D$142)</f>
        <v>46686.930999999997</v>
      </c>
      <c r="T143" s="189">
        <f>ROUND('T1 NSA'!U57,$D$142)</f>
        <v>43198.277999999998</v>
      </c>
    </row>
    <row r="144" spans="1:20" s="190" customFormat="1" ht="15" customHeight="1" outlineLevel="1">
      <c r="A144" s="185"/>
      <c r="B144" s="882"/>
      <c r="C144" s="907" t="s">
        <v>117</v>
      </c>
      <c r="D144" s="884"/>
      <c r="E144" s="189">
        <f>ROUND(IF(OR('T1 NSA'!C56=0,'T1 NSA'!C56=""),'T1 NSA'!C55*1,'T1 NSA'!C55*'T1 NSA'!C56),$D$142)</f>
        <v>43385.908000000003</v>
      </c>
      <c r="F144" s="189">
        <f>ROUND(IF(OR('T1 NSA'!D56=0,'T1 NSA'!D56=""),'T1 NSA'!D55*1,'T1 NSA'!D55*'T1 NSA'!D56),$D$142)</f>
        <v>47045.59</v>
      </c>
      <c r="G144" s="189">
        <f>ROUND(IF(OR('T1 NSA'!E56=0,'T1 NSA'!E56=""),'T1 NSA'!E55*1,'T1 NSA'!E55*'T1 NSA'!E56),$D$142)</f>
        <v>45587.838000000003</v>
      </c>
      <c r="H144" s="189">
        <f>ROUND(IF(OR('T1 NSA'!F56=0,'T1 NSA'!F56=""),'T1 NSA'!F55*1,'T1 NSA'!F55*'T1 NSA'!F56),$D$142)</f>
        <v>42365.055999999997</v>
      </c>
      <c r="I144" s="189">
        <f>ROUND(IF(OR('T1 NSA'!G56=0,'T1 NSA'!G56=""),'T1 NSA'!G55*1,'T1 NSA'!G55*'T1 NSA'!G56),$D$142)</f>
        <v>48197.375</v>
      </c>
      <c r="J144" s="189">
        <f>ROUND(IF(OR('T1 NSA'!H56=0,'T1 NSA'!H56=""),'T1 NSA'!H55*1,'T1 NSA'!H55*'T1 NSA'!H56),$D$142)</f>
        <v>53269.402999999998</v>
      </c>
      <c r="K144" s="189">
        <f>ROUND(IF(OR('T1 NSA'!I56=0,'T1 NSA'!I56=""),'T1 NSA'!I55*1,'T1 NSA'!I55*'T1 NSA'!I56),$D$142)</f>
        <v>51490.500999999997</v>
      </c>
      <c r="L144" s="189">
        <f>ROUND(IF(OR('T1 NSA'!J56=0,'T1 NSA'!J56=""),'T1 NSA'!J55*1,'T1 NSA'!J55*'T1 NSA'!J56),$D$142)</f>
        <v>49529.05</v>
      </c>
      <c r="M144" s="189">
        <f>ROUND(IF(OR('T1 NSA'!K56=0,'T1 NSA'!K56=""),'T1 NSA'!K55*1,'T1 NSA'!K55*'T1 NSA'!K56),$D$142)</f>
        <v>50495.243999999999</v>
      </c>
      <c r="N144" s="189">
        <f>ROUND(IF(OR('T1 NSA'!L56=0,'T1 NSA'!L56=""),'T1 NSA'!L55*1,'T1 NSA'!L55*'T1 NSA'!L56),$D$142)</f>
        <v>49807.542999999998</v>
      </c>
      <c r="O144" s="189">
        <f>ROUND(IF(OR('T1 NSA'!M56=0,'T1 NSA'!M56=""),'T1 NSA'!M55*1,'T1 NSA'!M55*'T1 NSA'!M56),$D$142)</f>
        <v>49046.22</v>
      </c>
      <c r="P144" s="189">
        <f>ROUND(IF(OR('T1 NSA'!N56=0,'T1 NSA'!N56=""),'T1 NSA'!N55*1,'T1 NSA'!N55*'T1 NSA'!N56),$D$142)</f>
        <v>49208.553999999996</v>
      </c>
      <c r="Q144" s="189">
        <f>ROUND(IF(OR('T1 NSA'!O56=0,'T1 NSA'!O56=""),'T1 NSA'!O55*1,'T1 NSA'!O55*'T1 NSA'!O56),$D$142)</f>
        <v>49381.396000000001</v>
      </c>
      <c r="R144" s="163"/>
      <c r="S144" s="189">
        <f>ROUND(IF(OR('T1 NSA'!T56=0,'T1 NSA'!T56=""),'T1 NSA'!T55*1,'T1 NSA'!T55*'T1 NSA'!T56),$D$142)</f>
        <v>46686.930999999997</v>
      </c>
      <c r="T144" s="189">
        <f>ROUND(IF(OR('T1 NSA'!U56=0,'T1 NSA'!U56=""),'T1 NSA'!U55*1,'T1 NSA'!U55*'T1 NSA'!U56),$D$142)</f>
        <v>43198.277999999998</v>
      </c>
    </row>
    <row r="145" spans="1:20" s="184" customFormat="1" ht="15" customHeight="1">
      <c r="A145" s="179" t="s">
        <v>118</v>
      </c>
      <c r="B145" s="879" t="s">
        <v>114</v>
      </c>
      <c r="C145" s="913" t="s">
        <v>119</v>
      </c>
      <c r="D145" s="881">
        <v>3</v>
      </c>
      <c r="E145" s="183" t="b">
        <f>ROUND('T1 NSA'!C57,$D$145)=ROUND('T1 NSA'!C30,$D$145)</f>
        <v>0</v>
      </c>
      <c r="F145" s="183" t="b">
        <f>ROUND('T1 NSA'!D57,$D$145)=ROUND('T1 NSA'!D30,$D$145)</f>
        <v>0</v>
      </c>
      <c r="G145" s="183" t="b">
        <f>ROUND('T1 NSA'!E57,$D$145)=ROUND('T1 NSA'!E30,$D$145)</f>
        <v>1</v>
      </c>
      <c r="H145" s="183" t="b">
        <f>ROUND('T1 NSA'!F57,$D$145)=ROUND('T1 NSA'!F30,$D$145)</f>
        <v>0</v>
      </c>
      <c r="I145" s="183" t="b">
        <f>ROUND('T1 NSA'!G57,$D$145)=ROUND('T1 NSA'!G30,$D$145)</f>
        <v>0</v>
      </c>
      <c r="J145" s="183" t="b">
        <f>ROUND('T1 NSA'!H57,$D$145)=ROUND('T1 NSA'!H30,$D$145)</f>
        <v>0</v>
      </c>
      <c r="K145" s="183" t="b">
        <f>ROUND('T1 NSA'!I57,$D$145)=ROUND('T1 NSA'!I30,$D$145)</f>
        <v>1</v>
      </c>
      <c r="L145" s="183" t="b">
        <f>ROUND('T1 NSA'!J57,$D$145)=ROUND('T1 NSA'!J30,$D$145)</f>
        <v>1</v>
      </c>
      <c r="M145" s="183" t="b">
        <f>ROUND('T1 NSA'!K57,$D$145)=ROUND('T1 NSA'!K30,$D$145)</f>
        <v>1</v>
      </c>
      <c r="N145" s="183" t="b">
        <f>ROUND('T1 NSA'!L57,$D$145)=ROUND('T1 NSA'!L30,$D$145)</f>
        <v>1</v>
      </c>
      <c r="O145" s="183" t="b">
        <f>ROUND('T1 NSA'!M57,$D$145)=ROUND('T1 NSA'!M30,$D$145)</f>
        <v>1</v>
      </c>
      <c r="P145" s="183" t="b">
        <f>ROUND('T1 NSA'!N57,$D$145)=ROUND('T1 NSA'!N30,$D$145)</f>
        <v>1</v>
      </c>
      <c r="Q145" s="183" t="b">
        <f>ROUND('T1 NSA'!O57,$D$145)=ROUND('T1 NSA'!O30,$D$145)</f>
        <v>1</v>
      </c>
      <c r="R145" s="163"/>
      <c r="S145" s="183" t="b">
        <f>ROUND('T1 NSA'!T57,$D$145)=ROUND('T1 NSA'!T30,$D$145)</f>
        <v>1</v>
      </c>
      <c r="T145" s="183" t="b">
        <f>ROUND('T1 NSA'!U57,$D$145)=ROUND('T1 NSA'!U30,$D$145)</f>
        <v>1</v>
      </c>
    </row>
    <row r="146" spans="1:20" s="190" customFormat="1" ht="15" customHeight="1" outlineLevel="1">
      <c r="A146" s="185"/>
      <c r="B146" s="882"/>
      <c r="C146" s="883" t="s">
        <v>120</v>
      </c>
      <c r="D146" s="884"/>
      <c r="E146" s="189">
        <f>ROUND('T1 NSA'!C57,$D$145)</f>
        <v>43385.908000000003</v>
      </c>
      <c r="F146" s="189">
        <f>ROUND('T1 NSA'!D57,$D$145)</f>
        <v>47045.59</v>
      </c>
      <c r="G146" s="189">
        <f>ROUND('T1 NSA'!E57,$D$145)</f>
        <v>45587.838000000003</v>
      </c>
      <c r="H146" s="189">
        <f>ROUND('T1 NSA'!F57,$D$145)</f>
        <v>42365.055999999997</v>
      </c>
      <c r="I146" s="189">
        <f>ROUND('T1 NSA'!G57,$D$145)</f>
        <v>48197.375</v>
      </c>
      <c r="J146" s="189">
        <f>ROUND('T1 NSA'!H57,$D$145)</f>
        <v>53269.402999999998</v>
      </c>
      <c r="K146" s="189">
        <f>ROUND('T1 NSA'!I57,$D$145)</f>
        <v>51490.500999999997</v>
      </c>
      <c r="L146" s="189">
        <f>ROUND('T1 NSA'!J57,$D$145)</f>
        <v>49529.05</v>
      </c>
      <c r="M146" s="189">
        <f>ROUND('T1 NSA'!K57,$D$145)</f>
        <v>50495.243999999999</v>
      </c>
      <c r="N146" s="189">
        <f>ROUND('T1 NSA'!L57,$D$145)</f>
        <v>49807.542999999998</v>
      </c>
      <c r="O146" s="189">
        <f>ROUND('T1 NSA'!M57,$D$145)</f>
        <v>49046.22</v>
      </c>
      <c r="P146" s="189">
        <f>ROUND('T1 NSA'!N57,$D$145)</f>
        <v>49208.553999999996</v>
      </c>
      <c r="Q146" s="189">
        <f>ROUND('T1 NSA'!O57,$D$145)</f>
        <v>49381.396000000001</v>
      </c>
      <c r="R146" s="163"/>
      <c r="S146" s="189">
        <f>ROUND('T1 NSA'!T57,$D$145)</f>
        <v>46686.930999999997</v>
      </c>
      <c r="T146" s="189">
        <f>ROUND('T1 NSA'!U57,$D$145)</f>
        <v>43198.277999999998</v>
      </c>
    </row>
    <row r="147" spans="1:20" s="190" customFormat="1" ht="15" customHeight="1" outlineLevel="1">
      <c r="A147" s="185"/>
      <c r="B147" s="882"/>
      <c r="C147" s="883" t="s">
        <v>121</v>
      </c>
      <c r="D147" s="884"/>
      <c r="E147" s="189">
        <f>ROUND('T1 NSA'!C30,$D$145)</f>
        <v>43386</v>
      </c>
      <c r="F147" s="189">
        <f>ROUND('T1 NSA'!D30,$D$145)</f>
        <v>47046</v>
      </c>
      <c r="G147" s="189">
        <f>ROUND('T1 NSA'!E30,$D$145)</f>
        <v>45587.838000000003</v>
      </c>
      <c r="H147" s="189">
        <f>ROUND('T1 NSA'!F30,$D$145)</f>
        <v>42365.411999999997</v>
      </c>
      <c r="I147" s="189">
        <f>ROUND('T1 NSA'!G30,$D$145)</f>
        <v>48197.614000000001</v>
      </c>
      <c r="J147" s="189">
        <f>ROUND('T1 NSA'!H30,$D$145)</f>
        <v>53269.815999999999</v>
      </c>
      <c r="K147" s="189">
        <f>ROUND('T1 NSA'!I30,$D$145)</f>
        <v>51490.500999999997</v>
      </c>
      <c r="L147" s="189">
        <f>ROUND('T1 NSA'!J30,$D$145)</f>
        <v>49529.05</v>
      </c>
      <c r="M147" s="189">
        <f>ROUND('T1 NSA'!K30,$D$145)</f>
        <v>50495.243999999999</v>
      </c>
      <c r="N147" s="189">
        <f>ROUND('T1 NSA'!L30,$D$145)</f>
        <v>49807.542999999998</v>
      </c>
      <c r="O147" s="189">
        <f>ROUND('T1 NSA'!M30,$D$145)</f>
        <v>49046.22</v>
      </c>
      <c r="P147" s="189">
        <f>ROUND('T1 NSA'!N30,$D$145)</f>
        <v>49208.553999999996</v>
      </c>
      <c r="Q147" s="189">
        <f>ROUND('T1 NSA'!O30,$D$145)</f>
        <v>49381.396000000001</v>
      </c>
      <c r="R147" s="163"/>
      <c r="S147" s="189">
        <f>ROUND('T1 NSA'!T30,$D$145)</f>
        <v>46686.930999999997</v>
      </c>
      <c r="T147" s="189">
        <f>ROUND('T1 NSA'!U30,$D$145)</f>
        <v>43198.277999999998</v>
      </c>
    </row>
    <row r="148" spans="1:20" s="184" customFormat="1" ht="15" customHeight="1">
      <c r="A148" s="179" t="s">
        <v>122</v>
      </c>
      <c r="B148" s="879" t="s">
        <v>114</v>
      </c>
      <c r="C148" s="913" t="s">
        <v>123</v>
      </c>
      <c r="D148" s="881">
        <v>3</v>
      </c>
      <c r="E148" s="183" t="b">
        <f>ROUND('T1 NSA'!C57,$D$148)&lt;=ROUND('T1 NSA'!C14,$D$148)</f>
        <v>1</v>
      </c>
      <c r="F148" s="183" t="b">
        <f>ROUND('T1 NSA'!D57,$D$148)&lt;=ROUND('T1 NSA'!D14,$D$148)</f>
        <v>1</v>
      </c>
      <c r="G148" s="183" t="b">
        <f>ROUND('T1 NSA'!E57,$D$148)&lt;=ROUND('T1 NSA'!E14,$D$148)</f>
        <v>1</v>
      </c>
      <c r="H148" s="183" t="b">
        <f>ROUND('T1 NSA'!F57,$D$148)&lt;=ROUND('T1 NSA'!F14,$D$148)</f>
        <v>1</v>
      </c>
      <c r="I148" s="183" t="b">
        <f>ROUND('T1 NSA'!G57,$D$148)&lt;=ROUND('T1 NSA'!G14,$D$148)</f>
        <v>1</v>
      </c>
      <c r="J148" s="183" t="b">
        <f>ROUND('T1 NSA'!H57,$D$148)&lt;=ROUND('T1 NSA'!H14,$D$148)</f>
        <v>1</v>
      </c>
      <c r="K148" s="183" t="b">
        <f>ROUND('T1 NSA'!I57,$D$148)&lt;=ROUND('T1 NSA'!I14,$D$148)</f>
        <v>1</v>
      </c>
      <c r="L148" s="183" t="b">
        <f>ROUND('T1 NSA'!J57,$D$148)&lt;=ROUND('T1 NSA'!J14,$D$148)</f>
        <v>1</v>
      </c>
      <c r="M148" s="183" t="b">
        <f>ROUND('T1 NSA'!K57,$D$148)&lt;=ROUND('T1 NSA'!K14,$D$148)</f>
        <v>1</v>
      </c>
      <c r="N148" s="183" t="b">
        <f>ROUND('T1 NSA'!L57,$D$148)&lt;=ROUND('T1 NSA'!L14,$D$148)</f>
        <v>1</v>
      </c>
      <c r="O148" s="183" t="b">
        <f>ROUND('T1 NSA'!M57,$D$148)&lt;=ROUND('T1 NSA'!M14,$D$148)</f>
        <v>1</v>
      </c>
      <c r="P148" s="183" t="b">
        <f>ROUND('T1 NSA'!N57,$D$148)&lt;=ROUND('T1 NSA'!N14,$D$148)</f>
        <v>1</v>
      </c>
      <c r="Q148" s="183" t="b">
        <f>ROUND('T1 NSA'!O57,$D$148)&lt;=ROUND('T1 NSA'!O14,$D$148)</f>
        <v>1</v>
      </c>
      <c r="R148" s="163"/>
      <c r="S148" s="183" t="b">
        <f>ROUND('T1 NSA'!T57,$D$148)&lt;=ROUND('T1 NSA'!T14,$D$148)</f>
        <v>1</v>
      </c>
      <c r="T148" s="183" t="b">
        <f>ROUND('T1 NSA'!U57,$D$148)&lt;=ROUND('T1 NSA'!U14,$D$148)</f>
        <v>1</v>
      </c>
    </row>
    <row r="149" spans="1:20" s="190" customFormat="1" ht="15" customHeight="1" outlineLevel="1">
      <c r="A149" s="185"/>
      <c r="B149" s="882"/>
      <c r="C149" s="883" t="s">
        <v>120</v>
      </c>
      <c r="D149" s="884"/>
      <c r="E149" s="189">
        <f>ROUND('T1 NSA'!C57,$D$148)</f>
        <v>43385.908000000003</v>
      </c>
      <c r="F149" s="189">
        <f>ROUND('T1 NSA'!D57,$D$148)</f>
        <v>47045.59</v>
      </c>
      <c r="G149" s="189">
        <f>ROUND('T1 NSA'!E57,$D$148)</f>
        <v>45587.838000000003</v>
      </c>
      <c r="H149" s="189">
        <f>ROUND('T1 NSA'!F57,$D$148)</f>
        <v>42365.055999999997</v>
      </c>
      <c r="I149" s="189">
        <f>ROUND('T1 NSA'!G57,$D$148)</f>
        <v>48197.375</v>
      </c>
      <c r="J149" s="189">
        <f>ROUND('T1 NSA'!H57,$D$148)</f>
        <v>53269.402999999998</v>
      </c>
      <c r="K149" s="189">
        <f>ROUND('T1 NSA'!I57,$D$148)</f>
        <v>51490.500999999997</v>
      </c>
      <c r="L149" s="189">
        <f>ROUND('T1 NSA'!J57,$D$148)</f>
        <v>49529.05</v>
      </c>
      <c r="M149" s="189">
        <f>ROUND('T1 NSA'!K57,$D$148)</f>
        <v>50495.243999999999</v>
      </c>
      <c r="N149" s="189">
        <f>ROUND('T1 NSA'!L57,$D$148)</f>
        <v>49807.542999999998</v>
      </c>
      <c r="O149" s="189">
        <f>ROUND('T1 NSA'!M57,$D$148)</f>
        <v>49046.22</v>
      </c>
      <c r="P149" s="189">
        <f>ROUND('T1 NSA'!N57,$D$148)</f>
        <v>49208.553999999996</v>
      </c>
      <c r="Q149" s="189">
        <f>ROUND('T1 NSA'!O57,$D$148)</f>
        <v>49381.396000000001</v>
      </c>
      <c r="R149" s="163"/>
      <c r="S149" s="189">
        <f>ROUND('T1 NSA'!T57,$D$148)</f>
        <v>46686.930999999997</v>
      </c>
      <c r="T149" s="189">
        <f>ROUND('T1 NSA'!U57,$D$148)</f>
        <v>43198.277999999998</v>
      </c>
    </row>
    <row r="150" spans="1:20" s="190" customFormat="1" ht="15" customHeight="1" outlineLevel="1">
      <c r="A150" s="185"/>
      <c r="B150" s="882"/>
      <c r="C150" s="883" t="s">
        <v>124</v>
      </c>
      <c r="D150" s="884"/>
      <c r="E150" s="189">
        <f>ROUND('T1 NSA'!C14,$D$148)</f>
        <v>45252</v>
      </c>
      <c r="F150" s="189">
        <f>ROUND('T1 NSA'!D14,$D$148)</f>
        <v>48996</v>
      </c>
      <c r="G150" s="189">
        <f>ROUND('T1 NSA'!E14,$D$148)</f>
        <v>47541.838000000003</v>
      </c>
      <c r="H150" s="189">
        <f>ROUND('T1 NSA'!F14,$D$148)</f>
        <v>44270.411999999997</v>
      </c>
      <c r="I150" s="189">
        <f>ROUND('T1 NSA'!G14,$D$148)</f>
        <v>49754.614000000001</v>
      </c>
      <c r="J150" s="189">
        <f>ROUND('T1 NSA'!H14,$D$148)</f>
        <v>54742.815999999999</v>
      </c>
      <c r="K150" s="189">
        <f>ROUND('T1 NSA'!I14,$D$148)</f>
        <v>53025.500999999997</v>
      </c>
      <c r="L150" s="189">
        <f>ROUND('T1 NSA'!J14,$D$148)</f>
        <v>51128.05</v>
      </c>
      <c r="M150" s="189">
        <f>ROUND('T1 NSA'!K14,$D$148)</f>
        <v>55100.243999999999</v>
      </c>
      <c r="N150" s="189">
        <f>ROUND('T1 NSA'!L14,$D$148)</f>
        <v>54929.542999999998</v>
      </c>
      <c r="O150" s="189">
        <f>ROUND('T1 NSA'!M14,$D$148)</f>
        <v>54359.22</v>
      </c>
      <c r="P150" s="189">
        <f>ROUND('T1 NSA'!N14,$D$148)</f>
        <v>57604.896999999997</v>
      </c>
      <c r="Q150" s="189">
        <f>ROUND('T1 NSA'!O14,$D$148)</f>
        <v>57496.904000000002</v>
      </c>
      <c r="R150" s="163"/>
      <c r="S150" s="189">
        <f>ROUND('T1 NSA'!T14,$D$148)</f>
        <v>50067.930999999997</v>
      </c>
      <c r="T150" s="189">
        <f>ROUND('T1 NSA'!U14,$D$148)</f>
        <v>50950.277999999998</v>
      </c>
    </row>
    <row r="151" spans="1:20" s="184" customFormat="1" ht="15" customHeight="1">
      <c r="A151" s="179" t="s">
        <v>104</v>
      </c>
      <c r="B151" s="180" t="s">
        <v>58</v>
      </c>
      <c r="C151" s="181" t="s">
        <v>105</v>
      </c>
      <c r="D151" s="182">
        <v>3</v>
      </c>
      <c r="E151" s="183" t="b">
        <f>ROUND('T1 NSA'!C61,$D$151)=ROUND('T1 NSA'!C66,$D$151)</f>
        <v>0</v>
      </c>
      <c r="F151" s="183" t="b">
        <f>ROUND('T1 NSA'!D61,$D$151)=ROUND('T1 NSA'!D66,$D$151)</f>
        <v>0</v>
      </c>
      <c r="G151" s="183" t="b">
        <f>ROUND('T1 NSA'!E61,$D$151)=ROUND('T1 NSA'!E66,$D$151)</f>
        <v>0</v>
      </c>
      <c r="H151" s="183" t="b">
        <f>ROUND('T1 NSA'!F61,$D$151)=ROUND('T1 NSA'!F66,$D$151)</f>
        <v>0</v>
      </c>
      <c r="I151" s="183" t="b">
        <f>ROUND('T1 NSA'!G61,$D$151)=ROUND('T1 NSA'!G66,$D$151)</f>
        <v>0</v>
      </c>
      <c r="J151" s="183" t="b">
        <f>ROUND('T1 NSA'!H61,$D$151)=ROUND('T1 NSA'!H66,$D$151)</f>
        <v>1</v>
      </c>
      <c r="K151" s="183" t="b">
        <f>ROUND('T1 NSA'!I61,$D$151)=ROUND('T1 NSA'!I66,$D$151)</f>
        <v>0</v>
      </c>
      <c r="L151" s="183" t="b">
        <f>ROUND('T1 NSA'!J61,$D$151)=ROUND('T1 NSA'!J66,$D$151)</f>
        <v>0</v>
      </c>
      <c r="M151" s="183" t="b">
        <f>ROUND('T1 NSA'!K61,$D$151)=ROUND('T1 NSA'!K66,$D$151)</f>
        <v>0</v>
      </c>
      <c r="N151" s="183" t="b">
        <f>ROUND('T1 NSA'!L61,$D$151)=ROUND('T1 NSA'!L66,$D$151)</f>
        <v>0</v>
      </c>
      <c r="O151" s="183" t="b">
        <f>ROUND('T1 NSA'!M61,$D$151)=ROUND('T1 NSA'!M66,$D$151)</f>
        <v>0</v>
      </c>
      <c r="P151" s="183" t="b">
        <f>ROUND('T1 NSA'!N61,$D$151)=ROUND('T1 NSA'!N66,$D$151)</f>
        <v>0</v>
      </c>
      <c r="Q151" s="183" t="b">
        <f>ROUND('T1 NSA'!O61,$D$151)=ROUND('T1 NSA'!O66,$D$151)</f>
        <v>0</v>
      </c>
      <c r="R151" s="163"/>
      <c r="S151" s="183" t="b">
        <f>ROUND('T1 NSA'!T61,$D$151)=ROUND('T1 NSA'!T66,$D$151)</f>
        <v>0</v>
      </c>
      <c r="T151" s="183" t="b">
        <f>ROUND('T1 NSA'!U61,$D$151)=ROUND('T1 NSA'!U66,$D$151)</f>
        <v>0</v>
      </c>
    </row>
    <row r="152" spans="1:20" s="190" customFormat="1" ht="15" customHeight="1" outlineLevel="1">
      <c r="A152" s="185"/>
      <c r="B152" s="186"/>
      <c r="C152" s="187" t="s">
        <v>60</v>
      </c>
      <c r="D152" s="191"/>
      <c r="E152" s="878">
        <f>ROUND('T1 NSA'!C61,$D$151)</f>
        <v>56918</v>
      </c>
      <c r="F152" s="878">
        <f>ROUND('T1 NSA'!D61,$D$151)</f>
        <v>60137</v>
      </c>
      <c r="G152" s="878">
        <f>ROUND('T1 NSA'!E61,$D$151)</f>
        <v>58351.838000000003</v>
      </c>
      <c r="H152" s="878">
        <f>ROUND('T1 NSA'!F61,$D$151)</f>
        <v>55858.411999999997</v>
      </c>
      <c r="I152" s="878">
        <f>ROUND('T1 NSA'!G61,$D$151)</f>
        <v>61348.08</v>
      </c>
      <c r="J152" s="878">
        <f>ROUND('T1 NSA'!H61,$D$151)</f>
        <v>66282.816000000006</v>
      </c>
      <c r="K152" s="878">
        <f>ROUND('T1 NSA'!I61,$D$151)</f>
        <v>64282.502999999997</v>
      </c>
      <c r="L152" s="878">
        <f>ROUND('T1 NSA'!J61,$D$151)</f>
        <v>62707.05</v>
      </c>
      <c r="M152" s="878">
        <f>ROUND('T1 NSA'!K61,$D$151)</f>
        <v>69525.566999999995</v>
      </c>
      <c r="N152" s="878">
        <f>ROUND('T1 NSA'!L61,$D$151)</f>
        <v>70562.278000000006</v>
      </c>
      <c r="O152" s="878">
        <f>ROUND('T1 NSA'!M61,$D$151)</f>
        <v>70564.365999999995</v>
      </c>
      <c r="P152" s="878">
        <f>ROUND('T1 NSA'!N61,$D$151)</f>
        <v>76714.453999999998</v>
      </c>
      <c r="Q152" s="878">
        <f>ROUND('T1 NSA'!O61,$D$151)</f>
        <v>76912.335999999996</v>
      </c>
      <c r="R152" s="163"/>
      <c r="S152" s="878">
        <f>ROUND('T1 NSA'!T61,$D$151)</f>
        <v>62005.930999999997</v>
      </c>
      <c r="T152" s="878">
        <f>ROUND('T1 NSA'!U61,$D$151)</f>
        <v>63953.277999999998</v>
      </c>
    </row>
    <row r="153" spans="1:20" s="190" customFormat="1" ht="15" customHeight="1" outlineLevel="1">
      <c r="A153" s="185"/>
      <c r="B153" s="186"/>
      <c r="C153" s="187" t="s">
        <v>61</v>
      </c>
      <c r="D153" s="191"/>
      <c r="E153" s="878">
        <f>ROUND('T1 NSA'!C66,$D$151)</f>
        <v>61300.349000000002</v>
      </c>
      <c r="F153" s="878">
        <f>ROUND('T1 NSA'!D66,$D$151)</f>
        <v>63125.919000000002</v>
      </c>
      <c r="G153" s="878">
        <f>ROUND('T1 NSA'!E66,$D$151)</f>
        <v>60346.828999999998</v>
      </c>
      <c r="H153" s="878">
        <f>ROUND('T1 NSA'!F66,$D$151)</f>
        <v>57768.154999999999</v>
      </c>
      <c r="I153" s="878">
        <f>ROUND('T1 NSA'!G66,$D$151)</f>
        <v>63004.478000000003</v>
      </c>
      <c r="J153" s="878">
        <f>ROUND('T1 NSA'!H66,$D$151)</f>
        <v>66282.816000000006</v>
      </c>
      <c r="K153" s="878">
        <f>ROUND('T1 NSA'!I66,$D$151)</f>
        <v>62714.637000000002</v>
      </c>
      <c r="L153" s="878">
        <f>ROUND('T1 NSA'!J66,$D$151)</f>
        <v>60095.883999999998</v>
      </c>
      <c r="M153" s="878">
        <f>ROUND('T1 NSA'!K66,$D$151)</f>
        <v>65317.152000000002</v>
      </c>
      <c r="N153" s="878">
        <f>ROUND('T1 NSA'!L66,$D$151)</f>
        <v>64991.285000000003</v>
      </c>
      <c r="O153" s="878">
        <f>ROUND('T1 NSA'!M66,$D$151)</f>
        <v>63718.830999999998</v>
      </c>
      <c r="P153" s="878">
        <f>ROUND('T1 NSA'!N66,$D$151)</f>
        <v>66581.115000000005</v>
      </c>
      <c r="Q153" s="878">
        <f>ROUND('T1 NSA'!O66,$D$151)</f>
        <v>65743.635999999999</v>
      </c>
      <c r="R153" s="163"/>
      <c r="S153" s="878">
        <f>ROUND('T1 NSA'!T66,$D$151)</f>
        <v>58893.913999999997</v>
      </c>
      <c r="T153" s="878">
        <f>ROUND('T1 NSA'!U66,$D$151)</f>
        <v>59204.216999999997</v>
      </c>
    </row>
    <row r="154" spans="1:20" s="184" customFormat="1" ht="15" customHeight="1">
      <c r="A154" s="179" t="s">
        <v>62</v>
      </c>
      <c r="B154" s="180" t="s">
        <v>63</v>
      </c>
      <c r="C154" s="181" t="s">
        <v>64</v>
      </c>
      <c r="D154" s="191"/>
      <c r="E154" s="183" t="b">
        <f>'T1 NSA'!C68='T1'!C68</f>
        <v>1</v>
      </c>
      <c r="F154" s="183" t="b">
        <f>'T1 NSA'!D68='T1'!D68</f>
        <v>1</v>
      </c>
      <c r="G154" s="183" t="b">
        <f>'T1 NSA'!E68='T1'!E68</f>
        <v>1</v>
      </c>
      <c r="H154" s="183" t="b">
        <f>'T1 NSA'!F68='T1'!F68</f>
        <v>1</v>
      </c>
      <c r="I154" s="183" t="b">
        <f>'T1 NSA'!G68='T1'!G68</f>
        <v>1</v>
      </c>
      <c r="J154" s="183" t="b">
        <f>'T1 NSA'!H68='T1'!H68</f>
        <v>1</v>
      </c>
      <c r="K154" s="183" t="b">
        <f>'T1 NSA'!I68='T1'!I68</f>
        <v>1</v>
      </c>
      <c r="L154" s="183" t="b">
        <f>'T1 NSA'!J68='T1'!J68</f>
        <v>1</v>
      </c>
      <c r="M154" s="183" t="b">
        <f>'T1 NSA'!K68='T1'!K68</f>
        <v>1</v>
      </c>
      <c r="N154" s="183" t="b">
        <f>'T1 NSA'!L68='T1'!L68</f>
        <v>1</v>
      </c>
      <c r="O154" s="183" t="b">
        <f>'T1 NSA'!M68='T1'!M68</f>
        <v>1</v>
      </c>
      <c r="P154" s="183" t="b">
        <f>'T1 NSA'!N68='T1'!N68</f>
        <v>1</v>
      </c>
      <c r="Q154" s="183" t="b">
        <f>'T1 NSA'!O68='T1'!O68</f>
        <v>1</v>
      </c>
      <c r="R154" s="163"/>
      <c r="S154" s="183" t="b">
        <f>'T1 NSA'!T68='T1'!T68</f>
        <v>1</v>
      </c>
      <c r="T154" s="183" t="b">
        <f>'T1 NSA'!U68='T1'!U68</f>
        <v>1</v>
      </c>
    </row>
    <row r="155" spans="1:20" s="190" customFormat="1" ht="15" customHeight="1" outlineLevel="1">
      <c r="A155" s="185"/>
      <c r="B155" s="186"/>
      <c r="C155" s="187" t="s">
        <v>125</v>
      </c>
      <c r="D155" s="191"/>
      <c r="E155" s="878">
        <f>'T1 NSA'!C68</f>
        <v>9607.8779999999988</v>
      </c>
      <c r="F155" s="878">
        <f>'T1 NSA'!D68</f>
        <v>9754.9330000000009</v>
      </c>
      <c r="G155" s="878">
        <f>'T1 NSA'!E68</f>
        <v>9979.4030000000002</v>
      </c>
      <c r="H155" s="878">
        <f>'T1 NSA'!F68</f>
        <v>10153.9</v>
      </c>
      <c r="I155" s="878">
        <f>'T1 NSA'!G68</f>
        <v>10874.798000000001</v>
      </c>
      <c r="J155" s="878">
        <f>'T1 NSA'!H68</f>
        <v>11767.620999999999</v>
      </c>
      <c r="K155" s="878">
        <f>'T1 NSA'!I68</f>
        <v>12194.153</v>
      </c>
      <c r="L155" s="878">
        <f>'T1 NSA'!J68</f>
        <v>12593.8988214</v>
      </c>
      <c r="M155" s="878">
        <f>'T1 NSA'!K68</f>
        <v>12647.945</v>
      </c>
      <c r="N155" s="878">
        <f>'T1 NSA'!L68</f>
        <v>12891</v>
      </c>
      <c r="O155" s="878">
        <f>'T1 NSA'!M68</f>
        <v>13183</v>
      </c>
      <c r="P155" s="878">
        <f>'T1 NSA'!N68</f>
        <v>11715</v>
      </c>
      <c r="Q155" s="878">
        <f>'T1 NSA'!O68</f>
        <v>12228</v>
      </c>
      <c r="R155" s="163"/>
      <c r="S155" s="878">
        <f>'T1 NSA'!T68</f>
        <v>5099.1790000000001</v>
      </c>
      <c r="T155" s="878">
        <f>'T1 NSA'!U68</f>
        <v>5395.3419999999996</v>
      </c>
    </row>
    <row r="156" spans="1:20" s="190" customFormat="1" ht="15" customHeight="1" outlineLevel="1">
      <c r="A156" s="185"/>
      <c r="B156" s="186"/>
      <c r="C156" s="187" t="s">
        <v>66</v>
      </c>
      <c r="D156" s="191"/>
      <c r="E156" s="878">
        <f>'T1'!C68</f>
        <v>9607.8779999999988</v>
      </c>
      <c r="F156" s="878">
        <f>'T1'!D68</f>
        <v>9754.9330000000009</v>
      </c>
      <c r="G156" s="878">
        <f>'T1'!E68</f>
        <v>9979.4030000000002</v>
      </c>
      <c r="H156" s="878">
        <f>'T1'!F68</f>
        <v>10153.9</v>
      </c>
      <c r="I156" s="878">
        <f>'T1'!G68</f>
        <v>10874.798000000001</v>
      </c>
      <c r="J156" s="878">
        <f>'T1'!H68</f>
        <v>11767.620999999999</v>
      </c>
      <c r="K156" s="878">
        <f>'T1'!I68</f>
        <v>12194.153</v>
      </c>
      <c r="L156" s="878">
        <f>'T1'!J68</f>
        <v>12593.8988214</v>
      </c>
      <c r="M156" s="878">
        <f>'T1'!K68</f>
        <v>12647.945</v>
      </c>
      <c r="N156" s="878">
        <f>'T1'!L68</f>
        <v>12891</v>
      </c>
      <c r="O156" s="878">
        <f>'T1'!M68</f>
        <v>13183</v>
      </c>
      <c r="P156" s="878">
        <f>'T1'!N68</f>
        <v>11715</v>
      </c>
      <c r="Q156" s="878">
        <f>'T1'!O68</f>
        <v>12228</v>
      </c>
      <c r="R156" s="163"/>
      <c r="S156" s="878">
        <f>'T1'!T68</f>
        <v>5099.1790000000001</v>
      </c>
      <c r="T156" s="878">
        <f>'T1'!U68</f>
        <v>5395.3419999999996</v>
      </c>
    </row>
    <row r="157" spans="1:20" s="184" customFormat="1" ht="15" customHeight="1">
      <c r="A157" s="179" t="s">
        <v>42</v>
      </c>
      <c r="B157" s="180" t="s">
        <v>43</v>
      </c>
      <c r="C157" s="181" t="s">
        <v>44</v>
      </c>
      <c r="D157" s="182">
        <v>2</v>
      </c>
      <c r="E157" s="183" t="b">
        <f>ROUND(('T1 NSA'!C66/'T1 NSA'!C68),$D$157)=ROUND('T1 NSA'!C70,$D$157)</f>
        <v>1</v>
      </c>
      <c r="F157" s="183" t="b">
        <f>ROUND(('T1 NSA'!D66/'T1 NSA'!D68),$D$157)=ROUND('T1 NSA'!D70,$D$157)</f>
        <v>1</v>
      </c>
      <c r="G157" s="183" t="b">
        <f>ROUND(('T1 NSA'!E66/'T1 NSA'!E68),$D$157)=ROUND('T1 NSA'!E70,$D$157)</f>
        <v>1</v>
      </c>
      <c r="H157" s="183" t="b">
        <f>ROUND(('T1 NSA'!F66/'T1 NSA'!F68),$D$157)=ROUND('T1 NSA'!F70,$D$157)</f>
        <v>1</v>
      </c>
      <c r="I157" s="183" t="b">
        <f>ROUND(('T1 NSA'!G66/'T1 NSA'!G68),$D$157)=ROUND('T1 NSA'!G70,$D$157)</f>
        <v>1</v>
      </c>
      <c r="J157" s="183" t="b">
        <f>ROUND(('T1 NSA'!H66/'T1 NSA'!H68),$D$157)=ROUND('T1 NSA'!H70,$D$157)</f>
        <v>1</v>
      </c>
      <c r="K157" s="183" t="b">
        <f>ROUND(('T1 NSA'!I66/'T1 NSA'!I68),$D$157)=ROUND('T1 NSA'!I70,$D$157)</f>
        <v>1</v>
      </c>
      <c r="L157" s="183" t="b">
        <f>ROUND(('T1 NSA'!J66/'T1 NSA'!J68),$D$157)=ROUND('T1 NSA'!J70,$D$157)</f>
        <v>1</v>
      </c>
      <c r="M157" s="183" t="b">
        <f>ROUND(('T1 NSA'!K66/'T1 NSA'!K68),$D$157)=ROUND('T1 NSA'!K70,$D$157)</f>
        <v>1</v>
      </c>
      <c r="N157" s="183" t="b">
        <f>ROUND(('T1 NSA'!L66/'T1 NSA'!L68),$D$157)=ROUND('T1 NSA'!L70,$D$157)</f>
        <v>1</v>
      </c>
      <c r="O157" s="183" t="b">
        <f>ROUND(('T1 NSA'!M66/'T1 NSA'!M68),$D$157)=ROUND('T1 NSA'!M70,$D$157)</f>
        <v>1</v>
      </c>
      <c r="P157" s="183" t="b">
        <f>ROUND(('T1 NSA'!N66/'T1 NSA'!N68),$D$157)=ROUND('T1 NSA'!N70,$D$157)</f>
        <v>1</v>
      </c>
      <c r="Q157" s="183" t="b">
        <f>ROUND(('T1 NSA'!O66/'T1 NSA'!O68),$D$157)=ROUND('T1 NSA'!O70,$D$157)</f>
        <v>1</v>
      </c>
      <c r="R157" s="163"/>
      <c r="S157" s="183" t="b">
        <f>ROUND(('T1 NSA'!T66/'T1 NSA'!T68),$D$157)=ROUND('T1 NSA'!T70,$D$157)</f>
        <v>1</v>
      </c>
      <c r="T157" s="183" t="b">
        <f>ROUND(('T1 NSA'!U66/'T1 NSA'!U68),$D$157)=ROUND('T1 NSA'!U70,$D$157)</f>
        <v>1</v>
      </c>
    </row>
    <row r="158" spans="1:20" s="190" customFormat="1" ht="15" customHeight="1" outlineLevel="1">
      <c r="A158" s="185"/>
      <c r="B158" s="186"/>
      <c r="C158" s="187" t="s">
        <v>45</v>
      </c>
      <c r="D158" s="191"/>
      <c r="E158" s="215">
        <f>ROUND(('T1 NSA'!C66/'T1 NSA'!C68),$D$157)</f>
        <v>6.38</v>
      </c>
      <c r="F158" s="215">
        <f>ROUND(('T1 NSA'!D66/'T1 NSA'!D68),$D$157)</f>
        <v>6.47</v>
      </c>
      <c r="G158" s="215">
        <f>ROUND(('T1 NSA'!E66/'T1 NSA'!E68),$D$157)</f>
        <v>6.05</v>
      </c>
      <c r="H158" s="215">
        <f>ROUND(('T1 NSA'!F66/'T1 NSA'!F68),$D$157)</f>
        <v>5.69</v>
      </c>
      <c r="I158" s="215">
        <f>ROUND(('T1 NSA'!G66/'T1 NSA'!G68),$D$157)</f>
        <v>5.79</v>
      </c>
      <c r="J158" s="215">
        <f>ROUND(('T1 NSA'!H66/'T1 NSA'!H68),$D$157)</f>
        <v>5.63</v>
      </c>
      <c r="K158" s="215">
        <f>ROUND(('T1 NSA'!I66/'T1 NSA'!I68),$D$157)</f>
        <v>5.14</v>
      </c>
      <c r="L158" s="215">
        <f>ROUND(('T1 NSA'!J66/'T1 NSA'!J68),$D$157)</f>
        <v>4.7699999999999996</v>
      </c>
      <c r="M158" s="215">
        <f>ROUND(('T1 NSA'!K66/'T1 NSA'!K68),$D$157)</f>
        <v>5.16</v>
      </c>
      <c r="N158" s="215">
        <f>ROUND(('T1 NSA'!L66/'T1 NSA'!L68),$D$157)</f>
        <v>5.04</v>
      </c>
      <c r="O158" s="215">
        <f>ROUND(('T1 NSA'!M66/'T1 NSA'!M68),$D$157)</f>
        <v>4.83</v>
      </c>
      <c r="P158" s="215">
        <f>ROUND(('T1 NSA'!N66/'T1 NSA'!N68),$D$157)</f>
        <v>5.68</v>
      </c>
      <c r="Q158" s="215">
        <f>ROUND(('T1 NSA'!O66/'T1 NSA'!O68),$D$157)</f>
        <v>5.38</v>
      </c>
      <c r="R158" s="163"/>
      <c r="S158" s="215">
        <f>ROUND(('T1 NSA'!T66/'T1 NSA'!T68),$D$157)</f>
        <v>11.55</v>
      </c>
      <c r="T158" s="215">
        <f>ROUND(('T1 NSA'!U66/'T1 NSA'!U68),$D$157)</f>
        <v>10.97</v>
      </c>
    </row>
    <row r="159" spans="1:20" s="190" customFormat="1" ht="15" customHeight="1" outlineLevel="1">
      <c r="A159" s="185"/>
      <c r="B159" s="186"/>
      <c r="C159" s="187" t="s">
        <v>46</v>
      </c>
      <c r="D159" s="191"/>
      <c r="E159" s="215">
        <f>ROUND('T1 NSA'!C70,$D$157)</f>
        <v>6.38</v>
      </c>
      <c r="F159" s="215">
        <f>ROUND('T1 NSA'!D70,$D$157)</f>
        <v>6.47</v>
      </c>
      <c r="G159" s="215">
        <f>ROUND('T1 NSA'!E70,$D$157)</f>
        <v>6.05</v>
      </c>
      <c r="H159" s="215">
        <f>ROUND('T1 NSA'!F70,$D$157)</f>
        <v>5.69</v>
      </c>
      <c r="I159" s="215">
        <f>ROUND('T1 NSA'!G70,$D$157)</f>
        <v>5.79</v>
      </c>
      <c r="J159" s="215">
        <f>ROUND('T1 NSA'!H70,$D$157)</f>
        <v>5.63</v>
      </c>
      <c r="K159" s="215">
        <f>ROUND('T1 NSA'!I70,$D$157)</f>
        <v>5.14</v>
      </c>
      <c r="L159" s="215">
        <f>ROUND('T1 NSA'!J70,$D$157)</f>
        <v>4.7699999999999996</v>
      </c>
      <c r="M159" s="215">
        <f>ROUND('T1 NSA'!K70,$D$157)</f>
        <v>5.16</v>
      </c>
      <c r="N159" s="215">
        <f>ROUND('T1 NSA'!L70,$D$157)</f>
        <v>5.04</v>
      </c>
      <c r="O159" s="215">
        <f>ROUND('T1 NSA'!M70,$D$157)</f>
        <v>4.83</v>
      </c>
      <c r="P159" s="215">
        <f>ROUND('T1 NSA'!N70,$D$157)</f>
        <v>5.68</v>
      </c>
      <c r="Q159" s="215">
        <f>ROUND('T1 NSA'!O70,$D$157)</f>
        <v>5.38</v>
      </c>
      <c r="R159" s="163"/>
      <c r="S159" s="215">
        <f>ROUND('T1 NSA'!T70,$D$157)</f>
        <v>11.55</v>
      </c>
      <c r="T159" s="215">
        <f>ROUND('T1 NSA'!U70,$D$157)</f>
        <v>10.97</v>
      </c>
    </row>
    <row r="160" spans="1:20" s="184" customFormat="1" ht="15" customHeight="1">
      <c r="A160" s="179" t="s">
        <v>75</v>
      </c>
      <c r="B160" s="180" t="s">
        <v>76</v>
      </c>
      <c r="C160" s="201" t="s">
        <v>77</v>
      </c>
      <c r="D160" s="182">
        <v>3</v>
      </c>
      <c r="E160" s="183" t="b">
        <f>IF('T1 NSA'!C16&gt;0,(ROUND('T1 NSA'!C41,$D$160)=ROUND('T1 NSA'!C16/'T1 NSA'!C39,$D$160)),"N/A")</f>
        <v>1</v>
      </c>
      <c r="F160" s="183" t="b">
        <f>IF('T1 NSA'!D16&gt;0,(ROUND('T1 NSA'!D41,$D$160)=ROUND('T1 NSA'!D16/'T1 NSA'!D39,$D$160)),"N/A")</f>
        <v>1</v>
      </c>
      <c r="G160" s="183" t="b">
        <f>IF('T1 NSA'!E16&gt;0,(ROUND('T1 NSA'!E41,$D$160)=ROUND('T1 NSA'!E16/'T1 NSA'!E39,$D$160)),"N/A")</f>
        <v>1</v>
      </c>
      <c r="H160" s="183" t="b">
        <f>IF('T1 NSA'!F16&gt;0,(ROUND('T1 NSA'!F41,$D$160)=ROUND('T1 NSA'!F16/'T1 NSA'!F39,$D$160)),"N/A")</f>
        <v>1</v>
      </c>
      <c r="I160" s="183" t="b">
        <f>IF('T1 NSA'!G16&gt;0,(ROUND('T1 NSA'!G41,$D$160)=ROUND('T1 NSA'!G16/'T1 NSA'!G39,$D$160)),"N/A")</f>
        <v>1</v>
      </c>
      <c r="J160" s="183" t="b">
        <f>IF('T1 NSA'!H16&gt;0,(ROUND('T1 NSA'!H41,$D$160)=ROUND('T1 NSA'!H16/'T1 NSA'!H39,$D$160)),"N/A")</f>
        <v>1</v>
      </c>
      <c r="K160" s="183" t="b">
        <f>IF('T1 NSA'!I16&gt;0,(ROUND('T1 NSA'!I41,$D$160)=ROUND('T1 NSA'!I16/'T1 NSA'!I39,$D$160)),"N/A")</f>
        <v>1</v>
      </c>
      <c r="L160" s="183" t="b">
        <f>IF('T1 NSA'!J16&gt;0,(ROUND('T1 NSA'!J41,$D$160)=ROUND('T1 NSA'!J16/'T1 NSA'!J39,$D$160)),"N/A")</f>
        <v>1</v>
      </c>
      <c r="M160" s="183" t="b">
        <f>IF('T1 NSA'!K16&gt;0,(ROUND('T1 NSA'!K41,$D$160)=ROUND('T1 NSA'!K16/'T1 NSA'!K39,$D$160)),"N/A")</f>
        <v>1</v>
      </c>
      <c r="N160" s="183" t="b">
        <f>IF('T1 NSA'!L16&gt;0,(ROUND('T1 NSA'!L41,$D$160)=ROUND('T1 NSA'!L16/'T1 NSA'!L39,$D$160)),"N/A")</f>
        <v>1</v>
      </c>
      <c r="O160" s="183" t="b">
        <f>IF('T1 NSA'!M16&gt;0,(ROUND('T1 NSA'!M41,$D$160)=ROUND('T1 NSA'!M16/'T1 NSA'!M39,$D$160)),"N/A")</f>
        <v>1</v>
      </c>
      <c r="P160" s="183" t="b">
        <f>IF('T1 NSA'!N16&gt;0,(ROUND('T1 NSA'!N41,$D$160)=ROUND('T1 NSA'!N16/'T1 NSA'!N39,$D$160)),"N/A")</f>
        <v>1</v>
      </c>
      <c r="Q160" s="183" t="b">
        <f>IF('T1 NSA'!O16&gt;0,(ROUND('T1 NSA'!O41,$D$160)=ROUND('T1 NSA'!O16/'T1 NSA'!O39,$D$160)),"N/A")</f>
        <v>1</v>
      </c>
      <c r="R160" s="163"/>
      <c r="S160" s="183" t="b">
        <f>IF('T1 NSA'!T16&gt;0,(ROUND('T1 NSA'!T41,$D$160)=ROUND('T1 NSA'!T16/'T1 NSA'!T39,$D$160)),"N/A")</f>
        <v>1</v>
      </c>
      <c r="T160" s="183" t="b">
        <f>IF('T1 NSA'!U16&gt;0,(ROUND('T1 NSA'!U41,$D$160)=ROUND('T1 NSA'!U16/'T1 NSA'!U39,$D$160)),"N/A")</f>
        <v>1</v>
      </c>
    </row>
    <row r="161" spans="1:23" s="190" customFormat="1" ht="15" customHeight="1" outlineLevel="1">
      <c r="A161" s="185"/>
      <c r="B161" s="186"/>
      <c r="C161" s="187" t="s">
        <v>78</v>
      </c>
      <c r="D161" s="191"/>
      <c r="E161" s="202">
        <f>IF('T1 NSA'!C16&gt;0,(ROUND('T1 NSA'!C41,$D$160)),"N/A")</f>
        <v>4.7E-2</v>
      </c>
      <c r="F161" s="202">
        <f>IF('T1 NSA'!D16&gt;0,(ROUND('T1 NSA'!D41,$D$160)),"N/A")</f>
        <v>4.5999999999999999E-2</v>
      </c>
      <c r="G161" s="202">
        <f>IF('T1 NSA'!E16&gt;0,(ROUND('T1 NSA'!E41,$D$160)),"N/A")</f>
        <v>4.5999999999999999E-2</v>
      </c>
      <c r="H161" s="202">
        <f>IF('T1 NSA'!F16&gt;0,(ROUND('T1 NSA'!F41,$D$160)),"N/A")</f>
        <v>4.5999999999999999E-2</v>
      </c>
      <c r="I161" s="202">
        <f>IF('T1 NSA'!G16&gt;0,(ROUND('T1 NSA'!G41,$D$160)),"N/A")</f>
        <v>4.5999999999999999E-2</v>
      </c>
      <c r="J161" s="202">
        <f>IF('T1 NSA'!H16&gt;0,(ROUND('T1 NSA'!H41,$D$160)),"N/A")</f>
        <v>4.5999999999999999E-2</v>
      </c>
      <c r="K161" s="202">
        <f>IF('T1 NSA'!I16&gt;0,(ROUND('T1 NSA'!I41,$D$160)),"N/A")</f>
        <v>4.7E-2</v>
      </c>
      <c r="L161" s="202">
        <f>IF('T1 NSA'!J16&gt;0,(ROUND('T1 NSA'!J41,$D$160)),"N/A")</f>
        <v>4.7E-2</v>
      </c>
      <c r="M161" s="202">
        <f>IF('T1 NSA'!K16&gt;0,(ROUND('T1 NSA'!K41,$D$160)),"N/A")</f>
        <v>4.5999999999999999E-2</v>
      </c>
      <c r="N161" s="202">
        <f>IF('T1 NSA'!L16&gt;0,(ROUND('T1 NSA'!L41,$D$160)),"N/A")</f>
        <v>4.5999999999999999E-2</v>
      </c>
      <c r="O161" s="202">
        <f>IF('T1 NSA'!M16&gt;0,(ROUND('T1 NSA'!M41,$D$160)),"N/A")</f>
        <v>4.5999999999999999E-2</v>
      </c>
      <c r="P161" s="202">
        <f>IF('T1 NSA'!N16&gt;0,(ROUND('T1 NSA'!N41,$D$160)),"N/A")</f>
        <v>4.5999999999999999E-2</v>
      </c>
      <c r="Q161" s="202">
        <f>IF('T1 NSA'!O16&gt;0,(ROUND('T1 NSA'!O41,$D$160)),"N/A")</f>
        <v>4.5999999999999999E-2</v>
      </c>
      <c r="R161" s="163"/>
      <c r="S161" s="202">
        <f>IF('T1 NSA'!T16&gt;0,(ROUND('T1 NSA'!T41,$D$160)),"N/A")</f>
        <v>4.5999999999999999E-2</v>
      </c>
      <c r="T161" s="202">
        <f>IF('T1 NSA'!U16&gt;0,(ROUND('T1 NSA'!U41,$D$160)),"N/A")</f>
        <v>0.04</v>
      </c>
    </row>
    <row r="162" spans="1:23" s="190" customFormat="1" ht="15" customHeight="1" outlineLevel="1">
      <c r="A162" s="185"/>
      <c r="B162" s="186"/>
      <c r="C162" s="187" t="s">
        <v>79</v>
      </c>
      <c r="D162" s="191"/>
      <c r="E162" s="202">
        <f>IF('T1 NSA'!C16&gt;0,ROUND('T1 NSA'!C16/'T1 NSA'!C39,$D$160),"N/A")</f>
        <v>4.7E-2</v>
      </c>
      <c r="F162" s="202">
        <f>IF('T1 NSA'!D16&gt;0,ROUND('T1 NSA'!D16/'T1 NSA'!D39,$D$160),"N/A")</f>
        <v>4.5999999999999999E-2</v>
      </c>
      <c r="G162" s="202">
        <f>IF('T1 NSA'!E16&gt;0,ROUND('T1 NSA'!E16/'T1 NSA'!E39,$D$160),"N/A")</f>
        <v>4.5999999999999999E-2</v>
      </c>
      <c r="H162" s="202">
        <f>IF('T1 NSA'!F16&gt;0,ROUND('T1 NSA'!F16/'T1 NSA'!F39,$D$160),"N/A")</f>
        <v>4.5999999999999999E-2</v>
      </c>
      <c r="I162" s="202">
        <f>IF('T1 NSA'!G16&gt;0,ROUND('T1 NSA'!G16/'T1 NSA'!G39,$D$160),"N/A")</f>
        <v>4.5999999999999999E-2</v>
      </c>
      <c r="J162" s="202">
        <f>IF('T1 NSA'!H16&gt;0,ROUND('T1 NSA'!H16/'T1 NSA'!H39,$D$160),"N/A")</f>
        <v>4.5999999999999999E-2</v>
      </c>
      <c r="K162" s="202">
        <f>IF('T1 NSA'!I16&gt;0,ROUND('T1 NSA'!I16/'T1 NSA'!I39,$D$160),"N/A")</f>
        <v>4.7E-2</v>
      </c>
      <c r="L162" s="202">
        <f>IF('T1 NSA'!J16&gt;0,ROUND('T1 NSA'!J16/'T1 NSA'!J39,$D$160),"N/A")</f>
        <v>4.7E-2</v>
      </c>
      <c r="M162" s="202">
        <f>IF('T1 NSA'!K16&gt;0,ROUND('T1 NSA'!K16/'T1 NSA'!K39,$D$160),"N/A")</f>
        <v>4.5999999999999999E-2</v>
      </c>
      <c r="N162" s="202">
        <f>IF('T1 NSA'!L16&gt;0,ROUND('T1 NSA'!L16/'T1 NSA'!L39,$D$160),"N/A")</f>
        <v>4.5999999999999999E-2</v>
      </c>
      <c r="O162" s="202">
        <f>IF('T1 NSA'!M16&gt;0,ROUND('T1 NSA'!M16/'T1 NSA'!M39,$D$160),"N/A")</f>
        <v>4.5999999999999999E-2</v>
      </c>
      <c r="P162" s="202">
        <f>IF('T1 NSA'!N16&gt;0,ROUND('T1 NSA'!N16/'T1 NSA'!N39,$D$160),"N/A")</f>
        <v>4.5999999999999999E-2</v>
      </c>
      <c r="Q162" s="202">
        <f>IF('T1 NSA'!O16&gt;0,ROUND('T1 NSA'!O16/'T1 NSA'!O39,$D$160),"N/A")</f>
        <v>4.5999999999999999E-2</v>
      </c>
      <c r="R162" s="163"/>
      <c r="S162" s="202">
        <f>IF('T1 NSA'!T16&gt;0,ROUND('T1 NSA'!T16/'T1 NSA'!T39,$D$160),"N/A")</f>
        <v>4.5999999999999999E-2</v>
      </c>
      <c r="T162" s="202">
        <f>IF('T1 NSA'!U16&gt;0,ROUND('T1 NSA'!U16/'T1 NSA'!U39,$D$160),"N/A")</f>
        <v>0.04</v>
      </c>
    </row>
    <row r="163" spans="1:23" s="184" customFormat="1" ht="15" customHeight="1">
      <c r="A163" s="179" t="s">
        <v>80</v>
      </c>
      <c r="B163" s="180" t="s">
        <v>81</v>
      </c>
      <c r="C163" s="203" t="s">
        <v>82</v>
      </c>
      <c r="D163" s="182">
        <v>2</v>
      </c>
      <c r="E163" s="183" t="b">
        <f>IF('T1 NSA'!C16&gt;0,IF(ISERROR(ROUND(('T1 NSA'!C16-('T1 NSA'!C39*'T1 NSA'!C43))/(('T1 NSA'!C39*'T1 NSA'!C42)-('T1 NSA'!C39*'T1 NSA'!C43)),$D$163)),"N/A",ROUND(('T1 NSA'!C16-('T1 NSA'!C39*'T1 NSA'!C43))/(('T1 NSA'!C39*'T1 NSA'!C42)-('T1 NSA'!C39*'T1 NSA'!C43)),$D$163))=ROUND('T1 NSA'!C44,$D$163),"N/A")</f>
        <v>1</v>
      </c>
      <c r="F163" s="183" t="b">
        <f>IF('T1 NSA'!D16&gt;0,IF(ISERROR(ROUND(('T1 NSA'!D16-('T1 NSA'!D39*'T1 NSA'!D43))/(('T1 NSA'!D39*'T1 NSA'!D42)-('T1 NSA'!D39*'T1 NSA'!D43)),$D$163)),"N/A",ROUND(('T1 NSA'!D16-('T1 NSA'!D39*'T1 NSA'!D43))/(('T1 NSA'!D39*'T1 NSA'!D42)-('T1 NSA'!D39*'T1 NSA'!D43)),$D$163))=ROUND('T1 NSA'!D44,$D$163),"N/A")</f>
        <v>1</v>
      </c>
      <c r="G163" s="183" t="b">
        <f>IF('T1 NSA'!E16&gt;0,IF(ISERROR(ROUND(('T1 NSA'!E16-('T1 NSA'!E39*'T1 NSA'!E43))/(('T1 NSA'!E39*'T1 NSA'!E42)-('T1 NSA'!E39*'T1 NSA'!E43)),$D$163)),"N/A",ROUND(('T1 NSA'!E16-('T1 NSA'!E39*'T1 NSA'!E43))/(('T1 NSA'!E39*'T1 NSA'!E42)-('T1 NSA'!E39*'T1 NSA'!E43)),$D$163))=ROUND('T1 NSA'!E44,$D$163),"N/A")</f>
        <v>1</v>
      </c>
      <c r="H163" s="183" t="b">
        <f>IF('T1 NSA'!F16&gt;0,IF(ISERROR(ROUND(('T1 NSA'!F16-('T1 NSA'!F39*'T1 NSA'!F43))/(('T1 NSA'!F39*'T1 NSA'!F42)-('T1 NSA'!F39*'T1 NSA'!F43)),$D$163)),"N/A",ROUND(('T1 NSA'!F16-('T1 NSA'!F39*'T1 NSA'!F43))/(('T1 NSA'!F39*'T1 NSA'!F42)-('T1 NSA'!F39*'T1 NSA'!F43)),$D$163))=ROUND('T1 NSA'!F44,$D$163),"N/A")</f>
        <v>1</v>
      </c>
      <c r="I163" s="183" t="b">
        <f>IF('T1 NSA'!G16&gt;0,IF(ISERROR(ROUND(('T1 NSA'!G16-('T1 NSA'!G39*'T1 NSA'!G43))/(('T1 NSA'!G39*'T1 NSA'!G42)-('T1 NSA'!G39*'T1 NSA'!G43)),$D$163)),"N/A",ROUND(('T1 NSA'!G16-('T1 NSA'!G39*'T1 NSA'!G43))/(('T1 NSA'!G39*'T1 NSA'!G42)-('T1 NSA'!G39*'T1 NSA'!G43)),$D$163))=ROUND('T1 NSA'!G44,$D$163),"N/A")</f>
        <v>1</v>
      </c>
      <c r="J163" s="183" t="b">
        <f>IF('T1 NSA'!H16&gt;0,IF(ISERROR(ROUND(('T1 NSA'!H16-('T1 NSA'!H39*'T1 NSA'!H43))/(('T1 NSA'!H39*'T1 NSA'!H42)-('T1 NSA'!H39*'T1 NSA'!H43)),$D$163)),"N/A",ROUND(('T1 NSA'!H16-('T1 NSA'!H39*'T1 NSA'!H43))/(('T1 NSA'!H39*'T1 NSA'!H42)-('T1 NSA'!H39*'T1 NSA'!H43)),$D$163))=ROUND('T1 NSA'!H44,$D$163),"N/A")</f>
        <v>1</v>
      </c>
      <c r="K163" s="183" t="b">
        <f>IF('T1 NSA'!I16&gt;0,IF(ISERROR(ROUND(('T1 NSA'!I16-('T1 NSA'!I39*'T1 NSA'!I43))/(('T1 NSA'!I39*'T1 NSA'!I42)-('T1 NSA'!I39*'T1 NSA'!I43)),$D$163)),"N/A",ROUND(('T1 NSA'!I16-('T1 NSA'!I39*'T1 NSA'!I43))/(('T1 NSA'!I39*'T1 NSA'!I42)-('T1 NSA'!I39*'T1 NSA'!I43)),$D$163))=ROUND('T1 NSA'!I44,$D$163),"N/A")</f>
        <v>1</v>
      </c>
      <c r="L163" s="183" t="b">
        <f>IF('T1 NSA'!J16&gt;0,IF(ISERROR(ROUND(('T1 NSA'!J16-('T1 NSA'!J39*'T1 NSA'!J43))/(('T1 NSA'!J39*'T1 NSA'!J42)-('T1 NSA'!J39*'T1 NSA'!J43)),$D$163)),"N/A",ROUND(('T1 NSA'!J16-('T1 NSA'!J39*'T1 NSA'!J43))/(('T1 NSA'!J39*'T1 NSA'!J42)-('T1 NSA'!J39*'T1 NSA'!J43)),$D$163))=ROUND('T1 NSA'!J44,$D$163),"N/A")</f>
        <v>0</v>
      </c>
      <c r="M163" s="183" t="b">
        <f>IF('T1 NSA'!K16&gt;0,IF(ISERROR(ROUND(('T1 NSA'!K16-('T1 NSA'!K39*'T1 NSA'!K43))/(('T1 NSA'!K39*'T1 NSA'!K42)-('T1 NSA'!K39*'T1 NSA'!K43)),$D$163)),"N/A",ROUND(('T1 NSA'!K16-('T1 NSA'!K39*'T1 NSA'!K43))/(('T1 NSA'!K39*'T1 NSA'!K42)-('T1 NSA'!K39*'T1 NSA'!K43)),$D$163))=ROUND('T1 NSA'!K44,$D$163),"N/A")</f>
        <v>1</v>
      </c>
      <c r="N163" s="183" t="b">
        <f>IF('T1 NSA'!L16&gt;0,IF(ISERROR(ROUND(('T1 NSA'!L16-('T1 NSA'!L39*'T1 NSA'!L43))/(('T1 NSA'!L39*'T1 NSA'!L42)-('T1 NSA'!L39*'T1 NSA'!L43)),$D$163)),"N/A",ROUND(('T1 NSA'!L16-('T1 NSA'!L39*'T1 NSA'!L43))/(('T1 NSA'!L39*'T1 NSA'!L42)-('T1 NSA'!L39*'T1 NSA'!L43)),$D$163))=ROUND('T1 NSA'!L44,$D$163),"N/A")</f>
        <v>1</v>
      </c>
      <c r="O163" s="183" t="b">
        <f>IF('T1 NSA'!M16&gt;0,IF(ISERROR(ROUND(('T1 NSA'!M16-('T1 NSA'!M39*'T1 NSA'!M43))/(('T1 NSA'!M39*'T1 NSA'!M42)-('T1 NSA'!M39*'T1 NSA'!M43)),$D$163)),"N/A",ROUND(('T1 NSA'!M16-('T1 NSA'!M39*'T1 NSA'!M43))/(('T1 NSA'!M39*'T1 NSA'!M42)-('T1 NSA'!M39*'T1 NSA'!M43)),$D$163))=ROUND('T1 NSA'!M44,$D$163),"N/A")</f>
        <v>1</v>
      </c>
      <c r="P163" s="183" t="b">
        <f>IF('T1 NSA'!N16&gt;0,IF(ISERROR(ROUND(('T1 NSA'!N16-('T1 NSA'!N39*'T1 NSA'!N43))/(('T1 NSA'!N39*'T1 NSA'!N42)-('T1 NSA'!N39*'T1 NSA'!N43)),$D$163)),"N/A",ROUND(('T1 NSA'!N16-('T1 NSA'!N39*'T1 NSA'!N43))/(('T1 NSA'!N39*'T1 NSA'!N42)-('T1 NSA'!N39*'T1 NSA'!N43)),$D$163))=ROUND('T1 NSA'!N44,$D$163),"N/A")</f>
        <v>0</v>
      </c>
      <c r="Q163" s="183" t="b">
        <f>IF('T1 NSA'!O16&gt;0,IF(ISERROR(ROUND(('T1 NSA'!O16-('T1 NSA'!O39*'T1 NSA'!O43))/(('T1 NSA'!O39*'T1 NSA'!O42)-('T1 NSA'!O39*'T1 NSA'!O43)),$D$163)),"N/A",ROUND(('T1 NSA'!O16-('T1 NSA'!O39*'T1 NSA'!O43))/(('T1 NSA'!O39*'T1 NSA'!O42)-('T1 NSA'!O39*'T1 NSA'!O43)),$D$163))=ROUND('T1 NSA'!O44,$D$163),"N/A")</f>
        <v>0</v>
      </c>
      <c r="R163" s="163"/>
      <c r="S163" s="183" t="b">
        <f>IF('T1 NSA'!T16&gt;0,IF(ISERROR(ROUND(('T1 NSA'!T16-('T1 NSA'!T39*'T1 NSA'!T43))/(('T1 NSA'!T39*'T1 NSA'!T42)-('T1 NSA'!T39*'T1 NSA'!T43)),$D$163)),"N/A",ROUND(('T1 NSA'!T16-('T1 NSA'!T39*'T1 NSA'!T43))/(('T1 NSA'!T39*'T1 NSA'!T42)-('T1 NSA'!T39*'T1 NSA'!T43)),$D$163))=ROUND('T1 NSA'!T44,$D$163),"N/A")</f>
        <v>0</v>
      </c>
      <c r="T163" s="183" t="b">
        <f>IF('T1 NSA'!U16&gt;0,IF(ISERROR(ROUND(('T1 NSA'!U16-('T1 NSA'!U39*'T1 NSA'!U43))/(('T1 NSA'!U39*'T1 NSA'!U42)-('T1 NSA'!U39*'T1 NSA'!U43)),$D$163)),"N/A",ROUND(('T1 NSA'!U16-('T1 NSA'!U39*'T1 NSA'!U43))/(('T1 NSA'!U39*'T1 NSA'!U42)-('T1 NSA'!U39*'T1 NSA'!U43)),$D$163))=ROUND('T1 NSA'!U44,$D$163),"N/A")</f>
        <v>0</v>
      </c>
    </row>
    <row r="164" spans="1:23" s="190" customFormat="1" ht="15" customHeight="1" outlineLevel="1">
      <c r="A164" s="185"/>
      <c r="B164" s="186"/>
      <c r="C164" s="204" t="s">
        <v>83</v>
      </c>
      <c r="D164" s="191"/>
      <c r="E164" s="205">
        <f>IF(ISERROR(ROUND(('T1 NSA'!C16-('T1 NSA'!C39*'T1 NSA'!C43))/(('T1 NSA'!C39*'T1 NSA'!C42)-('T1 NSA'!C39*'T1 NSA'!C43)),$D$163)),"N/A",ROUND(('T1 NSA'!C16-('T1 NSA'!C39*'T1 NSA'!C43))/(('T1 NSA'!C39*'T1 NSA'!C42)-('T1 NSA'!C39*'T1 NSA'!C43)),$D$163))</f>
        <v>0.72</v>
      </c>
      <c r="F164" s="205">
        <f>IF(ISERROR(ROUND(('T1 NSA'!D16-('T1 NSA'!D39*'T1 NSA'!D43))/(('T1 NSA'!D39*'T1 NSA'!D42)-('T1 NSA'!D39*'T1 NSA'!D43)),$D$163)),"N/A",ROUND(('T1 NSA'!D16-('T1 NSA'!D39*'T1 NSA'!D43))/(('T1 NSA'!D39*'T1 NSA'!D42)-('T1 NSA'!D39*'T1 NSA'!D43)),$D$163))</f>
        <v>0.69</v>
      </c>
      <c r="G164" s="205">
        <f>IF(ISERROR(ROUND(('T1 NSA'!E16-('T1 NSA'!E39*'T1 NSA'!E43))/(('T1 NSA'!E39*'T1 NSA'!E42)-('T1 NSA'!E39*'T1 NSA'!E43)),$D$163)),"N/A",ROUND(('T1 NSA'!E16-('T1 NSA'!E39*'T1 NSA'!E43))/(('T1 NSA'!E39*'T1 NSA'!E42)-('T1 NSA'!E39*'T1 NSA'!E43)),$D$163))</f>
        <v>0.67</v>
      </c>
      <c r="H164" s="205">
        <f>IF(ISERROR(ROUND(('T1 NSA'!F16-('T1 NSA'!F39*'T1 NSA'!F43))/(('T1 NSA'!F39*'T1 NSA'!F42)-('T1 NSA'!F39*'T1 NSA'!F43)),$D$163)),"N/A",ROUND(('T1 NSA'!F16-('T1 NSA'!F39*'T1 NSA'!F43))/(('T1 NSA'!F39*'T1 NSA'!F42)-('T1 NSA'!F39*'T1 NSA'!F43)),$D$163))</f>
        <v>0.68</v>
      </c>
      <c r="I164" s="205">
        <f>IF(ISERROR(ROUND(('T1 NSA'!G16-('T1 NSA'!G39*'T1 NSA'!G43))/(('T1 NSA'!G39*'T1 NSA'!G42)-('T1 NSA'!G39*'T1 NSA'!G43)),$D$163)),"N/A",ROUND(('T1 NSA'!G16-('T1 NSA'!G39*'T1 NSA'!G43))/(('T1 NSA'!G39*'T1 NSA'!G42)-('T1 NSA'!G39*'T1 NSA'!G43)),$D$163))</f>
        <v>0.68</v>
      </c>
      <c r="J164" s="205">
        <f>IF(ISERROR(ROUND(('T1 NSA'!H16-('T1 NSA'!H39*'T1 NSA'!H43))/(('T1 NSA'!H39*'T1 NSA'!H42)-('T1 NSA'!H39*'T1 NSA'!H43)),$D$163)),"N/A",ROUND(('T1 NSA'!H16-('T1 NSA'!H39*'T1 NSA'!H43))/(('T1 NSA'!H39*'T1 NSA'!H42)-('T1 NSA'!H39*'T1 NSA'!H43)),$D$163))</f>
        <v>0.68</v>
      </c>
      <c r="K164" s="205">
        <f>IF(ISERROR(ROUND(('T1 NSA'!I16-('T1 NSA'!I39*'T1 NSA'!I43))/(('T1 NSA'!I39*'T1 NSA'!I42)-('T1 NSA'!I39*'T1 NSA'!I43)),$D$163)),"N/A",ROUND(('T1 NSA'!I16-('T1 NSA'!I39*'T1 NSA'!I43))/(('T1 NSA'!I39*'T1 NSA'!I42)-('T1 NSA'!I39*'T1 NSA'!I43)),$D$163))</f>
        <v>0.73</v>
      </c>
      <c r="L164" s="205">
        <f>IF(ISERROR(ROUND(('T1 NSA'!J16-('T1 NSA'!J39*'T1 NSA'!J43))/(('T1 NSA'!J39*'T1 NSA'!J42)-('T1 NSA'!J39*'T1 NSA'!J43)),$D$163)),"N/A",ROUND(('T1 NSA'!J16-('T1 NSA'!J39*'T1 NSA'!J43))/(('T1 NSA'!J39*'T1 NSA'!J42)-('T1 NSA'!J39*'T1 NSA'!J43)),$D$163))</f>
        <v>0.73</v>
      </c>
      <c r="M164" s="205">
        <f>IF(ISERROR(ROUND(('T1 NSA'!K16-('T1 NSA'!K39*'T1 NSA'!K43))/(('T1 NSA'!K39*'T1 NSA'!K42)-('T1 NSA'!K39*'T1 NSA'!K43)),$D$163)),"N/A",ROUND(('T1 NSA'!K16-('T1 NSA'!K39*'T1 NSA'!K43))/(('T1 NSA'!K39*'T1 NSA'!K42)-('T1 NSA'!K39*'T1 NSA'!K43)),$D$163))</f>
        <v>0.66</v>
      </c>
      <c r="N164" s="205">
        <f>IF(ISERROR(ROUND(('T1 NSA'!L16-('T1 NSA'!L39*'T1 NSA'!L43))/(('T1 NSA'!L39*'T1 NSA'!L42)-('T1 NSA'!L39*'T1 NSA'!L43)),$D$163)),"N/A",ROUND(('T1 NSA'!L16-('T1 NSA'!L39*'T1 NSA'!L43))/(('T1 NSA'!L39*'T1 NSA'!L42)-('T1 NSA'!L39*'T1 NSA'!L43)),$D$163))</f>
        <v>0.54</v>
      </c>
      <c r="O164" s="205">
        <f>IF(ISERROR(ROUND(('T1 NSA'!M16-('T1 NSA'!M39*'T1 NSA'!M43))/(('T1 NSA'!M39*'T1 NSA'!M42)-('T1 NSA'!M39*'T1 NSA'!M43)),$D$163)),"N/A",ROUND(('T1 NSA'!M16-('T1 NSA'!M39*'T1 NSA'!M43))/(('T1 NSA'!M39*'T1 NSA'!M42)-('T1 NSA'!M39*'T1 NSA'!M43)),$D$163))</f>
        <v>0.63</v>
      </c>
      <c r="P164" s="205">
        <f>IF(ISERROR(ROUND(('T1 NSA'!N16-('T1 NSA'!N39*'T1 NSA'!N43))/(('T1 NSA'!N39*'T1 NSA'!N42)-('T1 NSA'!N39*'T1 NSA'!N43)),$D$163)),"N/A",ROUND(('T1 NSA'!N16-('T1 NSA'!N39*'T1 NSA'!N43))/(('T1 NSA'!N39*'T1 NSA'!N42)-('T1 NSA'!N39*'T1 NSA'!N43)),$D$163))</f>
        <v>0.68</v>
      </c>
      <c r="Q164" s="205">
        <f>IF(ISERROR(ROUND(('T1 NSA'!O16-('T1 NSA'!O39*'T1 NSA'!O43))/(('T1 NSA'!O39*'T1 NSA'!O42)-('T1 NSA'!O39*'T1 NSA'!O43)),$D$163)),"N/A",ROUND(('T1 NSA'!O16-('T1 NSA'!O39*'T1 NSA'!O43))/(('T1 NSA'!O39*'T1 NSA'!O42)-('T1 NSA'!O39*'T1 NSA'!O43)),$D$163))</f>
        <v>0.68</v>
      </c>
      <c r="R164" s="163"/>
      <c r="S164" s="205">
        <f>IF(ISERROR(ROUND(('T1 NSA'!T16-('T1 NSA'!T39*'T1 NSA'!T43))/(('T1 NSA'!T39*'T1 NSA'!T42)-('T1 NSA'!T39*'T1 NSA'!T43)),$D$163)),"N/A",ROUND(('T1 NSA'!T16-('T1 NSA'!T39*'T1 NSA'!T43))/(('T1 NSA'!T39*'T1 NSA'!T42)-('T1 NSA'!T39*'T1 NSA'!T43)),$D$163))</f>
        <v>0.6</v>
      </c>
      <c r="T164" s="205">
        <f>IF(ISERROR(ROUND(('T1 NSA'!U16-('T1 NSA'!U39*'T1 NSA'!U43))/(('T1 NSA'!U39*'T1 NSA'!U42)-('T1 NSA'!U39*'T1 NSA'!U43)),$D$163)),"N/A",ROUND(('T1 NSA'!U16-('T1 NSA'!U39*'T1 NSA'!U43))/(('T1 NSA'!U39*'T1 NSA'!U42)-('T1 NSA'!U39*'T1 NSA'!U43)),$D$163))</f>
        <v>-0.52</v>
      </c>
    </row>
    <row r="165" spans="1:23" s="190" customFormat="1" ht="15" customHeight="1" outlineLevel="1">
      <c r="A165" s="185"/>
      <c r="B165" s="186"/>
      <c r="C165" s="204" t="s">
        <v>84</v>
      </c>
      <c r="D165" s="191"/>
      <c r="E165" s="217">
        <f>ROUND('T1 NSA'!C44,$D$163)</f>
        <v>0.72</v>
      </c>
      <c r="F165" s="217">
        <f>ROUND('T1 NSA'!D44,$D$163)</f>
        <v>0.69</v>
      </c>
      <c r="G165" s="217">
        <f>ROUND('T1 NSA'!E44,$D$163)</f>
        <v>0.67</v>
      </c>
      <c r="H165" s="217">
        <f>ROUND('T1 NSA'!F44,$D$163)</f>
        <v>0.68</v>
      </c>
      <c r="I165" s="217">
        <f>ROUND('T1 NSA'!G44,$D$163)</f>
        <v>0.68</v>
      </c>
      <c r="J165" s="217">
        <f>ROUND('T1 NSA'!H44,$D$163)</f>
        <v>0.68</v>
      </c>
      <c r="K165" s="217">
        <f>ROUND('T1 NSA'!I44,$D$163)</f>
        <v>0.73</v>
      </c>
      <c r="L165" s="217">
        <f>ROUND('T1 NSA'!J44,$D$163)</f>
        <v>0.54</v>
      </c>
      <c r="M165" s="217">
        <f>ROUND('T1 NSA'!K44,$D$163)</f>
        <v>0.66</v>
      </c>
      <c r="N165" s="217">
        <f>ROUND('T1 NSA'!L44,$D$163)</f>
        <v>0.54</v>
      </c>
      <c r="O165" s="217">
        <f>ROUND('T1 NSA'!M44,$D$163)</f>
        <v>0.63</v>
      </c>
      <c r="P165" s="217">
        <f>ROUND('T1 NSA'!N44,$D$163)</f>
        <v>0.47</v>
      </c>
      <c r="Q165" s="217">
        <f>ROUND('T1 NSA'!O44,$D$163)</f>
        <v>0.77</v>
      </c>
      <c r="R165" s="163"/>
      <c r="S165" s="217">
        <f>ROUND('T1 NSA'!T44,$D$163)</f>
        <v>0.66</v>
      </c>
      <c r="T165" s="217">
        <f>ROUND('T1 NSA'!U44,$D$163)</f>
        <v>0.66</v>
      </c>
    </row>
    <row r="166" spans="1:23" s="184" customFormat="1" ht="15" customHeight="1">
      <c r="A166" s="179" t="s">
        <v>85</v>
      </c>
      <c r="B166" s="180" t="s">
        <v>86</v>
      </c>
      <c r="C166" s="181" t="s">
        <v>87</v>
      </c>
      <c r="D166" s="182">
        <v>3</v>
      </c>
      <c r="E166" s="183" t="b">
        <f>ROUND(SUM('T1 NSA'!C36:C38),$D$166)=ROUND('T1 NSA'!C39,$D$166)</f>
        <v>1</v>
      </c>
      <c r="F166" s="183" t="b">
        <f>ROUND(SUM('T1 NSA'!D36:D38),$D$166)=ROUND('T1 NSA'!D39,$D$166)</f>
        <v>1</v>
      </c>
      <c r="G166" s="183" t="b">
        <f>ROUND(SUM('T1 NSA'!E36:E38),$D$166)=ROUND('T1 NSA'!E39,$D$166)</f>
        <v>1</v>
      </c>
      <c r="H166" s="183" t="b">
        <f>ROUND(SUM('T1 NSA'!F36:F38),$D$166)=ROUND('T1 NSA'!F39,$D$166)</f>
        <v>1</v>
      </c>
      <c r="I166" s="183" t="b">
        <f>ROUND(SUM('T1 NSA'!G36:G38),$D$166)=ROUND('T1 NSA'!G39,$D$166)</f>
        <v>1</v>
      </c>
      <c r="J166" s="183" t="b">
        <f>ROUND(SUM('T1 NSA'!H36:H38),$D$166)=ROUND('T1 NSA'!H39,$D$166)</f>
        <v>1</v>
      </c>
      <c r="K166" s="183" t="b">
        <f>ROUND(SUM('T1 NSA'!I36:I38),$D$166)=ROUND('T1 NSA'!I39,$D$166)</f>
        <v>1</v>
      </c>
      <c r="L166" s="183" t="b">
        <f>ROUND(SUM('T1 NSA'!J36:J38),$D$166)=ROUND('T1 NSA'!J39,$D$166)</f>
        <v>1</v>
      </c>
      <c r="M166" s="183" t="b">
        <f>ROUND(SUM('T1 NSA'!K36:K38),$D$166)=ROUND('T1 NSA'!K39,$D$166)</f>
        <v>1</v>
      </c>
      <c r="N166" s="183" t="b">
        <f>ROUND(SUM('T1 NSA'!L36:L38),$D$166)=ROUND('T1 NSA'!L39,$D$166)</f>
        <v>1</v>
      </c>
      <c r="O166" s="183" t="b">
        <f>ROUND(SUM('T1 NSA'!M36:M38),$D$166)=ROUND('T1 NSA'!M39,$D$166)</f>
        <v>1</v>
      </c>
      <c r="P166" s="183" t="b">
        <f>ROUND(SUM('T1 NSA'!N36:N38),$D$166)=ROUND('T1 NSA'!N39,$D$166)</f>
        <v>1</v>
      </c>
      <c r="Q166" s="183" t="b">
        <f>ROUND(SUM('T1 NSA'!O36:O38),$D$166)=ROUND('T1 NSA'!O39,$D$166)</f>
        <v>1</v>
      </c>
      <c r="R166" s="163"/>
      <c r="S166" s="183" t="b">
        <f>ROUND(SUM('T1 NSA'!T36:T38),$D$166)=ROUND('T1 NSA'!T39,$D$166)</f>
        <v>1</v>
      </c>
      <c r="T166" s="183" t="b">
        <f>ROUND(SUM('T1 NSA'!U36:U38),$D$166)=ROUND('T1 NSA'!U39,$D$166)</f>
        <v>1</v>
      </c>
    </row>
    <row r="167" spans="1:23" s="190" customFormat="1" ht="15" customHeight="1" outlineLevel="1">
      <c r="A167" s="185"/>
      <c r="B167" s="186"/>
      <c r="C167" s="187" t="s">
        <v>88</v>
      </c>
      <c r="D167" s="191"/>
      <c r="E167" s="878">
        <f>ROUND(SUM('T1 NSA'!C36:C38),$D$166)</f>
        <v>9162</v>
      </c>
      <c r="F167" s="878">
        <f>ROUND(SUM('T1 NSA'!D36:D38),$D$166)</f>
        <v>7860</v>
      </c>
      <c r="G167" s="878">
        <f>ROUND(SUM('T1 NSA'!E36:E38),$D$166)</f>
        <v>6558</v>
      </c>
      <c r="H167" s="878">
        <f>ROUND(SUM('T1 NSA'!F36:F38),$D$166)</f>
        <v>5256</v>
      </c>
      <c r="I167" s="878">
        <f>ROUND(SUM('T1 NSA'!G36:G38),$D$166)</f>
        <v>3954</v>
      </c>
      <c r="J167" s="878">
        <f>ROUND(SUM('T1 NSA'!H36:H38),$D$166)</f>
        <v>2652</v>
      </c>
      <c r="K167" s="878">
        <f>ROUND(SUM('T1 NSA'!I36:I38),$D$166)</f>
        <v>1350</v>
      </c>
      <c r="L167" s="878">
        <f>ROUND(SUM('T1 NSA'!J36:J38),$D$166)</f>
        <v>450</v>
      </c>
      <c r="M167" s="878">
        <f>ROUND(SUM('T1 NSA'!K36:K38),$D$166)</f>
        <v>1065</v>
      </c>
      <c r="N167" s="878">
        <f>ROUND(SUM('T1 NSA'!L36:L38),$D$166)</f>
        <v>935</v>
      </c>
      <c r="O167" s="878">
        <f>ROUND(SUM('T1 NSA'!M36:M38),$D$166)</f>
        <v>783</v>
      </c>
      <c r="P167" s="878">
        <f>ROUND(SUM('T1 NSA'!N36:N38),$D$166)</f>
        <v>637</v>
      </c>
      <c r="Q167" s="878">
        <f>ROUND(SUM('T1 NSA'!O36:O38),$D$166)</f>
        <v>505</v>
      </c>
      <c r="R167" s="163"/>
      <c r="S167" s="878">
        <f>ROUND(SUM('T1 NSA'!T36:T38),$D$166)</f>
        <v>1065</v>
      </c>
      <c r="T167" s="878">
        <f>ROUND(SUM('T1 NSA'!U36:U38),$D$166)</f>
        <v>1065</v>
      </c>
    </row>
    <row r="168" spans="1:23" s="190" customFormat="1" ht="15" customHeight="1" outlineLevel="1">
      <c r="A168" s="185"/>
      <c r="B168" s="186"/>
      <c r="C168" s="187" t="s">
        <v>89</v>
      </c>
      <c r="D168" s="191"/>
      <c r="E168" s="878">
        <f>ROUND('T1 NSA'!C39,$D$166)</f>
        <v>9162</v>
      </c>
      <c r="F168" s="878">
        <f>ROUND('T1 NSA'!D39,$D$166)</f>
        <v>7860</v>
      </c>
      <c r="G168" s="878">
        <f>ROUND('T1 NSA'!E39,$D$166)</f>
        <v>6558</v>
      </c>
      <c r="H168" s="878">
        <f>ROUND('T1 NSA'!F39,$D$166)</f>
        <v>5256</v>
      </c>
      <c r="I168" s="878">
        <f>ROUND('T1 NSA'!G39,$D$166)</f>
        <v>3954</v>
      </c>
      <c r="J168" s="878">
        <f>ROUND('T1 NSA'!H39,$D$166)</f>
        <v>2652</v>
      </c>
      <c r="K168" s="878">
        <f>ROUND('T1 NSA'!I39,$D$166)</f>
        <v>1350</v>
      </c>
      <c r="L168" s="878">
        <f>ROUND('T1 NSA'!J39,$D$166)</f>
        <v>450</v>
      </c>
      <c r="M168" s="878">
        <f>ROUND('T1 NSA'!K39,$D$166)</f>
        <v>1065</v>
      </c>
      <c r="N168" s="878">
        <f>ROUND('T1 NSA'!L39,$D$166)</f>
        <v>935</v>
      </c>
      <c r="O168" s="878">
        <f>ROUND('T1 NSA'!M39,$D$166)</f>
        <v>783</v>
      </c>
      <c r="P168" s="878">
        <f>ROUND('T1 NSA'!N39,$D$166)</f>
        <v>637</v>
      </c>
      <c r="Q168" s="878">
        <f>ROUND('T1 NSA'!O39,$D$166)</f>
        <v>505</v>
      </c>
      <c r="R168" s="163"/>
      <c r="S168" s="878">
        <f>ROUND('T1 NSA'!T39,$D$166)</f>
        <v>1065</v>
      </c>
      <c r="T168" s="878">
        <f>ROUND('T1 NSA'!U39,$D$166)</f>
        <v>1065</v>
      </c>
    </row>
    <row r="169" spans="1:23" s="184" customFormat="1" ht="15" customHeight="1">
      <c r="A169" s="179" t="s">
        <v>90</v>
      </c>
      <c r="B169" s="180" t="s">
        <v>86</v>
      </c>
      <c r="C169" s="203" t="s">
        <v>91</v>
      </c>
      <c r="D169" s="182">
        <v>3</v>
      </c>
      <c r="E169" s="183" t="b">
        <f>IF(ROUND('T1 NSA'!C39,$D$169)=0,ROUND('T1 NSA'!C16,$D$169)=0,TRUE)</f>
        <v>1</v>
      </c>
      <c r="F169" s="183" t="b">
        <f>IF(ROUND('T1 NSA'!D39,$D$169)=0,ROUND('T1 NSA'!D16,$D$169)=0,TRUE)</f>
        <v>1</v>
      </c>
      <c r="G169" s="183" t="b">
        <f>IF(ROUND('T1 NSA'!E39,$D$169)=0,ROUND('T1 NSA'!E16,$D$169)=0,TRUE)</f>
        <v>1</v>
      </c>
      <c r="H169" s="183" t="b">
        <f>IF(ROUND('T1 NSA'!F39,$D$169)=0,ROUND('T1 NSA'!F16,$D$169)=0,TRUE)</f>
        <v>1</v>
      </c>
      <c r="I169" s="183" t="b">
        <f>IF(ROUND('T1 NSA'!G39,$D$169)=0,ROUND('T1 NSA'!G16,$D$169)=0,TRUE)</f>
        <v>1</v>
      </c>
      <c r="J169" s="183" t="b">
        <f>IF(ROUND('T1 NSA'!H39,$D$169)=0,ROUND('T1 NSA'!H16,$D$169)=0,TRUE)</f>
        <v>1</v>
      </c>
      <c r="K169" s="183" t="b">
        <f>IF(ROUND('T1 NSA'!I39,$D$169)=0,ROUND('T1 NSA'!I16,$D$169)=0,TRUE)</f>
        <v>1</v>
      </c>
      <c r="L169" s="183" t="b">
        <f>IF(ROUND('T1 NSA'!J39,$D$169)=0,ROUND('T1 NSA'!J16,$D$169)=0,TRUE)</f>
        <v>1</v>
      </c>
      <c r="M169" s="183" t="b">
        <f>IF(ROUND('T1 NSA'!K39,$D$169)=0,ROUND('T1 NSA'!K16,$D$169)=0,TRUE)</f>
        <v>1</v>
      </c>
      <c r="N169" s="183" t="b">
        <f>IF(ROUND('T1 NSA'!L39,$D$169)=0,ROUND('T1 NSA'!L16,$D$169)=0,TRUE)</f>
        <v>1</v>
      </c>
      <c r="O169" s="183" t="b">
        <f>IF(ROUND('T1 NSA'!M39,$D$169)=0,ROUND('T1 NSA'!M16,$D$169)=0,TRUE)</f>
        <v>1</v>
      </c>
      <c r="P169" s="183" t="b">
        <f>IF(ROUND('T1 NSA'!N39,$D$169)=0,ROUND('T1 NSA'!N16,$D$169)=0,TRUE)</f>
        <v>1</v>
      </c>
      <c r="Q169" s="183" t="b">
        <f>IF(ROUND('T1 NSA'!O39,$D$169)=0,ROUND('T1 NSA'!O16,$D$169)=0,TRUE)</f>
        <v>1</v>
      </c>
      <c r="R169" s="163"/>
      <c r="S169" s="183" t="b">
        <f>IF(ROUND('T1 NSA'!T39,$D$169)=0,ROUND('T1 NSA'!T16,$D$169)=0,TRUE)</f>
        <v>1</v>
      </c>
      <c r="T169" s="183" t="b">
        <f>IF(ROUND('T1 NSA'!U39,$D$169)=0,ROUND('T1 NSA'!U16,$D$169)=0,TRUE)</f>
        <v>1</v>
      </c>
    </row>
    <row r="170" spans="1:23" s="190" customFormat="1" ht="15" customHeight="1" outlineLevel="1">
      <c r="A170" s="185"/>
      <c r="B170" s="186"/>
      <c r="C170" s="187" t="s">
        <v>89</v>
      </c>
      <c r="D170" s="191"/>
      <c r="E170" s="878">
        <f>ROUND('T1 NSA'!C39,$D$169)</f>
        <v>9162</v>
      </c>
      <c r="F170" s="878">
        <f>ROUND('T1 NSA'!D39,$D$169)</f>
        <v>7860</v>
      </c>
      <c r="G170" s="878">
        <f>ROUND('T1 NSA'!E39,$D$169)</f>
        <v>6558</v>
      </c>
      <c r="H170" s="878">
        <f>ROUND('T1 NSA'!F39,$D$169)</f>
        <v>5256</v>
      </c>
      <c r="I170" s="878">
        <f>ROUND('T1 NSA'!G39,$D$169)</f>
        <v>3954</v>
      </c>
      <c r="J170" s="878">
        <f>ROUND('T1 NSA'!H39,$D$169)</f>
        <v>2652</v>
      </c>
      <c r="K170" s="878">
        <f>ROUND('T1 NSA'!I39,$D$169)</f>
        <v>1350</v>
      </c>
      <c r="L170" s="878">
        <f>ROUND('T1 NSA'!J39,$D$169)</f>
        <v>450</v>
      </c>
      <c r="M170" s="878">
        <f>ROUND('T1 NSA'!K39,$D$169)</f>
        <v>1065</v>
      </c>
      <c r="N170" s="878">
        <f>ROUND('T1 NSA'!L39,$D$169)</f>
        <v>935</v>
      </c>
      <c r="O170" s="878">
        <f>ROUND('T1 NSA'!M39,$D$169)</f>
        <v>783</v>
      </c>
      <c r="P170" s="878">
        <f>ROUND('T1 NSA'!N39,$D$169)</f>
        <v>637</v>
      </c>
      <c r="Q170" s="878">
        <f>ROUND('T1 NSA'!O39,$D$169)</f>
        <v>505</v>
      </c>
      <c r="R170" s="163"/>
      <c r="S170" s="878">
        <f>ROUND('T1 NSA'!T39,$D$169)</f>
        <v>1065</v>
      </c>
      <c r="T170" s="878">
        <f>ROUND('T1 NSA'!U39,$D$169)</f>
        <v>1065</v>
      </c>
    </row>
    <row r="171" spans="1:23" s="190" customFormat="1" ht="15" customHeight="1" outlineLevel="1">
      <c r="A171" s="185"/>
      <c r="B171" s="186"/>
      <c r="C171" s="187" t="s">
        <v>92</v>
      </c>
      <c r="D171" s="191"/>
      <c r="E171" s="878">
        <f>ROUND('T1 NSA'!C16,$D$169)</f>
        <v>427</v>
      </c>
      <c r="F171" s="878">
        <f>ROUND('T1 NSA'!D16,$D$169)</f>
        <v>365</v>
      </c>
      <c r="G171" s="878">
        <f>ROUND('T1 NSA'!E16,$D$169)</f>
        <v>304</v>
      </c>
      <c r="H171" s="878">
        <f>ROUND('T1 NSA'!F16,$D$169)</f>
        <v>244</v>
      </c>
      <c r="I171" s="878">
        <f>ROUND('T1 NSA'!G16,$D$169)</f>
        <v>183.46600000000001</v>
      </c>
      <c r="J171" s="878">
        <f>ROUND('T1 NSA'!H16,$D$169)</f>
        <v>123</v>
      </c>
      <c r="K171" s="878">
        <f>ROUND('T1 NSA'!I16,$D$169)</f>
        <v>63.002000000000002</v>
      </c>
      <c r="L171" s="878">
        <f>ROUND('T1 NSA'!J16,$D$169)</f>
        <v>21</v>
      </c>
      <c r="M171" s="878">
        <f>ROUND('T1 NSA'!K16,$D$169)</f>
        <v>49.323</v>
      </c>
      <c r="N171" s="878">
        <f>ROUND('T1 NSA'!L16,$D$169)</f>
        <v>42.734000000000002</v>
      </c>
      <c r="O171" s="878">
        <f>ROUND('T1 NSA'!M16,$D$169)</f>
        <v>36.146000000000001</v>
      </c>
      <c r="P171" s="878">
        <f>ROUND('T1 NSA'!N16,$D$169)</f>
        <v>29.556999999999999</v>
      </c>
      <c r="Q171" s="878">
        <f>ROUND('T1 NSA'!O16,$D$169)</f>
        <v>23.431999999999999</v>
      </c>
      <c r="R171" s="163"/>
      <c r="S171" s="878">
        <f>ROUND('T1 NSA'!T16,$D$169)</f>
        <v>49</v>
      </c>
      <c r="T171" s="878">
        <f>ROUND('T1 NSA'!U16,$D$169)</f>
        <v>43</v>
      </c>
    </row>
    <row r="172" spans="1:23" s="889" customFormat="1">
      <c r="A172" s="1568" t="s">
        <v>126</v>
      </c>
      <c r="B172" s="1568"/>
      <c r="C172" s="1568"/>
      <c r="D172" s="888"/>
      <c r="R172" s="163"/>
      <c r="S172" s="1569" t="s">
        <v>127</v>
      </c>
      <c r="T172" s="1570"/>
      <c r="U172" s="1570"/>
      <c r="V172" s="1570"/>
      <c r="W172" s="1571"/>
    </row>
    <row r="173" spans="1:23" s="889" customFormat="1" ht="21" customHeight="1">
      <c r="A173" s="1568"/>
      <c r="B173" s="1568"/>
      <c r="C173" s="1568"/>
      <c r="D173" s="888"/>
      <c r="R173" s="163"/>
      <c r="S173" s="170">
        <v>2020</v>
      </c>
      <c r="T173" s="171">
        <v>2021</v>
      </c>
      <c r="U173" s="171">
        <v>2022</v>
      </c>
      <c r="V173" s="171">
        <v>2023</v>
      </c>
      <c r="W173" s="172">
        <v>2024</v>
      </c>
    </row>
    <row r="174" spans="1:23" s="892" customFormat="1" ht="18.75">
      <c r="A174" s="173" t="s">
        <v>13</v>
      </c>
      <c r="B174" s="174" t="s">
        <v>14</v>
      </c>
      <c r="C174" s="175" t="s">
        <v>128</v>
      </c>
      <c r="D174" s="890"/>
      <c r="E174" s="891"/>
      <c r="F174" s="891"/>
      <c r="G174" s="891"/>
      <c r="H174" s="891"/>
      <c r="I174" s="891"/>
      <c r="J174" s="891"/>
      <c r="K174" s="891"/>
      <c r="L174" s="891"/>
      <c r="M174" s="891"/>
      <c r="N174" s="891"/>
      <c r="O174" s="891"/>
      <c r="P174" s="891"/>
      <c r="Q174" s="891"/>
      <c r="R174" s="163"/>
      <c r="S174" s="891"/>
      <c r="T174" s="891"/>
      <c r="U174" s="891"/>
      <c r="V174" s="891"/>
      <c r="W174" s="891"/>
    </row>
    <row r="175" spans="1:23" s="896" customFormat="1">
      <c r="A175" s="893" t="s">
        <v>129</v>
      </c>
      <c r="B175" s="894" t="s">
        <v>54</v>
      </c>
      <c r="C175" s="895" t="s">
        <v>130</v>
      </c>
      <c r="D175" s="881">
        <v>3</v>
      </c>
      <c r="E175" s="889"/>
      <c r="F175" s="889"/>
      <c r="G175" s="889"/>
      <c r="H175" s="889"/>
      <c r="I175" s="889"/>
      <c r="R175" s="163"/>
      <c r="S175" s="897" t="b">
        <f>ROUND('T2'!C12,$D$175)=ROUND('T1'!K61,$D$175)</f>
        <v>1</v>
      </c>
      <c r="T175" s="897" t="b">
        <f>ROUND('T2'!D12,$D$175)=ROUND('T1'!L61,$D$175)</f>
        <v>1</v>
      </c>
      <c r="U175" s="897" t="b">
        <f>ROUND('T2'!E12,$D$175)=ROUND('T1'!M61,$D$175)</f>
        <v>1</v>
      </c>
      <c r="V175" s="897" t="b">
        <f>ROUND('T2'!F12,$D$175)=ROUND('T1'!N61,$D$175)</f>
        <v>1</v>
      </c>
      <c r="W175" s="897" t="b">
        <f>ROUND('T2'!G12,$D$175)=ROUND('T1'!O61,$D$175)</f>
        <v>1</v>
      </c>
    </row>
    <row r="176" spans="1:23" s="900" customFormat="1" outlineLevel="1">
      <c r="A176" s="893"/>
      <c r="B176" s="894"/>
      <c r="C176" s="898" t="s">
        <v>131</v>
      </c>
      <c r="D176" s="899"/>
      <c r="E176" s="889"/>
      <c r="F176" s="889"/>
      <c r="G176" s="889"/>
      <c r="H176" s="889"/>
      <c r="I176" s="889"/>
      <c r="R176" s="163"/>
      <c r="S176" s="901">
        <f>ROUND('T2'!C12,$D$175)</f>
        <v>790418.9</v>
      </c>
      <c r="T176" s="901">
        <f>ROUND('T2'!D12,$D$175)</f>
        <v>775027.03399999999</v>
      </c>
      <c r="U176" s="901">
        <f>ROUND('T2'!E12,$D$175)</f>
        <v>790935.59299999999</v>
      </c>
      <c r="V176" s="901">
        <f>ROUND('T2'!F12,$D$175)</f>
        <v>813438.897</v>
      </c>
      <c r="W176" s="901">
        <f>ROUND('T2'!G12,$D$175)</f>
        <v>854052.39599999995</v>
      </c>
    </row>
    <row r="177" spans="1:23" s="900" customFormat="1" outlineLevel="1">
      <c r="A177" s="893"/>
      <c r="B177" s="894"/>
      <c r="C177" s="898" t="s">
        <v>132</v>
      </c>
      <c r="D177" s="899"/>
      <c r="E177" s="889"/>
      <c r="F177" s="889"/>
      <c r="G177" s="889"/>
      <c r="H177" s="889"/>
      <c r="I177" s="889"/>
      <c r="R177" s="163"/>
      <c r="S177" s="901">
        <f>ROUND('T1'!K61,$D$175)</f>
        <v>790418.9</v>
      </c>
      <c r="T177" s="901">
        <f>ROUND('T1'!L61,$D$175)</f>
        <v>775027.03399999999</v>
      </c>
      <c r="U177" s="901">
        <f>ROUND('T1'!M61,$D$175)</f>
        <v>790935.59299999999</v>
      </c>
      <c r="V177" s="901">
        <f>ROUND('T1'!N61,$D$175)</f>
        <v>813438.897</v>
      </c>
      <c r="W177" s="901">
        <f>ROUND('T1'!O61,$D$175)</f>
        <v>854052.39599999995</v>
      </c>
    </row>
    <row r="178" spans="1:23" s="896" customFormat="1">
      <c r="A178" s="893" t="s">
        <v>133</v>
      </c>
      <c r="B178" s="894" t="s">
        <v>52</v>
      </c>
      <c r="C178" s="895" t="s">
        <v>134</v>
      </c>
      <c r="D178" s="881">
        <v>3</v>
      </c>
      <c r="E178" s="889"/>
      <c r="F178" s="889"/>
      <c r="G178" s="889"/>
      <c r="H178" s="889"/>
      <c r="I178" s="889"/>
      <c r="R178" s="163"/>
      <c r="S178" s="897" t="b">
        <f>ROUND('T2'!C15,$D$178)=ROUND('T1'!K61-'T1 ANSP'!K15-'T1 ANSP'!K16-'T1 MET'!K15-'T1 MET'!K16-'T1 NSA'!K61,$D$178)</f>
        <v>0</v>
      </c>
      <c r="T178" s="897" t="b">
        <f>ROUND('T2'!D15,$D$178)=ROUND('T1'!L61-'T1 ANSP'!L15-'T1 ANSP'!L16-'T1 MET'!L15-'T1 MET'!L16-'T1 NSA'!L61,$D$178)</f>
        <v>0</v>
      </c>
      <c r="U178" s="897" t="b">
        <f>ROUND('T2'!E15,$D$178)=ROUND('T1'!M61-'T1 ANSP'!M15-'T1 ANSP'!M16-'T1 MET'!M15-'T1 MET'!M16-'T1 NSA'!M61,$D$178)</f>
        <v>0</v>
      </c>
      <c r="V178" s="897" t="b">
        <f>ROUND('T2'!F15,$D$178)=ROUND('T1'!N61-'T1 ANSP'!N15-'T1 ANSP'!N16-'T1 MET'!N15-'T1 MET'!N16-'T1 NSA'!N61,$D$178)</f>
        <v>0</v>
      </c>
      <c r="W178" s="897" t="b">
        <f>ROUND('T2'!G15,$D$178)=ROUND('T1'!O61-'T1 ANSP'!O15-'T1 ANSP'!O16-'T1 MET'!O15-'T1 MET'!O16-'T1 NSA'!O61,$D$178)</f>
        <v>0</v>
      </c>
    </row>
    <row r="179" spans="1:23" s="900" customFormat="1" outlineLevel="1">
      <c r="A179" s="893"/>
      <c r="B179" s="894"/>
      <c r="C179" s="898" t="s">
        <v>135</v>
      </c>
      <c r="D179" s="899"/>
      <c r="E179" s="889"/>
      <c r="F179" s="889"/>
      <c r="G179" s="889"/>
      <c r="H179" s="889"/>
      <c r="I179" s="889"/>
      <c r="R179" s="163"/>
      <c r="S179" s="901">
        <f>ROUND('T2'!C15,$D$178)</f>
        <v>720893.33299999998</v>
      </c>
      <c r="T179" s="901">
        <f>ROUND('T2'!D15,$D$178)</f>
        <v>704464.75600000005</v>
      </c>
      <c r="U179" s="901">
        <f>ROUND('T2'!E15,$D$178)</f>
        <v>720371.22699999996</v>
      </c>
      <c r="V179" s="901">
        <f>ROUND('T2'!F15,$D$178)</f>
        <v>736724.44299999997</v>
      </c>
      <c r="W179" s="901">
        <f>ROUND('T2'!G15,$D$178)</f>
        <v>777140.06</v>
      </c>
    </row>
    <row r="180" spans="1:23" s="900" customFormat="1" outlineLevel="1">
      <c r="A180" s="893"/>
      <c r="B180" s="894"/>
      <c r="C180" s="898" t="s">
        <v>136</v>
      </c>
      <c r="D180" s="899"/>
      <c r="E180" s="889"/>
      <c r="F180" s="889"/>
      <c r="G180" s="889"/>
      <c r="H180" s="889"/>
      <c r="I180" s="889"/>
      <c r="R180" s="163"/>
      <c r="S180" s="901">
        <f>ROUND('T1'!K61-'T1 ANSP'!K15-'T1 ANSP'!K16-'T1 MET'!K15-'T1 MET'!K16-'T1 NSA'!K61,$D$178)</f>
        <v>514224.505</v>
      </c>
      <c r="T180" s="901">
        <f>ROUND('T1'!L61-'T1 ANSP'!L15-'T1 ANSP'!L16-'T1 MET'!L15-'T1 MET'!L16-'T1 NSA'!L61,$D$178)</f>
        <v>521829.12300000002</v>
      </c>
      <c r="U180" s="901">
        <f>ROUND('T1'!M61-'T1 ANSP'!M15-'T1 ANSP'!M16-'T1 MET'!M15-'T1 MET'!M16-'T1 NSA'!M61,$D$178)</f>
        <v>548439.02399999998</v>
      </c>
      <c r="V180" s="901">
        <f>ROUND('T1'!N61-'T1 ANSP'!N15-'T1 ANSP'!N16-'T1 MET'!N15-'T1 MET'!N16-'T1 NSA'!N61,$D$178)</f>
        <v>567180.44099999999</v>
      </c>
      <c r="W180" s="901">
        <f>ROUND('T1'!O61-'T1 ANSP'!O15-'T1 ANSP'!O16-'T1 MET'!O15-'T1 MET'!O16-'T1 NSA'!O61,$D$178)</f>
        <v>592601.87699999998</v>
      </c>
    </row>
    <row r="181" spans="1:23" s="896" customFormat="1">
      <c r="A181" s="893" t="s">
        <v>137</v>
      </c>
      <c r="B181" s="894" t="s">
        <v>138</v>
      </c>
      <c r="C181" s="895" t="s">
        <v>139</v>
      </c>
      <c r="D181" s="899"/>
      <c r="E181" s="889"/>
      <c r="F181" s="889"/>
      <c r="G181" s="889"/>
      <c r="H181" s="889"/>
      <c r="I181" s="889"/>
      <c r="R181" s="163"/>
      <c r="S181" s="897" t="b">
        <f>'T2'!C16='T1'!K65</f>
        <v>1</v>
      </c>
      <c r="T181" s="897" t="b">
        <f>'T2'!D16='T1'!L65</f>
        <v>1</v>
      </c>
      <c r="U181" s="897" t="b">
        <f>'T2'!E16='T1'!M65</f>
        <v>1</v>
      </c>
      <c r="V181" s="897" t="b">
        <f>'T2'!F16='T1'!N65</f>
        <v>1</v>
      </c>
      <c r="W181" s="897" t="b">
        <f>'T2'!G16='T1'!O65</f>
        <v>1</v>
      </c>
    </row>
    <row r="182" spans="1:23" s="900" customFormat="1" outlineLevel="1">
      <c r="A182" s="893"/>
      <c r="B182" s="894"/>
      <c r="C182" s="898" t="s">
        <v>140</v>
      </c>
      <c r="D182" s="899"/>
      <c r="E182" s="889"/>
      <c r="F182" s="889"/>
      <c r="G182" s="889"/>
      <c r="H182" s="889"/>
      <c r="I182" s="889"/>
      <c r="R182" s="163"/>
      <c r="S182" s="902">
        <f>'T2'!C16</f>
        <v>106.44304700754894</v>
      </c>
      <c r="T182" s="902">
        <f>'T2'!D16</f>
        <v>108.5719079476999</v>
      </c>
      <c r="U182" s="902">
        <f>'T2'!E16</f>
        <v>110.74334610665392</v>
      </c>
      <c r="V182" s="902">
        <f>'T2'!F16</f>
        <v>115.21954018486758</v>
      </c>
      <c r="W182" s="902">
        <f>'T2'!G16</f>
        <v>116.98826086087693</v>
      </c>
    </row>
    <row r="183" spans="1:23" s="900" customFormat="1" outlineLevel="1">
      <c r="A183" s="893"/>
      <c r="B183" s="894"/>
      <c r="C183" s="898" t="s">
        <v>141</v>
      </c>
      <c r="D183" s="899"/>
      <c r="E183" s="889"/>
      <c r="F183" s="889"/>
      <c r="G183" s="889"/>
      <c r="H183" s="889"/>
      <c r="I183" s="889"/>
      <c r="R183" s="163"/>
      <c r="S183" s="902">
        <f>'T1'!K65</f>
        <v>106.44304700754894</v>
      </c>
      <c r="T183" s="902">
        <f>'T1'!L65</f>
        <v>108.5719079476999</v>
      </c>
      <c r="U183" s="902">
        <f>'T1'!M65</f>
        <v>110.74334610665392</v>
      </c>
      <c r="V183" s="902">
        <f>'T1'!N65</f>
        <v>115.21954018486758</v>
      </c>
      <c r="W183" s="902">
        <f>'T1'!O65</f>
        <v>116.98826086087693</v>
      </c>
    </row>
    <row r="184" spans="1:23" s="896" customFormat="1">
      <c r="A184" s="893" t="s">
        <v>142</v>
      </c>
      <c r="B184" s="894" t="s">
        <v>143</v>
      </c>
      <c r="C184" s="895" t="s">
        <v>144</v>
      </c>
      <c r="D184" s="899"/>
      <c r="E184" s="889"/>
      <c r="F184" s="889"/>
      <c r="G184" s="889"/>
      <c r="H184" s="889"/>
      <c r="I184" s="889"/>
      <c r="J184" s="889"/>
      <c r="K184" s="889"/>
      <c r="L184" s="889"/>
      <c r="M184" s="889"/>
      <c r="N184" s="889"/>
      <c r="R184" s="163"/>
      <c r="S184" s="889"/>
    </row>
    <row r="185" spans="1:23" s="900" customFormat="1" outlineLevel="1">
      <c r="A185" s="893"/>
      <c r="B185" s="894"/>
      <c r="C185" s="898" t="s">
        <v>145</v>
      </c>
      <c r="D185" s="899"/>
      <c r="E185" s="889"/>
      <c r="F185" s="889"/>
      <c r="G185" s="889"/>
      <c r="H185" s="889"/>
      <c r="I185" s="889"/>
      <c r="J185" s="889"/>
      <c r="K185" s="889"/>
      <c r="L185" s="889"/>
      <c r="M185" s="889"/>
      <c r="N185" s="889"/>
      <c r="R185" s="163"/>
      <c r="S185" s="889"/>
    </row>
    <row r="186" spans="1:23" s="900" customFormat="1" outlineLevel="1">
      <c r="A186" s="893"/>
      <c r="B186" s="894"/>
      <c r="C186" s="898" t="s">
        <v>146</v>
      </c>
      <c r="D186" s="899"/>
      <c r="E186" s="889"/>
      <c r="F186" s="889"/>
      <c r="G186" s="889"/>
      <c r="H186" s="889"/>
      <c r="I186" s="889"/>
      <c r="J186" s="889"/>
      <c r="K186" s="889"/>
      <c r="L186" s="889"/>
      <c r="M186" s="889"/>
      <c r="N186" s="889"/>
      <c r="R186" s="163"/>
      <c r="S186" s="889"/>
    </row>
    <row r="187" spans="1:23" s="896" customFormat="1">
      <c r="A187" s="893" t="s">
        <v>147</v>
      </c>
      <c r="B187" s="894" t="s">
        <v>148</v>
      </c>
      <c r="C187" s="895" t="s">
        <v>149</v>
      </c>
      <c r="D187" s="899"/>
      <c r="E187" s="889"/>
      <c r="F187" s="889"/>
      <c r="G187" s="889"/>
      <c r="H187" s="889"/>
      <c r="I187" s="889"/>
      <c r="J187" s="889"/>
      <c r="K187" s="889"/>
      <c r="L187" s="889"/>
      <c r="M187" s="889"/>
      <c r="N187" s="889"/>
      <c r="R187" s="163"/>
      <c r="S187" s="889"/>
    </row>
    <row r="188" spans="1:23" s="900" customFormat="1" outlineLevel="1">
      <c r="A188" s="893"/>
      <c r="B188" s="894"/>
      <c r="C188" s="898" t="s">
        <v>150</v>
      </c>
      <c r="D188" s="899"/>
      <c r="E188" s="889"/>
      <c r="F188" s="889"/>
      <c r="G188" s="889"/>
      <c r="H188" s="889"/>
      <c r="I188" s="889"/>
      <c r="J188" s="889"/>
      <c r="K188" s="889"/>
      <c r="L188" s="889"/>
      <c r="M188" s="889"/>
      <c r="N188" s="889"/>
      <c r="R188" s="163"/>
      <c r="S188" s="889"/>
    </row>
    <row r="189" spans="1:23" s="900" customFormat="1" outlineLevel="1">
      <c r="A189" s="893"/>
      <c r="B189" s="894"/>
      <c r="C189" s="898" t="s">
        <v>151</v>
      </c>
      <c r="D189" s="899"/>
      <c r="E189" s="889"/>
      <c r="F189" s="889"/>
      <c r="G189" s="889"/>
      <c r="H189" s="889"/>
      <c r="I189" s="889"/>
      <c r="J189" s="889"/>
      <c r="K189" s="889"/>
      <c r="L189" s="889"/>
      <c r="M189" s="889"/>
      <c r="N189" s="889"/>
      <c r="R189" s="163"/>
      <c r="S189" s="889"/>
    </row>
    <row r="190" spans="1:23" s="896" customFormat="1">
      <c r="A190" s="893" t="s">
        <v>152</v>
      </c>
      <c r="B190" s="894">
        <v>2.5</v>
      </c>
      <c r="C190" s="903" t="s">
        <v>153</v>
      </c>
      <c r="D190" s="881">
        <v>3</v>
      </c>
      <c r="E190" s="889"/>
      <c r="F190" s="889"/>
      <c r="G190" s="889"/>
      <c r="H190" s="889"/>
      <c r="I190" s="889"/>
      <c r="J190" s="889"/>
      <c r="K190" s="889"/>
      <c r="L190" s="889"/>
      <c r="M190" s="889"/>
      <c r="N190" s="889"/>
      <c r="R190" s="163"/>
    </row>
    <row r="191" spans="1:23" s="900" customFormat="1" outlineLevel="1">
      <c r="A191" s="893"/>
      <c r="B191" s="894"/>
      <c r="C191" s="904" t="s">
        <v>154</v>
      </c>
      <c r="D191" s="905"/>
      <c r="E191" s="889"/>
      <c r="G191" s="889"/>
      <c r="H191" s="889"/>
      <c r="I191" s="889"/>
      <c r="J191" s="889"/>
      <c r="K191" s="889"/>
      <c r="L191" s="889"/>
      <c r="M191" s="889"/>
      <c r="N191" s="889"/>
      <c r="R191" s="163"/>
    </row>
    <row r="192" spans="1:23" s="900" customFormat="1" outlineLevel="1">
      <c r="A192" s="893"/>
      <c r="B192" s="894"/>
      <c r="C192" s="904" t="s">
        <v>155</v>
      </c>
      <c r="D192" s="905"/>
      <c r="E192" s="889"/>
      <c r="F192" s="889"/>
      <c r="G192" s="889"/>
      <c r="H192" s="889"/>
      <c r="I192" s="889"/>
      <c r="J192" s="889"/>
      <c r="K192" s="889"/>
      <c r="L192" s="889"/>
      <c r="M192" s="889"/>
      <c r="N192" s="889"/>
      <c r="R192" s="163"/>
    </row>
    <row r="193" spans="1:23" s="896" customFormat="1">
      <c r="A193" s="893" t="s">
        <v>156</v>
      </c>
      <c r="B193" s="894" t="s">
        <v>81</v>
      </c>
      <c r="C193" s="895" t="s">
        <v>157</v>
      </c>
      <c r="D193" s="881">
        <v>3</v>
      </c>
      <c r="E193" s="889"/>
      <c r="F193" s="889"/>
      <c r="G193" s="889"/>
      <c r="H193" s="889"/>
      <c r="I193" s="889"/>
      <c r="J193" s="889"/>
      <c r="K193" s="889"/>
      <c r="L193" s="889"/>
      <c r="M193" s="889"/>
      <c r="N193" s="889"/>
      <c r="R193" s="163"/>
    </row>
    <row r="194" spans="1:23" s="900" customFormat="1" outlineLevel="1">
      <c r="A194" s="893"/>
      <c r="B194" s="894"/>
      <c r="C194" s="898" t="s">
        <v>158</v>
      </c>
      <c r="D194" s="899"/>
      <c r="E194" s="889"/>
      <c r="F194" s="889"/>
      <c r="G194" s="889"/>
      <c r="H194" s="889"/>
      <c r="I194" s="889"/>
      <c r="J194" s="889"/>
      <c r="K194" s="889"/>
      <c r="L194" s="889"/>
      <c r="M194" s="889"/>
      <c r="N194" s="889"/>
      <c r="R194" s="163"/>
    </row>
    <row r="195" spans="1:23" s="900" customFormat="1" outlineLevel="1">
      <c r="A195" s="893"/>
      <c r="B195" s="894"/>
      <c r="C195" s="883" t="s">
        <v>159</v>
      </c>
      <c r="D195" s="899"/>
      <c r="E195" s="889"/>
      <c r="F195" s="889"/>
      <c r="G195" s="889"/>
      <c r="H195" s="889"/>
      <c r="I195" s="889"/>
      <c r="J195" s="889"/>
      <c r="K195" s="889"/>
      <c r="L195" s="889"/>
      <c r="M195" s="889"/>
      <c r="N195" s="889"/>
      <c r="R195" s="163"/>
    </row>
    <row r="196" spans="1:23" s="896" customFormat="1">
      <c r="A196" s="893" t="s">
        <v>160</v>
      </c>
      <c r="B196" s="894" t="s">
        <v>161</v>
      </c>
      <c r="C196" s="895" t="s">
        <v>162</v>
      </c>
      <c r="D196" s="881">
        <v>3</v>
      </c>
      <c r="E196" s="889"/>
      <c r="F196" s="889"/>
      <c r="G196" s="889"/>
      <c r="H196" s="889"/>
      <c r="I196" s="889"/>
      <c r="R196" s="163"/>
      <c r="S196" s="897" t="b">
        <f>ROUND('T2'!C33,$D$196)=ROUND('T1 ANSP'!K61-'T1 ANSP'!K28,$D$196)</f>
        <v>1</v>
      </c>
      <c r="T196" s="897" t="b">
        <f>ROUND('T2'!D33,$D$196)=ROUND('T1 ANSP'!L61-'T1 ANSP'!L28,$D$196)</f>
        <v>1</v>
      </c>
      <c r="U196" s="897" t="b">
        <f>ROUND('T2'!E33,$D$196)=ROUND('T1 ANSP'!M61-'T1 ANSP'!M28,$D$196)</f>
        <v>1</v>
      </c>
      <c r="V196" s="897" t="b">
        <f>ROUND('T2'!F33,$D$196)=ROUND('T1 ANSP'!N61-'T1 ANSP'!N28,$D$196)</f>
        <v>1</v>
      </c>
      <c r="W196" s="897" t="b">
        <f>ROUND('T2'!G33,$D$196)=ROUND('T1 ANSP'!O61-'T1 ANSP'!O28,$D$196)</f>
        <v>1</v>
      </c>
    </row>
    <row r="197" spans="1:23" s="900" customFormat="1" outlineLevel="1">
      <c r="A197" s="893"/>
      <c r="B197" s="894"/>
      <c r="C197" s="898" t="s">
        <v>163</v>
      </c>
      <c r="D197" s="899"/>
      <c r="E197" s="889"/>
      <c r="F197" s="889"/>
      <c r="G197" s="889"/>
      <c r="H197" s="889"/>
      <c r="I197" s="889"/>
      <c r="R197" s="163"/>
      <c r="S197" s="901">
        <f>ROUND('T2'!C33,$D$196)</f>
        <v>689955.37800000003</v>
      </c>
      <c r="T197" s="901">
        <f>ROUND('T2'!D33,$D$196)</f>
        <v>674270.83200000005</v>
      </c>
      <c r="U197" s="901">
        <f>ROUND('T2'!E33,$D$196)</f>
        <v>688739.42299999995</v>
      </c>
      <c r="V197" s="901">
        <f>ROUND('T2'!F33,$D$196)</f>
        <v>703645.25600000005</v>
      </c>
      <c r="W197" s="901">
        <f>ROUND('T2'!G33,$D$196)</f>
        <v>738499.39399999997</v>
      </c>
    </row>
    <row r="198" spans="1:23" s="900" customFormat="1" outlineLevel="1">
      <c r="A198" s="893"/>
      <c r="B198" s="894"/>
      <c r="C198" s="898" t="s">
        <v>164</v>
      </c>
      <c r="D198" s="899"/>
      <c r="E198" s="889"/>
      <c r="F198" s="889"/>
      <c r="G198" s="889"/>
      <c r="H198" s="889"/>
      <c r="I198" s="889"/>
      <c r="R198" s="163"/>
      <c r="S198" s="901">
        <f>ROUND('T1 ANSP'!K61-'T1 ANSP'!K28,$D$196)</f>
        <v>689955.37800000003</v>
      </c>
      <c r="T198" s="901">
        <f>ROUND('T1 ANSP'!L61-'T1 ANSP'!L28,$D$196)</f>
        <v>674270.83200000005</v>
      </c>
      <c r="U198" s="901">
        <f>ROUND('T1 ANSP'!M61-'T1 ANSP'!M28,$D$196)</f>
        <v>688739.42299999995</v>
      </c>
      <c r="V198" s="901">
        <f>ROUND('T1 ANSP'!N61-'T1 ANSP'!N28,$D$196)</f>
        <v>703645.25600000005</v>
      </c>
      <c r="W198" s="901">
        <f>ROUND('T1 ANSP'!O61-'T1 ANSP'!O28,$D$196)</f>
        <v>738499.39399999997</v>
      </c>
    </row>
    <row r="199" spans="1:23" s="896" customFormat="1">
      <c r="A199" s="893" t="s">
        <v>165</v>
      </c>
      <c r="B199" s="894" t="s">
        <v>166</v>
      </c>
      <c r="C199" s="895" t="s">
        <v>167</v>
      </c>
      <c r="D199" s="881">
        <v>3</v>
      </c>
      <c r="E199" s="889"/>
      <c r="F199" s="889"/>
      <c r="G199" s="889"/>
      <c r="H199" s="889"/>
      <c r="I199" s="889"/>
      <c r="R199" s="163"/>
      <c r="S199" s="897" t="b">
        <f>ROUND('T2'!C38,$D$199)=ROUND('T1'!K68,$D$199)</f>
        <v>1</v>
      </c>
      <c r="T199" s="897" t="b">
        <f>ROUND('T2'!D38,$D$199)=ROUND('T1'!L68,$D$199)</f>
        <v>1</v>
      </c>
      <c r="U199" s="897" t="b">
        <f>ROUND('T2'!E38,$D$199)=ROUND('T1'!M68,$D$199)</f>
        <v>1</v>
      </c>
      <c r="V199" s="897" t="b">
        <f>ROUND('T2'!F38,$D$199)=ROUND('T1'!N68,$D$199)</f>
        <v>1</v>
      </c>
      <c r="W199" s="897" t="b">
        <f>ROUND('T2'!G38,$D$199)=ROUND('T1'!O68,$D$199)</f>
        <v>1</v>
      </c>
    </row>
    <row r="200" spans="1:23" s="900" customFormat="1" outlineLevel="1">
      <c r="A200" s="893"/>
      <c r="B200" s="894"/>
      <c r="C200" s="898" t="s">
        <v>168</v>
      </c>
      <c r="D200" s="899"/>
      <c r="E200" s="889"/>
      <c r="F200" s="889"/>
      <c r="G200" s="889"/>
      <c r="H200" s="889"/>
      <c r="I200" s="889"/>
      <c r="R200" s="163"/>
      <c r="S200" s="901">
        <f>ROUND('T2'!C38,$D$199)</f>
        <v>12647.945</v>
      </c>
      <c r="T200" s="901">
        <f>ROUND('T2'!D38,$D$199)</f>
        <v>12891</v>
      </c>
      <c r="U200" s="901">
        <f>ROUND('T2'!E38,$D$199)</f>
        <v>13183</v>
      </c>
      <c r="V200" s="901">
        <f>ROUND('T2'!F38,$D$199)</f>
        <v>11715</v>
      </c>
      <c r="W200" s="901">
        <f>ROUND('T2'!G38,$D$199)</f>
        <v>12228</v>
      </c>
    </row>
    <row r="201" spans="1:23" s="900" customFormat="1" outlineLevel="1">
      <c r="A201" s="893"/>
      <c r="B201" s="894"/>
      <c r="C201" s="898" t="s">
        <v>169</v>
      </c>
      <c r="D201" s="899"/>
      <c r="E201" s="889"/>
      <c r="F201" s="889"/>
      <c r="G201" s="889"/>
      <c r="H201" s="889"/>
      <c r="I201" s="889"/>
      <c r="R201" s="163"/>
      <c r="S201" s="901">
        <f>ROUND('T1'!K68,$D$199)</f>
        <v>12647.945</v>
      </c>
      <c r="T201" s="901">
        <f>ROUND('T1'!L68,$D$199)</f>
        <v>12891</v>
      </c>
      <c r="U201" s="901">
        <f>ROUND('T1'!M68,$D$199)</f>
        <v>13183</v>
      </c>
      <c r="V201" s="901">
        <f>ROUND('T1'!N68,$D$199)</f>
        <v>11715</v>
      </c>
      <c r="W201" s="901">
        <f>ROUND('T1'!O68,$D$199)</f>
        <v>12228</v>
      </c>
    </row>
    <row r="202" spans="1:23" s="896" customFormat="1">
      <c r="A202" s="893" t="s">
        <v>170</v>
      </c>
      <c r="B202" s="894">
        <v>4.7</v>
      </c>
      <c r="C202" s="903" t="s">
        <v>171</v>
      </c>
      <c r="D202" s="881">
        <v>3</v>
      </c>
      <c r="E202" s="889"/>
      <c r="F202" s="889"/>
      <c r="G202" s="889"/>
      <c r="H202" s="889"/>
      <c r="I202" s="889"/>
      <c r="J202" s="889"/>
      <c r="K202" s="889"/>
      <c r="L202" s="889"/>
      <c r="M202" s="889"/>
      <c r="N202" s="889"/>
      <c r="R202" s="163"/>
    </row>
    <row r="203" spans="1:23" s="900" customFormat="1" outlineLevel="1">
      <c r="A203" s="893"/>
      <c r="B203" s="894"/>
      <c r="C203" s="904" t="s">
        <v>172</v>
      </c>
      <c r="D203" s="905"/>
      <c r="E203" s="889"/>
      <c r="F203" s="889"/>
      <c r="G203" s="889"/>
      <c r="H203" s="889"/>
      <c r="I203" s="889"/>
      <c r="J203" s="889"/>
      <c r="K203" s="889"/>
      <c r="L203" s="889"/>
      <c r="M203" s="889"/>
      <c r="N203" s="889"/>
      <c r="R203" s="163"/>
    </row>
    <row r="204" spans="1:23" s="900" customFormat="1" outlineLevel="1">
      <c r="A204" s="893"/>
      <c r="B204" s="894"/>
      <c r="C204" s="904" t="s">
        <v>173</v>
      </c>
      <c r="D204" s="905"/>
      <c r="E204" s="889"/>
      <c r="F204" s="889"/>
      <c r="G204" s="889"/>
      <c r="H204" s="889"/>
      <c r="I204" s="889"/>
      <c r="J204" s="889"/>
      <c r="K204" s="889"/>
      <c r="L204" s="889"/>
      <c r="M204" s="889"/>
      <c r="N204" s="889"/>
      <c r="R204" s="163"/>
    </row>
    <row r="205" spans="1:23" s="896" customFormat="1">
      <c r="A205" s="893" t="s">
        <v>174</v>
      </c>
      <c r="B205" s="894">
        <v>4.8</v>
      </c>
      <c r="C205" s="903" t="s">
        <v>175</v>
      </c>
      <c r="D205" s="881">
        <v>3</v>
      </c>
      <c r="E205" s="889"/>
      <c r="F205" s="889"/>
      <c r="G205" s="889"/>
      <c r="H205" s="889"/>
      <c r="I205" s="889"/>
      <c r="J205" s="889"/>
      <c r="K205" s="889"/>
      <c r="L205" s="889"/>
      <c r="M205" s="889"/>
      <c r="N205" s="889"/>
      <c r="R205" s="163"/>
    </row>
    <row r="206" spans="1:23" s="900" customFormat="1" outlineLevel="1">
      <c r="A206" s="893"/>
      <c r="B206" s="894"/>
      <c r="C206" s="904" t="s">
        <v>176</v>
      </c>
      <c r="D206" s="905"/>
      <c r="E206" s="889"/>
      <c r="F206" s="889"/>
      <c r="G206" s="889"/>
      <c r="H206" s="889"/>
      <c r="I206" s="889"/>
      <c r="J206" s="889"/>
      <c r="K206" s="889"/>
      <c r="L206" s="889"/>
      <c r="M206" s="889"/>
      <c r="N206" s="889"/>
      <c r="R206" s="163"/>
    </row>
    <row r="207" spans="1:23" s="900" customFormat="1" outlineLevel="1">
      <c r="A207" s="893"/>
      <c r="B207" s="894"/>
      <c r="C207" s="904" t="s">
        <v>177</v>
      </c>
      <c r="D207" s="905"/>
      <c r="E207" s="889"/>
      <c r="F207" s="889"/>
      <c r="G207" s="889"/>
      <c r="H207" s="889"/>
      <c r="I207" s="889"/>
      <c r="J207" s="889"/>
      <c r="K207" s="889"/>
      <c r="L207" s="889"/>
      <c r="M207" s="889"/>
      <c r="N207" s="889"/>
      <c r="R207" s="163"/>
    </row>
    <row r="208" spans="1:23" s="896" customFormat="1">
      <c r="A208" s="893" t="s">
        <v>178</v>
      </c>
      <c r="B208" s="894" t="s">
        <v>179</v>
      </c>
      <c r="C208" s="903" t="s">
        <v>180</v>
      </c>
      <c r="D208" s="881">
        <v>3</v>
      </c>
      <c r="E208" s="889"/>
      <c r="F208" s="889"/>
      <c r="G208" s="889"/>
      <c r="H208" s="889"/>
      <c r="I208" s="889"/>
      <c r="J208" s="889"/>
      <c r="K208" s="889"/>
      <c r="L208" s="889"/>
      <c r="M208" s="889"/>
      <c r="N208" s="889"/>
      <c r="R208" s="163"/>
    </row>
    <row r="209" spans="1:18" s="900" customFormat="1" outlineLevel="1">
      <c r="A209" s="893"/>
      <c r="B209" s="894"/>
      <c r="C209" s="904" t="s">
        <v>181</v>
      </c>
      <c r="D209" s="899"/>
      <c r="E209" s="889"/>
      <c r="F209" s="889"/>
      <c r="G209" s="889"/>
      <c r="H209" s="889"/>
      <c r="I209" s="889"/>
      <c r="J209" s="889"/>
      <c r="K209" s="889"/>
      <c r="L209" s="889"/>
      <c r="M209" s="889"/>
      <c r="N209" s="889"/>
      <c r="R209" s="163"/>
    </row>
    <row r="210" spans="1:18" s="900" customFormat="1" outlineLevel="1">
      <c r="A210" s="893"/>
      <c r="B210" s="894"/>
      <c r="C210" s="904" t="s">
        <v>182</v>
      </c>
      <c r="D210" s="899"/>
      <c r="E210" s="889"/>
      <c r="F210" s="889"/>
      <c r="G210" s="889"/>
      <c r="H210" s="889"/>
      <c r="I210" s="889"/>
      <c r="J210" s="889"/>
      <c r="K210" s="889"/>
      <c r="L210" s="889"/>
      <c r="M210" s="889"/>
      <c r="N210" s="889"/>
      <c r="R210" s="163"/>
    </row>
    <row r="211" spans="1:18" s="896" customFormat="1">
      <c r="A211" s="893" t="s">
        <v>183</v>
      </c>
      <c r="B211" s="894" t="s">
        <v>34</v>
      </c>
      <c r="C211" s="895" t="s">
        <v>184</v>
      </c>
      <c r="D211" s="881">
        <v>3</v>
      </c>
      <c r="E211" s="889"/>
      <c r="F211" s="889"/>
      <c r="G211" s="889"/>
      <c r="H211" s="889"/>
      <c r="I211" s="889"/>
      <c r="J211" s="889"/>
      <c r="K211" s="889"/>
      <c r="L211" s="889"/>
      <c r="M211" s="889"/>
      <c r="N211" s="889"/>
      <c r="R211" s="163"/>
    </row>
    <row r="212" spans="1:18" s="900" customFormat="1" outlineLevel="1">
      <c r="A212" s="893"/>
      <c r="B212" s="894"/>
      <c r="C212" s="898" t="s">
        <v>185</v>
      </c>
      <c r="D212" s="899"/>
      <c r="E212" s="889"/>
      <c r="F212" s="889"/>
      <c r="G212" s="889"/>
      <c r="H212" s="889"/>
      <c r="I212" s="889"/>
      <c r="J212" s="889"/>
      <c r="K212" s="889"/>
      <c r="L212" s="889"/>
      <c r="M212" s="889"/>
      <c r="N212" s="889"/>
      <c r="R212" s="163"/>
    </row>
    <row r="213" spans="1:18" s="900" customFormat="1" outlineLevel="1">
      <c r="A213" s="893"/>
      <c r="B213" s="894"/>
      <c r="C213" s="898" t="s">
        <v>186</v>
      </c>
      <c r="D213" s="899"/>
      <c r="E213" s="889"/>
      <c r="F213" s="889"/>
      <c r="G213" s="889"/>
      <c r="H213" s="889"/>
      <c r="I213" s="889"/>
      <c r="J213" s="889"/>
      <c r="K213" s="889"/>
      <c r="L213" s="889"/>
      <c r="M213" s="889"/>
      <c r="N213" s="889"/>
      <c r="R213" s="163"/>
    </row>
    <row r="214" spans="1:18" s="896" customFormat="1">
      <c r="A214" s="893" t="s">
        <v>183</v>
      </c>
      <c r="B214" s="894" t="s">
        <v>38</v>
      </c>
      <c r="C214" s="895" t="s">
        <v>187</v>
      </c>
      <c r="D214" s="881">
        <v>3</v>
      </c>
      <c r="E214" s="889"/>
      <c r="F214" s="889"/>
      <c r="G214" s="889"/>
      <c r="H214" s="889"/>
      <c r="I214" s="889"/>
      <c r="J214" s="889"/>
      <c r="K214" s="889"/>
      <c r="L214" s="889"/>
      <c r="M214" s="889"/>
      <c r="N214" s="889"/>
      <c r="R214" s="163"/>
    </row>
    <row r="215" spans="1:18" s="900" customFormat="1" outlineLevel="1">
      <c r="A215" s="893"/>
      <c r="B215" s="894"/>
      <c r="C215" s="898" t="s">
        <v>185</v>
      </c>
      <c r="D215" s="899"/>
      <c r="E215" s="889"/>
      <c r="F215" s="889"/>
      <c r="G215" s="889"/>
      <c r="H215" s="889"/>
      <c r="I215" s="889"/>
      <c r="J215" s="889"/>
      <c r="K215" s="889"/>
      <c r="L215" s="889"/>
      <c r="M215" s="889"/>
      <c r="N215" s="889"/>
      <c r="R215" s="163"/>
    </row>
    <row r="216" spans="1:18" s="900" customFormat="1" outlineLevel="1">
      <c r="A216" s="893"/>
      <c r="B216" s="894"/>
      <c r="C216" s="898" t="s">
        <v>186</v>
      </c>
      <c r="D216" s="899"/>
      <c r="E216" s="889"/>
      <c r="F216" s="889"/>
      <c r="G216" s="889"/>
      <c r="H216" s="889"/>
      <c r="I216" s="889"/>
      <c r="J216" s="889"/>
      <c r="K216" s="889"/>
      <c r="L216" s="889"/>
      <c r="M216" s="889"/>
      <c r="N216" s="889"/>
      <c r="R216" s="163"/>
    </row>
    <row r="217" spans="1:18" s="896" customFormat="1">
      <c r="A217" s="893" t="s">
        <v>183</v>
      </c>
      <c r="B217" s="894" t="s">
        <v>58</v>
      </c>
      <c r="C217" s="895" t="s">
        <v>188</v>
      </c>
      <c r="D217" s="881">
        <v>3</v>
      </c>
      <c r="E217" s="889"/>
      <c r="F217" s="889"/>
      <c r="G217" s="889"/>
      <c r="H217" s="889"/>
      <c r="I217" s="889"/>
      <c r="J217" s="889"/>
      <c r="K217" s="889"/>
      <c r="L217" s="889"/>
      <c r="M217" s="889"/>
      <c r="N217" s="889"/>
      <c r="R217" s="163"/>
    </row>
    <row r="218" spans="1:18" s="900" customFormat="1" outlineLevel="1">
      <c r="A218" s="893"/>
      <c r="B218" s="894"/>
      <c r="C218" s="898" t="s">
        <v>189</v>
      </c>
      <c r="D218" s="899"/>
      <c r="E218" s="889"/>
      <c r="F218" s="889"/>
      <c r="G218" s="889"/>
      <c r="H218" s="889"/>
      <c r="I218" s="889"/>
      <c r="J218" s="889"/>
      <c r="K218" s="889"/>
      <c r="L218" s="889"/>
      <c r="M218" s="889"/>
      <c r="N218" s="889"/>
      <c r="R218" s="163"/>
    </row>
    <row r="219" spans="1:18" s="900" customFormat="1" outlineLevel="1">
      <c r="A219" s="893"/>
      <c r="B219" s="894"/>
      <c r="C219" s="898" t="s">
        <v>190</v>
      </c>
      <c r="D219" s="899"/>
      <c r="E219" s="889"/>
      <c r="F219" s="889"/>
      <c r="G219" s="889"/>
      <c r="H219" s="889"/>
      <c r="I219" s="889"/>
      <c r="J219" s="889"/>
      <c r="K219" s="889"/>
      <c r="L219" s="889"/>
      <c r="M219" s="889"/>
      <c r="N219" s="889"/>
      <c r="R219" s="163"/>
    </row>
    <row r="220" spans="1:18" s="896" customFormat="1">
      <c r="A220" s="893" t="s">
        <v>191</v>
      </c>
      <c r="B220" s="894" t="s">
        <v>192</v>
      </c>
      <c r="C220" s="895" t="s">
        <v>193</v>
      </c>
      <c r="D220" s="881">
        <v>3</v>
      </c>
      <c r="E220" s="889"/>
      <c r="F220" s="889"/>
      <c r="G220" s="889"/>
      <c r="H220" s="889"/>
      <c r="I220" s="889"/>
      <c r="J220" s="889"/>
      <c r="K220" s="889"/>
      <c r="L220" s="889"/>
      <c r="M220" s="889"/>
      <c r="N220" s="889"/>
      <c r="R220" s="163"/>
    </row>
    <row r="221" spans="1:18" s="900" customFormat="1" outlineLevel="1">
      <c r="A221" s="893"/>
      <c r="B221" s="894"/>
      <c r="C221" s="898" t="s">
        <v>194</v>
      </c>
      <c r="D221" s="899"/>
      <c r="E221" s="889"/>
      <c r="F221" s="889"/>
      <c r="G221" s="889"/>
      <c r="H221" s="889"/>
      <c r="I221" s="889"/>
      <c r="J221" s="889"/>
      <c r="K221" s="889"/>
      <c r="L221" s="889"/>
      <c r="M221" s="889"/>
      <c r="N221" s="889"/>
      <c r="R221" s="163"/>
    </row>
    <row r="222" spans="1:18" s="900" customFormat="1" outlineLevel="1">
      <c r="A222" s="893"/>
      <c r="B222" s="894"/>
      <c r="C222" s="883" t="s">
        <v>195</v>
      </c>
      <c r="D222" s="899"/>
      <c r="E222" s="889"/>
      <c r="F222" s="889"/>
      <c r="G222" s="889"/>
      <c r="H222" s="889"/>
      <c r="I222" s="889"/>
      <c r="J222" s="889"/>
      <c r="K222" s="889"/>
      <c r="L222" s="889"/>
      <c r="M222" s="889"/>
      <c r="N222" s="889"/>
      <c r="R222" s="163"/>
    </row>
    <row r="223" spans="1:18" s="896" customFormat="1">
      <c r="A223" s="893" t="s">
        <v>196</v>
      </c>
      <c r="B223" s="894" t="s">
        <v>197</v>
      </c>
      <c r="C223" s="895" t="s">
        <v>198</v>
      </c>
      <c r="D223" s="881">
        <v>3</v>
      </c>
      <c r="E223" s="889"/>
      <c r="F223" s="889"/>
      <c r="G223" s="889"/>
      <c r="H223" s="889"/>
      <c r="I223" s="889"/>
      <c r="J223" s="889"/>
      <c r="K223" s="889"/>
      <c r="L223" s="889"/>
      <c r="M223" s="889"/>
      <c r="N223" s="889"/>
      <c r="R223" s="163"/>
    </row>
    <row r="224" spans="1:18" s="900" customFormat="1" outlineLevel="1">
      <c r="A224" s="893"/>
      <c r="B224" s="894"/>
      <c r="C224" s="898" t="s">
        <v>199</v>
      </c>
      <c r="D224" s="899"/>
      <c r="E224" s="889"/>
      <c r="F224" s="889"/>
      <c r="G224" s="889"/>
      <c r="H224" s="889"/>
      <c r="I224" s="889"/>
      <c r="J224" s="889"/>
      <c r="K224" s="889"/>
      <c r="L224" s="889"/>
      <c r="M224" s="889"/>
      <c r="N224" s="889"/>
      <c r="R224" s="163"/>
    </row>
    <row r="225" spans="1:23" s="900" customFormat="1" outlineLevel="1">
      <c r="A225" s="893"/>
      <c r="B225" s="894"/>
      <c r="C225" s="883" t="s">
        <v>200</v>
      </c>
      <c r="D225" s="899"/>
      <c r="E225" s="889"/>
      <c r="F225" s="889"/>
      <c r="G225" s="889"/>
      <c r="H225" s="889"/>
      <c r="I225" s="889"/>
      <c r="J225" s="889"/>
      <c r="K225" s="889"/>
      <c r="L225" s="889"/>
      <c r="M225" s="889"/>
      <c r="N225" s="889"/>
      <c r="R225" s="163"/>
    </row>
    <row r="226" spans="1:23" s="896" customFormat="1">
      <c r="A226" s="893" t="s">
        <v>133</v>
      </c>
      <c r="B226" s="894" t="s">
        <v>201</v>
      </c>
      <c r="C226" s="895" t="s">
        <v>202</v>
      </c>
      <c r="D226" s="881">
        <v>3</v>
      </c>
      <c r="E226" s="889"/>
      <c r="F226" s="889"/>
      <c r="G226" s="889"/>
      <c r="H226" s="889"/>
      <c r="I226" s="889"/>
      <c r="R226" s="163"/>
      <c r="S226" s="897" t="b">
        <f>ROUND('T2'!C81,$D$226)=ROUND('T2'!C12,$D$226)</f>
        <v>1</v>
      </c>
      <c r="T226" s="897" t="b">
        <f>ROUND('T2'!D81,$D$226)=ROUND('T2'!D12,$D$226)</f>
        <v>1</v>
      </c>
      <c r="U226" s="897" t="b">
        <f>ROUND('T2'!E81,$D$226)=ROUND('T2'!E12,$D$226)</f>
        <v>1</v>
      </c>
      <c r="V226" s="897" t="b">
        <f>ROUND('T2'!F81,$D$226)=ROUND('T2'!F12,$D$226)</f>
        <v>0</v>
      </c>
      <c r="W226" s="897" t="b">
        <f>ROUND('T2'!G81,$D$226)=ROUND('T2'!G12,$D$226)</f>
        <v>0</v>
      </c>
    </row>
    <row r="227" spans="1:23" s="900" customFormat="1" outlineLevel="1">
      <c r="A227" s="893"/>
      <c r="B227" s="894"/>
      <c r="C227" s="898" t="s">
        <v>203</v>
      </c>
      <c r="D227" s="899"/>
      <c r="E227" s="889"/>
      <c r="F227" s="889"/>
      <c r="G227" s="889"/>
      <c r="H227" s="889"/>
      <c r="I227" s="889"/>
      <c r="R227" s="163"/>
      <c r="S227" s="901">
        <f>ROUND('T2'!C81,$D$226)</f>
        <v>790418.9</v>
      </c>
      <c r="T227" s="901">
        <f>ROUND('T2'!D81,$D$226)</f>
        <v>775027.03399999999</v>
      </c>
      <c r="U227" s="901">
        <f>ROUND('T2'!E81,$D$226)</f>
        <v>790935.59299999999</v>
      </c>
      <c r="V227" s="901">
        <f>ROUND('T2'!F81,$D$226)</f>
        <v>813437.10400000005</v>
      </c>
      <c r="W227" s="901">
        <f>ROUND('T2'!G81,$D$226)</f>
        <v>854047.46400000004</v>
      </c>
    </row>
    <row r="228" spans="1:23" s="900" customFormat="1" outlineLevel="1">
      <c r="A228" s="893"/>
      <c r="B228" s="894"/>
      <c r="C228" s="898" t="s">
        <v>204</v>
      </c>
      <c r="D228" s="899"/>
      <c r="E228" s="889"/>
      <c r="F228" s="889"/>
      <c r="G228" s="889"/>
      <c r="H228" s="889"/>
      <c r="I228" s="889"/>
      <c r="R228" s="163"/>
      <c r="S228" s="901">
        <f>ROUND('T2'!C12,$D$226)</f>
        <v>790418.9</v>
      </c>
      <c r="T228" s="901">
        <f>ROUND('T2'!D12,$D$226)</f>
        <v>775027.03399999999</v>
      </c>
      <c r="U228" s="901">
        <f>ROUND('T2'!E12,$D$226)</f>
        <v>790935.59299999999</v>
      </c>
      <c r="V228" s="901">
        <f>ROUND('T2'!F12,$D$226)</f>
        <v>813438.897</v>
      </c>
      <c r="W228" s="901">
        <f>ROUND('T2'!G12,$D$226)</f>
        <v>854052.39599999995</v>
      </c>
    </row>
    <row r="229" spans="1:23">
      <c r="A229" s="893" t="s">
        <v>205</v>
      </c>
      <c r="B229" s="894" t="s">
        <v>206</v>
      </c>
      <c r="C229" s="906" t="s">
        <v>207</v>
      </c>
      <c r="D229" s="881">
        <v>3</v>
      </c>
      <c r="E229" s="889"/>
      <c r="F229" s="889"/>
      <c r="G229" s="889"/>
      <c r="H229" s="889"/>
      <c r="I229" s="889"/>
      <c r="J229" s="163"/>
      <c r="K229" s="163"/>
      <c r="L229" s="163"/>
      <c r="S229" s="897" t="b">
        <f>ROUND('T2'!C82,$D$229)=ROUND('T3'!E17,$D$229)</f>
        <v>0</v>
      </c>
      <c r="T229" s="897" t="b">
        <f>ROUND('T2'!D82,$D$229)=ROUND('T3'!F17,$D$229)</f>
        <v>0</v>
      </c>
      <c r="U229" s="897" t="b">
        <f>ROUND('T2'!E82,$D$229)=ROUND('T3'!G17,$D$229)</f>
        <v>0</v>
      </c>
      <c r="V229" s="897" t="b">
        <f>ROUND('T2'!F82,$D$229)=ROUND('T3'!H17,$D$229)</f>
        <v>0</v>
      </c>
      <c r="W229" s="897" t="b">
        <f>ROUND('T2'!G82,$D$229)=ROUND('T3'!I17,$D$229)</f>
        <v>0</v>
      </c>
    </row>
    <row r="230" spans="1:23" outlineLevel="1">
      <c r="A230" s="894"/>
      <c r="B230" s="894"/>
      <c r="C230" s="907" t="s">
        <v>208</v>
      </c>
      <c r="D230" s="908"/>
      <c r="E230" s="889"/>
      <c r="F230" s="889"/>
      <c r="G230" s="889"/>
      <c r="H230" s="889"/>
      <c r="I230" s="889"/>
      <c r="J230" s="163"/>
      <c r="K230" s="163"/>
      <c r="L230" s="163"/>
      <c r="S230" s="901">
        <f>ROUND('T2'!C82,$D$229)</f>
        <v>-15141.944</v>
      </c>
      <c r="T230" s="901">
        <f>ROUND('T2'!D82,$D$229)</f>
        <v>-16221.846</v>
      </c>
      <c r="U230" s="901">
        <f>ROUND('T2'!E82,$D$229)</f>
        <v>-7849.02</v>
      </c>
      <c r="V230" s="901">
        <f>ROUND('T2'!F82,$D$229)</f>
        <v>-4067.4319999999998</v>
      </c>
      <c r="W230" s="901">
        <f>ROUND('T2'!G82,$D$229)</f>
        <v>32556.48</v>
      </c>
    </row>
    <row r="231" spans="1:23" outlineLevel="1">
      <c r="A231" s="894"/>
      <c r="B231" s="894"/>
      <c r="C231" s="907" t="s">
        <v>209</v>
      </c>
      <c r="D231" s="908"/>
      <c r="E231" s="889"/>
      <c r="F231" s="889"/>
      <c r="G231" s="889"/>
      <c r="H231" s="889"/>
      <c r="I231" s="889"/>
      <c r="J231" s="163"/>
      <c r="K231" s="163"/>
      <c r="L231" s="163"/>
      <c r="S231" s="901">
        <f>ROUND('T3'!E17,$D$229)</f>
        <v>0</v>
      </c>
      <c r="T231" s="901">
        <f>ROUND('T3'!F17,$D$229)</f>
        <v>0</v>
      </c>
      <c r="U231" s="901">
        <f>ROUND('T3'!G17,$D$229)</f>
        <v>0</v>
      </c>
      <c r="V231" s="901">
        <f>ROUND('T3'!H17,$D$229)</f>
        <v>0</v>
      </c>
      <c r="W231" s="901">
        <f>ROUND('T3'!I17,$D$229)</f>
        <v>0</v>
      </c>
    </row>
    <row r="232" spans="1:23">
      <c r="A232" s="894" t="s">
        <v>210</v>
      </c>
      <c r="B232" s="894" t="s">
        <v>211</v>
      </c>
      <c r="C232" s="906" t="s">
        <v>212</v>
      </c>
      <c r="D232" s="881">
        <v>3</v>
      </c>
      <c r="E232" s="889"/>
      <c r="F232" s="889"/>
      <c r="G232" s="889"/>
      <c r="H232" s="889"/>
      <c r="I232" s="889"/>
      <c r="J232" s="163"/>
      <c r="K232" s="163"/>
      <c r="L232" s="163"/>
      <c r="S232" s="897" t="b">
        <f>ROUND('T2'!C83,$D$232)=ROUND('T3'!E28,$D$232)</f>
        <v>0</v>
      </c>
      <c r="T232" s="897" t="b">
        <f>ROUND('T2'!D83,$D$232)=ROUND('T3'!F28,$D$232)</f>
        <v>0</v>
      </c>
      <c r="U232" s="897" t="b">
        <f>ROUND('T2'!E83,$D$232)=ROUND('T3'!G28,$D$232)</f>
        <v>1</v>
      </c>
      <c r="V232" s="897" t="b">
        <f>ROUND('T2'!F83,$D$232)=ROUND('T3'!H28,$D$232)</f>
        <v>0</v>
      </c>
      <c r="W232" s="897" t="b">
        <f>ROUND('T2'!G83,$D$232)=ROUND('T3'!I28,$D$232)</f>
        <v>0</v>
      </c>
    </row>
    <row r="233" spans="1:23" outlineLevel="1">
      <c r="A233" s="894"/>
      <c r="B233" s="894"/>
      <c r="C233" s="907" t="s">
        <v>208</v>
      </c>
      <c r="D233" s="908"/>
      <c r="E233" s="889"/>
      <c r="F233" s="889"/>
      <c r="G233" s="889"/>
      <c r="H233" s="889"/>
      <c r="I233" s="889"/>
      <c r="J233" s="163"/>
      <c r="K233" s="163"/>
      <c r="L233" s="163"/>
      <c r="S233" s="901">
        <f>ROUND('T2'!C83,$D$232)</f>
        <v>-52778.572999999997</v>
      </c>
      <c r="T233" s="901">
        <f>ROUND('T2'!D83,$D$232)</f>
        <v>-62084.313000000002</v>
      </c>
      <c r="U233" s="901">
        <f>ROUND('T2'!E83,$D$232)</f>
        <v>0</v>
      </c>
      <c r="V233" s="901">
        <f>ROUND('T2'!F83,$D$232)</f>
        <v>65346.476000000002</v>
      </c>
      <c r="W233" s="901">
        <f>ROUND('T2'!G83,$D$232)</f>
        <v>29578.795999999998</v>
      </c>
    </row>
    <row r="234" spans="1:23" outlineLevel="1">
      <c r="A234" s="894"/>
      <c r="B234" s="894"/>
      <c r="C234" s="907" t="s">
        <v>209</v>
      </c>
      <c r="D234" s="908"/>
      <c r="E234" s="889"/>
      <c r="F234" s="889"/>
      <c r="G234" s="889"/>
      <c r="H234" s="889"/>
      <c r="I234" s="889"/>
      <c r="J234" s="163"/>
      <c r="K234" s="163"/>
      <c r="L234" s="163"/>
      <c r="S234" s="901">
        <f>ROUND('T3'!E28,$D$232)</f>
        <v>0</v>
      </c>
      <c r="T234" s="901">
        <f>ROUND('T3'!F28,$D$232)</f>
        <v>0</v>
      </c>
      <c r="U234" s="901">
        <f>ROUND('T3'!G28,$D$232)</f>
        <v>0</v>
      </c>
      <c r="V234" s="901">
        <f>ROUND('T3'!H28,$D$232)</f>
        <v>0</v>
      </c>
      <c r="W234" s="901">
        <f>ROUND('T3'!I28,$D$232)</f>
        <v>0</v>
      </c>
    </row>
    <row r="235" spans="1:23">
      <c r="A235" s="894" t="s">
        <v>213</v>
      </c>
      <c r="B235" s="894" t="s">
        <v>214</v>
      </c>
      <c r="C235" s="906" t="s">
        <v>215</v>
      </c>
      <c r="D235" s="881">
        <v>3</v>
      </c>
      <c r="E235" s="889"/>
      <c r="F235" s="889"/>
      <c r="G235" s="889"/>
      <c r="H235" s="889"/>
      <c r="I235" s="889"/>
      <c r="J235" s="163"/>
      <c r="K235" s="163"/>
      <c r="L235" s="163"/>
      <c r="S235" s="897" t="b">
        <f>ROUND('T2'!C84,$D$235)=ROUND('T3'!E35+'T3'!E42+'T3'!E49+'T3'!E56+'T3'!E63+'T3'!E70+'T3'!E75,$D$235)</f>
        <v>0</v>
      </c>
      <c r="T235" s="897" t="b">
        <f>ROUND('T2'!D84,$D$235)=ROUND('T3'!F35+'T3'!F42+'T3'!F49+'T3'!F56+'T3'!F63+'T3'!F70+'T3'!F75,$D$235)</f>
        <v>0</v>
      </c>
      <c r="U235" s="897" t="b">
        <f>ROUND('T2'!E84,$D$235)=ROUND('T3'!G35+'T3'!G42+'T3'!G49+'T3'!G56+'T3'!G63+'T3'!G70+'T3'!G75,$D$235)</f>
        <v>0</v>
      </c>
      <c r="V235" s="897" t="b">
        <f>ROUND('T2'!F84,$D$235)=ROUND('T3'!H35+'T3'!H42+'T3'!H49+'T3'!H56+'T3'!H63+'T3'!H70+'T3'!H75,$D$235)</f>
        <v>0</v>
      </c>
      <c r="W235" s="897" t="b">
        <f>ROUND('T2'!G84,$D$235)=ROUND('T3'!I35+'T3'!I42+'T3'!I49+'T3'!I56+'T3'!I63+'T3'!I70+'T3'!I75,$D$235)</f>
        <v>0</v>
      </c>
    </row>
    <row r="236" spans="1:23" outlineLevel="1">
      <c r="A236" s="894"/>
      <c r="B236" s="894"/>
      <c r="C236" s="907" t="s">
        <v>208</v>
      </c>
      <c r="D236" s="908"/>
      <c r="E236" s="889"/>
      <c r="F236" s="889"/>
      <c r="G236" s="889"/>
      <c r="H236" s="889"/>
      <c r="I236" s="889"/>
      <c r="J236" s="163"/>
      <c r="K236" s="163"/>
      <c r="L236" s="163"/>
      <c r="S236" s="901">
        <f>ROUND('T2'!C84,$D$235)</f>
        <v>1590.664</v>
      </c>
      <c r="T236" s="901">
        <f>ROUND('T2'!D84,$D$235)</f>
        <v>2414.7139999999999</v>
      </c>
      <c r="U236" s="901">
        <f>ROUND('T2'!E84,$D$235)</f>
        <v>8029.8140000000003</v>
      </c>
      <c r="V236" s="901">
        <f>ROUND('T2'!F84,$D$235)</f>
        <v>2283.0140000000001</v>
      </c>
      <c r="W236" s="901">
        <f>ROUND('T2'!G84,$D$235)</f>
        <v>3829.1979999999999</v>
      </c>
    </row>
    <row r="237" spans="1:23" outlineLevel="1">
      <c r="A237" s="894"/>
      <c r="B237" s="894"/>
      <c r="C237" s="907" t="s">
        <v>209</v>
      </c>
      <c r="D237" s="908"/>
      <c r="E237" s="889"/>
      <c r="F237" s="889"/>
      <c r="G237" s="889"/>
      <c r="H237" s="889"/>
      <c r="I237" s="889"/>
      <c r="J237" s="163"/>
      <c r="K237" s="163"/>
      <c r="L237" s="163"/>
      <c r="S237" s="901">
        <f>ROUND('T3'!E35+'T3'!E42+'T3'!E49+'T3'!E56+'T3'!E63+'T3'!E70+'T3'!E75,$D$235)</f>
        <v>0</v>
      </c>
      <c r="T237" s="901">
        <f>ROUND('T3'!F35+'T3'!F42+'T3'!F49+'T3'!F56+'T3'!F63+'T3'!F70+'T3'!F75,$D$235)</f>
        <v>0</v>
      </c>
      <c r="U237" s="901">
        <f>ROUND('T3'!G35+'T3'!G42+'T3'!G49+'T3'!G56+'T3'!G63+'T3'!G70+'T3'!G75,$D$235)</f>
        <v>0</v>
      </c>
      <c r="V237" s="901">
        <f>ROUND('T3'!H35+'T3'!H42+'T3'!H49+'T3'!H56+'T3'!H63+'T3'!H70+'T3'!H75,$D$235)</f>
        <v>0</v>
      </c>
      <c r="W237" s="901">
        <f>ROUND('T3'!I35+'T3'!I42+'T3'!I49+'T3'!I56+'T3'!I63+'T3'!I70+'T3'!I75,$D$235)</f>
        <v>0</v>
      </c>
    </row>
    <row r="238" spans="1:23">
      <c r="A238" s="894" t="s">
        <v>216</v>
      </c>
      <c r="B238" s="894" t="s">
        <v>217</v>
      </c>
      <c r="C238" s="906" t="s">
        <v>218</v>
      </c>
      <c r="D238" s="881">
        <v>3</v>
      </c>
      <c r="E238" s="889"/>
      <c r="F238" s="889"/>
      <c r="G238" s="889"/>
      <c r="H238" s="889"/>
      <c r="I238" s="889"/>
      <c r="J238" s="163"/>
      <c r="K238" s="163"/>
      <c r="L238" s="163"/>
      <c r="S238" s="897" t="b">
        <f>ROUND('T2'!C85,$D$238)=ROUND('T3'!E86,$D$238)</f>
        <v>0</v>
      </c>
      <c r="T238" s="897" t="b">
        <f>ROUND('T2'!D85,$D$238)=ROUND('T3'!F86,$D$238)</f>
        <v>0</v>
      </c>
      <c r="U238" s="897" t="b">
        <f>ROUND('T2'!E85,$D$238)=ROUND('T3'!G86,$D$238)</f>
        <v>1</v>
      </c>
      <c r="V238" s="897" t="b">
        <f>ROUND('T2'!F85,$D$238)=ROUND('T3'!H86,$D$238)</f>
        <v>1</v>
      </c>
      <c r="W238" s="897" t="b">
        <f>ROUND('T2'!G85,$D$238)=ROUND('T3'!I86,$D$238)</f>
        <v>1</v>
      </c>
    </row>
    <row r="239" spans="1:23" outlineLevel="1">
      <c r="A239" s="894"/>
      <c r="B239" s="894"/>
      <c r="C239" s="907" t="s">
        <v>208</v>
      </c>
      <c r="D239" s="908"/>
      <c r="E239" s="889"/>
      <c r="F239" s="889"/>
      <c r="G239" s="889"/>
      <c r="H239" s="889"/>
      <c r="I239" s="889"/>
      <c r="J239" s="163"/>
      <c r="K239" s="163"/>
      <c r="L239" s="163"/>
      <c r="S239" s="901">
        <f>ROUND('T2'!C85,$D$238)</f>
        <v>-264.10899999999998</v>
      </c>
      <c r="T239" s="901">
        <f>ROUND('T2'!D85,$D$238)</f>
        <v>228.011</v>
      </c>
      <c r="U239" s="901">
        <f>ROUND('T2'!E85,$D$238)</f>
        <v>0</v>
      </c>
      <c r="V239" s="901">
        <f>ROUND('T2'!F85,$D$238)</f>
        <v>0</v>
      </c>
      <c r="W239" s="901">
        <f>ROUND('T2'!G85,$D$238)</f>
        <v>0</v>
      </c>
    </row>
    <row r="240" spans="1:23" outlineLevel="1">
      <c r="A240" s="894"/>
      <c r="B240" s="894"/>
      <c r="C240" s="907" t="s">
        <v>209</v>
      </c>
      <c r="D240" s="908"/>
      <c r="E240" s="889"/>
      <c r="F240" s="889"/>
      <c r="G240" s="889"/>
      <c r="H240" s="889"/>
      <c r="I240" s="889"/>
      <c r="J240" s="163"/>
      <c r="K240" s="163"/>
      <c r="L240" s="163"/>
      <c r="S240" s="901">
        <f>ROUND('T3'!E86,$D$238)</f>
        <v>0</v>
      </c>
      <c r="T240" s="901">
        <f>ROUND('T3'!F86,$D$238)</f>
        <v>0</v>
      </c>
      <c r="U240" s="901">
        <f>ROUND('T3'!G86,$D$238)</f>
        <v>0</v>
      </c>
      <c r="V240" s="901">
        <f>ROUND('T3'!H86,$D$238)</f>
        <v>0</v>
      </c>
      <c r="W240" s="901">
        <f>ROUND('T3'!I86,$D$238)</f>
        <v>0</v>
      </c>
    </row>
    <row r="241" spans="1:26">
      <c r="A241" s="894" t="s">
        <v>219</v>
      </c>
      <c r="B241" s="894" t="s">
        <v>220</v>
      </c>
      <c r="C241" s="906" t="s">
        <v>221</v>
      </c>
      <c r="D241" s="881">
        <v>3</v>
      </c>
      <c r="E241" s="889"/>
      <c r="F241" s="889"/>
      <c r="G241" s="889"/>
      <c r="H241" s="889"/>
      <c r="I241" s="889"/>
      <c r="J241" s="163"/>
      <c r="K241" s="163"/>
      <c r="L241" s="163"/>
      <c r="S241" s="897" t="b">
        <f>ROUND('T2'!C86,$D$241)=ROUND('T3'!E97,$D$241)</f>
        <v>1</v>
      </c>
      <c r="T241" s="897" t="b">
        <f>ROUND('T2'!D86,$D$241)=ROUND('T3'!F97,$D$241)</f>
        <v>1</v>
      </c>
      <c r="U241" s="897" t="b">
        <f>ROUND('T2'!E86,$D$241)=ROUND('T3'!G97,$D$241)</f>
        <v>1</v>
      </c>
      <c r="V241" s="897" t="b">
        <f>ROUND('T2'!F86,$D$241)=ROUND('T3'!H97,$D$241)</f>
        <v>0</v>
      </c>
      <c r="W241" s="897" t="b">
        <f>ROUND('T2'!G86,$D$241)=ROUND('T3'!I97,$D$241)</f>
        <v>0</v>
      </c>
    </row>
    <row r="242" spans="1:26" outlineLevel="1">
      <c r="A242" s="894"/>
      <c r="B242" s="894"/>
      <c r="C242" s="907" t="s">
        <v>208</v>
      </c>
      <c r="D242" s="908"/>
      <c r="E242" s="889"/>
      <c r="F242" s="889"/>
      <c r="G242" s="889"/>
      <c r="H242" s="889"/>
      <c r="I242" s="889"/>
      <c r="J242" s="163"/>
      <c r="K242" s="163"/>
      <c r="L242" s="163"/>
      <c r="S242" s="901">
        <f>ROUND('T2'!C86,$D$241)</f>
        <v>0</v>
      </c>
      <c r="T242" s="901">
        <f>ROUND('T2'!D86,$D$241)</f>
        <v>0</v>
      </c>
      <c r="U242" s="901">
        <f>ROUND('T2'!E86,$D$241)</f>
        <v>0</v>
      </c>
      <c r="V242" s="901">
        <f>ROUND('T2'!F86,$D$241)</f>
        <v>2017.3579999999999</v>
      </c>
      <c r="W242" s="901">
        <f>ROUND('T2'!G86,$D$241)</f>
        <v>-17640.106</v>
      </c>
    </row>
    <row r="243" spans="1:26" outlineLevel="1">
      <c r="A243" s="894"/>
      <c r="B243" s="894"/>
      <c r="C243" s="907" t="s">
        <v>209</v>
      </c>
      <c r="D243" s="908"/>
      <c r="E243" s="889"/>
      <c r="F243" s="889"/>
      <c r="G243" s="889"/>
      <c r="H243" s="889"/>
      <c r="I243" s="889"/>
      <c r="J243" s="163"/>
      <c r="K243" s="163"/>
      <c r="L243" s="163"/>
      <c r="S243" s="901">
        <f>ROUND('T3'!E97,$D$241)</f>
        <v>0</v>
      </c>
      <c r="T243" s="901">
        <f>ROUND('T3'!F97,$D$241)</f>
        <v>0</v>
      </c>
      <c r="U243" s="901">
        <f>ROUND('T3'!G97,$D$241)</f>
        <v>0</v>
      </c>
      <c r="V243" s="901">
        <f>ROUND('T3'!H97,$D$241)</f>
        <v>0</v>
      </c>
      <c r="W243" s="901">
        <f>ROUND('T3'!I97,$D$241)</f>
        <v>0</v>
      </c>
    </row>
    <row r="244" spans="1:26">
      <c r="A244" s="894" t="s">
        <v>222</v>
      </c>
      <c r="B244" s="894" t="s">
        <v>223</v>
      </c>
      <c r="C244" s="906" t="s">
        <v>224</v>
      </c>
      <c r="D244" s="881">
        <v>3</v>
      </c>
      <c r="E244" s="889"/>
      <c r="F244" s="889"/>
      <c r="G244" s="889"/>
      <c r="H244" s="889"/>
      <c r="I244" s="889"/>
      <c r="J244" s="163"/>
      <c r="K244" s="163"/>
      <c r="L244" s="163"/>
      <c r="S244" s="897" t="b">
        <f>ROUND('T2'!C87,$D$244)=ROUND('T3'!E114,$D$244)</f>
        <v>0</v>
      </c>
      <c r="T244" s="897" t="b">
        <f>ROUND('T2'!D87,$D$244)=ROUND('T3'!F114,$D$244)</f>
        <v>0</v>
      </c>
      <c r="U244" s="897" t="b">
        <f>ROUND('T2'!E87,$D$244)=ROUND('T3'!G114,$D$244)</f>
        <v>0</v>
      </c>
      <c r="V244" s="897" t="b">
        <f>ROUND('T2'!F87,$D$244)=ROUND('T3'!H114,$D$244)</f>
        <v>0</v>
      </c>
      <c r="W244" s="897" t="b">
        <f>ROUND('T2'!G87,$D$244)=ROUND('T3'!I114,$D$244)</f>
        <v>0</v>
      </c>
    </row>
    <row r="245" spans="1:26" outlineLevel="1">
      <c r="A245" s="894"/>
      <c r="B245" s="894"/>
      <c r="C245" s="907" t="s">
        <v>208</v>
      </c>
      <c r="D245" s="908"/>
      <c r="E245" s="889"/>
      <c r="F245" s="889"/>
      <c r="G245" s="889"/>
      <c r="H245" s="889"/>
      <c r="I245" s="889"/>
      <c r="J245" s="163"/>
      <c r="K245" s="163"/>
      <c r="L245" s="163"/>
      <c r="S245" s="901">
        <f>ROUND('T2'!C87,$D$244)</f>
        <v>-7397.3310000000001</v>
      </c>
      <c r="T245" s="901">
        <f>ROUND('T2'!D87,$D$244)</f>
        <v>1511.415</v>
      </c>
      <c r="U245" s="901">
        <f>ROUND('T2'!E87,$D$244)</f>
        <v>11339.404</v>
      </c>
      <c r="V245" s="901">
        <f>ROUND('T2'!F87,$D$244)</f>
        <v>8154.2380000000003</v>
      </c>
      <c r="W245" s="901">
        <f>ROUND('T2'!G87,$D$244)</f>
        <v>-12474.115</v>
      </c>
    </row>
    <row r="246" spans="1:26" outlineLevel="1">
      <c r="A246" s="894"/>
      <c r="B246" s="894"/>
      <c r="C246" s="907" t="s">
        <v>209</v>
      </c>
      <c r="D246" s="908"/>
      <c r="E246" s="889"/>
      <c r="F246" s="889"/>
      <c r="G246" s="889"/>
      <c r="H246" s="889"/>
      <c r="I246" s="889"/>
      <c r="J246" s="163"/>
      <c r="K246" s="163"/>
      <c r="L246" s="163"/>
      <c r="S246" s="901">
        <f>ROUND('T3'!E114,$D$244)</f>
        <v>-264.10899999999998</v>
      </c>
      <c r="T246" s="901">
        <f>ROUND('T3'!F114,$D$244)</f>
        <v>0</v>
      </c>
      <c r="U246" s="901">
        <f>ROUND('T3'!G114,$D$244)</f>
        <v>0</v>
      </c>
      <c r="V246" s="901">
        <f>ROUND('T3'!H114,$D$244)</f>
        <v>0</v>
      </c>
      <c r="W246" s="901">
        <f>ROUND('T3'!I114,$D$244)</f>
        <v>0</v>
      </c>
    </row>
    <row r="247" spans="1:26">
      <c r="A247" s="894" t="s">
        <v>225</v>
      </c>
      <c r="B247" s="894" t="s">
        <v>226</v>
      </c>
      <c r="C247" s="906" t="s">
        <v>227</v>
      </c>
      <c r="D247" s="881">
        <v>3</v>
      </c>
      <c r="E247" s="889"/>
      <c r="F247" s="889"/>
      <c r="G247" s="889"/>
      <c r="H247" s="889"/>
      <c r="I247" s="889"/>
      <c r="J247" s="163"/>
      <c r="K247" s="163"/>
      <c r="L247" s="163"/>
      <c r="S247" s="897" t="b">
        <f>ROUND('T2'!C88,$D$247)=ROUND('T3'!E125+'T3'!E136+'T3'!E147+'T3'!E158,$D$247)</f>
        <v>0</v>
      </c>
      <c r="T247" s="897" t="b">
        <f>ROUND('T2'!D88,$D$247)=ROUND('T3'!F125+'T3'!F136+'T3'!F147+'T3'!F158,$D$247)</f>
        <v>0</v>
      </c>
      <c r="U247" s="897" t="b">
        <f>ROUND('T2'!E88,$D$247)=ROUND('T3'!G125+'T3'!G136+'T3'!G147+'T3'!G158,$D$247)</f>
        <v>0</v>
      </c>
      <c r="V247" s="897" t="b">
        <f>ROUND('T2'!F88,$D$247)=ROUND('T3'!H125+'T3'!H136+'T3'!H147+'T3'!H158,$D$247)</f>
        <v>0</v>
      </c>
      <c r="W247" s="897" t="b">
        <f>ROUND('T2'!G88,$D$247)=ROUND('T3'!I125+'T3'!I136+'T3'!I147+'T3'!I158,$D$247)</f>
        <v>1</v>
      </c>
    </row>
    <row r="248" spans="1:26" outlineLevel="1">
      <c r="A248" s="894"/>
      <c r="B248" s="894"/>
      <c r="C248" s="907" t="s">
        <v>208</v>
      </c>
      <c r="D248" s="908"/>
      <c r="E248" s="889"/>
      <c r="F248" s="889"/>
      <c r="G248" s="889"/>
      <c r="H248" s="889"/>
      <c r="I248" s="889"/>
      <c r="J248" s="163"/>
      <c r="K248" s="163"/>
      <c r="L248" s="163"/>
      <c r="S248" s="901">
        <f>ROUND('T2'!C88,$D$247)</f>
        <v>-7473.076</v>
      </c>
      <c r="T248" s="901">
        <f>ROUND('T2'!D88,$D$247)</f>
        <v>-13037.437</v>
      </c>
      <c r="U248" s="901">
        <f>ROUND('T2'!E88,$D$247)</f>
        <v>-31197.739000000001</v>
      </c>
      <c r="V248" s="901">
        <f>ROUND('T2'!F88,$D$247)</f>
        <v>0</v>
      </c>
      <c r="W248" s="901">
        <f>ROUND('T2'!G88,$D$247)</f>
        <v>0</v>
      </c>
    </row>
    <row r="249" spans="1:26" outlineLevel="1">
      <c r="A249" s="894"/>
      <c r="B249" s="894"/>
      <c r="C249" s="907" t="s">
        <v>209</v>
      </c>
      <c r="D249" s="908"/>
      <c r="E249" s="889"/>
      <c r="F249" s="889"/>
      <c r="G249" s="889"/>
      <c r="H249" s="889"/>
      <c r="I249" s="889"/>
      <c r="J249" s="163"/>
      <c r="K249" s="163"/>
      <c r="L249" s="163"/>
      <c r="S249" s="901">
        <f>ROUND('T3'!E125+'T3'!E136+'T3'!E147+'T3'!E158,$D$247)</f>
        <v>0</v>
      </c>
      <c r="T249" s="901">
        <f>ROUND('T3'!F125+'T3'!F136+'T3'!F147+'T3'!F158,$D$247)</f>
        <v>0</v>
      </c>
      <c r="U249" s="901">
        <f>ROUND('T3'!G125+'T3'!G136+'T3'!G147+'T3'!G158,$D$247)</f>
        <v>-40827.476999999999</v>
      </c>
      <c r="V249" s="901">
        <f>ROUND('T3'!H125+'T3'!H136+'T3'!H147+'T3'!H158,$D$247)</f>
        <v>27532.58</v>
      </c>
      <c r="W249" s="901">
        <f>ROUND('T3'!I125+'T3'!I136+'T3'!I147+'T3'!I158,$D$247)</f>
        <v>0</v>
      </c>
    </row>
    <row r="250" spans="1:26">
      <c r="A250" s="894" t="s">
        <v>228</v>
      </c>
      <c r="B250" s="894" t="s">
        <v>229</v>
      </c>
      <c r="C250" s="906" t="s">
        <v>230</v>
      </c>
      <c r="D250" s="881">
        <v>3</v>
      </c>
      <c r="E250" s="889"/>
      <c r="F250" s="889"/>
      <c r="G250" s="889"/>
      <c r="H250" s="889"/>
      <c r="I250" s="889"/>
      <c r="J250" s="163"/>
      <c r="K250" s="163"/>
      <c r="L250" s="163"/>
      <c r="S250" s="897" t="b">
        <f>ROUND('T2'!C89,$D$250)=ROUND('T3'!E172,$D$250)</f>
        <v>0</v>
      </c>
      <c r="T250" s="897" t="b">
        <f>ROUND('T2'!D89,$D$250)=ROUND('T3'!F172,$D$250)</f>
        <v>1</v>
      </c>
      <c r="U250" s="897" t="b">
        <f>ROUND('T2'!E89,$D$250)=ROUND('T3'!G172,$D$250)</f>
        <v>1</v>
      </c>
      <c r="V250" s="897" t="b">
        <f>ROUND('T2'!F89,$D$250)=ROUND('T3'!H172,$D$250)</f>
        <v>1</v>
      </c>
      <c r="W250" s="897" t="b">
        <f>ROUND('T2'!G89,$D$250)=ROUND('T3'!I172,$D$250)</f>
        <v>1</v>
      </c>
    </row>
    <row r="251" spans="1:26" outlineLevel="1">
      <c r="A251" s="894"/>
      <c r="B251" s="894"/>
      <c r="C251" s="907" t="s">
        <v>208</v>
      </c>
      <c r="D251" s="908"/>
      <c r="E251" s="889"/>
      <c r="F251" s="889"/>
      <c r="G251" s="889"/>
      <c r="H251" s="889"/>
      <c r="I251" s="889"/>
      <c r="J251" s="163"/>
      <c r="K251" s="163"/>
      <c r="L251" s="163"/>
      <c r="S251" s="901">
        <f>ROUND('T2'!C89,$D$250)</f>
        <v>0</v>
      </c>
      <c r="T251" s="901">
        <f>ROUND('T2'!D89,$D$250)</f>
        <v>0</v>
      </c>
      <c r="U251" s="901">
        <f>ROUND('T2'!E89,$D$250)</f>
        <v>0</v>
      </c>
      <c r="V251" s="901">
        <f>ROUND('T2'!F89,$D$250)</f>
        <v>0</v>
      </c>
      <c r="W251" s="901">
        <f>ROUND('T2'!G89,$D$250)</f>
        <v>0</v>
      </c>
    </row>
    <row r="252" spans="1:26" outlineLevel="1">
      <c r="A252" s="894"/>
      <c r="B252" s="894"/>
      <c r="C252" s="907" t="s">
        <v>209</v>
      </c>
      <c r="D252" s="908"/>
      <c r="E252" s="889"/>
      <c r="F252" s="889"/>
      <c r="G252" s="889"/>
      <c r="H252" s="889"/>
      <c r="I252" s="889"/>
      <c r="J252" s="163"/>
      <c r="K252" s="163"/>
      <c r="L252" s="163"/>
      <c r="S252" s="901">
        <f>ROUND('T3'!E172,$D$250)</f>
        <v>-166.684</v>
      </c>
      <c r="T252" s="901">
        <f>ROUND('T3'!F172,$D$250)</f>
        <v>0</v>
      </c>
      <c r="U252" s="901">
        <f>ROUND('T3'!G172,$D$250)</f>
        <v>0</v>
      </c>
      <c r="V252" s="901">
        <f>ROUND('T3'!H172,$D$250)</f>
        <v>0</v>
      </c>
      <c r="W252" s="901">
        <f>ROUND('T3'!I172,$D$250)</f>
        <v>0</v>
      </c>
    </row>
    <row r="253" spans="1:26">
      <c r="A253" s="894" t="s">
        <v>231</v>
      </c>
      <c r="B253" s="894" t="s">
        <v>232</v>
      </c>
      <c r="C253" s="906" t="s">
        <v>233</v>
      </c>
      <c r="D253" s="881">
        <v>3</v>
      </c>
      <c r="E253" s="889"/>
      <c r="F253" s="889"/>
      <c r="G253" s="889"/>
      <c r="H253" s="889"/>
      <c r="I253" s="889"/>
      <c r="J253" s="163"/>
      <c r="K253" s="163"/>
      <c r="L253" s="163"/>
      <c r="S253" s="897" t="b">
        <f>ROUND('T2'!C90,$D$253)=ROUND('T3'!E165,$D$253)</f>
        <v>1</v>
      </c>
      <c r="T253" s="897" t="b">
        <f>ROUND('T2'!D90,$D$253)=ROUND('T3'!F165,$D$253)</f>
        <v>1</v>
      </c>
      <c r="U253" s="897" t="b">
        <f>ROUND('T2'!E90,$D$253)=ROUND('T3'!G165,$D$253)</f>
        <v>0</v>
      </c>
      <c r="V253" s="897" t="b">
        <f>ROUND('T2'!F90,$D$253)=ROUND('T3'!H165,$D$253)</f>
        <v>1</v>
      </c>
      <c r="W253" s="897" t="b">
        <f>ROUND('T2'!G90,$D$253)=ROUND('T3'!I165,$D$253)</f>
        <v>1</v>
      </c>
    </row>
    <row r="254" spans="1:26" outlineLevel="1">
      <c r="A254" s="894"/>
      <c r="B254" s="894"/>
      <c r="C254" s="907" t="s">
        <v>208</v>
      </c>
      <c r="D254" s="908"/>
      <c r="E254" s="889"/>
      <c r="F254" s="889"/>
      <c r="G254" s="889"/>
      <c r="H254" s="889"/>
      <c r="I254" s="889"/>
      <c r="J254" s="163"/>
      <c r="K254" s="163"/>
      <c r="L254" s="163"/>
      <c r="S254" s="901">
        <f>ROUND('T2'!C90,$D$253)</f>
        <v>0</v>
      </c>
      <c r="T254" s="901">
        <f>ROUND('T2'!D90,$D$253)</f>
        <v>0</v>
      </c>
      <c r="U254" s="901">
        <f>ROUND('T2'!E90,$D$253)</f>
        <v>4630.4589999999998</v>
      </c>
      <c r="V254" s="901">
        <f>ROUND('T2'!F90,$D$253)</f>
        <v>0</v>
      </c>
      <c r="W254" s="901">
        <f>ROUND('T2'!G90,$D$253)</f>
        <v>0</v>
      </c>
    </row>
    <row r="255" spans="1:26" outlineLevel="1">
      <c r="A255" s="894"/>
      <c r="B255" s="894"/>
      <c r="C255" s="907" t="s">
        <v>209</v>
      </c>
      <c r="D255" s="908"/>
      <c r="E255" s="889"/>
      <c r="F255" s="889"/>
      <c r="G255" s="889"/>
      <c r="H255" s="889"/>
      <c r="I255" s="889"/>
      <c r="J255" s="163"/>
      <c r="K255" s="163"/>
      <c r="L255" s="163"/>
      <c r="S255" s="901">
        <f>ROUND('T3'!E165,$D$253)</f>
        <v>0</v>
      </c>
      <c r="T255" s="901">
        <f>ROUND('T3'!F165,$D$253)</f>
        <v>0</v>
      </c>
      <c r="U255" s="901">
        <f>ROUND('T3'!G165,$D$253)</f>
        <v>0</v>
      </c>
      <c r="V255" s="901">
        <f>ROUND('T3'!H165,$D$253)</f>
        <v>0</v>
      </c>
      <c r="W255" s="901">
        <f>ROUND('T3'!I165,$D$253)</f>
        <v>0</v>
      </c>
    </row>
    <row r="256" spans="1:26" s="909" customFormat="1">
      <c r="A256" s="893" t="s">
        <v>234</v>
      </c>
      <c r="B256" s="894" t="s">
        <v>235</v>
      </c>
      <c r="C256" s="906" t="s">
        <v>236</v>
      </c>
      <c r="D256" s="881">
        <v>3</v>
      </c>
      <c r="E256" s="889"/>
      <c r="F256" s="889"/>
      <c r="G256" s="889"/>
      <c r="H256" s="889"/>
      <c r="I256" s="889"/>
      <c r="R256" s="163"/>
      <c r="S256" s="897" t="b">
        <f>ROUND(SUM('T2'!C82:C90),$D$256)=ROUND('T3'!E175,$D$256)</f>
        <v>0</v>
      </c>
      <c r="T256" s="897" t="b">
        <f>ROUND(SUM('T2'!D82:D90),$D$256)=ROUND('T3'!F175,$D$256)</f>
        <v>0</v>
      </c>
      <c r="U256" s="897" t="b">
        <f>ROUND(SUM('T2'!E82:E90),$D$256)=ROUND('T3'!G175,$D$256)</f>
        <v>0</v>
      </c>
      <c r="V256" s="897" t="b">
        <f>ROUND(SUM('T2'!F82:F90),$D$256)=ROUND('T3'!H175,$D$256)</f>
        <v>0</v>
      </c>
      <c r="W256" s="897" t="b">
        <f>ROUND(SUM('T2'!G82:G90),$D$256)=ROUND('T3'!I175,$D$256)</f>
        <v>0</v>
      </c>
      <c r="X256" s="889"/>
      <c r="Y256" s="889"/>
      <c r="Z256" s="889"/>
    </row>
    <row r="257" spans="1:26" outlineLevel="1">
      <c r="A257" s="894"/>
      <c r="B257" s="894"/>
      <c r="C257" s="907" t="s">
        <v>237</v>
      </c>
      <c r="D257" s="908"/>
      <c r="E257" s="889"/>
      <c r="F257" s="889"/>
      <c r="G257" s="889"/>
      <c r="H257" s="889"/>
      <c r="I257" s="889"/>
      <c r="J257" s="163"/>
      <c r="K257" s="163"/>
      <c r="L257" s="163"/>
      <c r="S257" s="901">
        <f>ROUND(SUM('T2'!C82:C90),$D$256)</f>
        <v>-81464.37</v>
      </c>
      <c r="T257" s="901">
        <f>ROUND(SUM('T2'!D82:D90),$D$256)</f>
        <v>-87189.457999999999</v>
      </c>
      <c r="U257" s="901">
        <f>ROUND(SUM('T2'!E82:E90),$D$256)</f>
        <v>-15047.082</v>
      </c>
      <c r="V257" s="901">
        <f>ROUND(SUM('T2'!F82:F90),$D$256)</f>
        <v>73733.653999999995</v>
      </c>
      <c r="W257" s="901">
        <f>ROUND(SUM('T2'!G82:G90),$D$256)</f>
        <v>35850.254000000001</v>
      </c>
      <c r="X257" s="889"/>
      <c r="Y257" s="889"/>
      <c r="Z257" s="889"/>
    </row>
    <row r="258" spans="1:26" outlineLevel="1">
      <c r="A258" s="894"/>
      <c r="B258" s="894"/>
      <c r="C258" s="907" t="s">
        <v>238</v>
      </c>
      <c r="D258" s="908"/>
      <c r="E258" s="889"/>
      <c r="F258" s="889"/>
      <c r="G258" s="889"/>
      <c r="H258" s="889"/>
      <c r="I258" s="889"/>
      <c r="J258" s="163"/>
      <c r="K258" s="163"/>
      <c r="L258" s="163"/>
      <c r="S258" s="901">
        <f>ROUND('T3'!E175,$D$256)</f>
        <v>-166.684</v>
      </c>
      <c r="T258" s="901">
        <f>ROUND('T3'!F175,$D$256)</f>
        <v>-10399.968000000001</v>
      </c>
      <c r="U258" s="901">
        <f>ROUND('T3'!G175,$D$256)</f>
        <v>-31197.739000000001</v>
      </c>
      <c r="V258" s="901">
        <f>ROUND('T3'!H175,$D$256)</f>
        <v>0</v>
      </c>
      <c r="W258" s="901">
        <f>ROUND('T3'!I175,$D$256)</f>
        <v>0</v>
      </c>
      <c r="X258" s="889"/>
      <c r="Y258" s="889"/>
      <c r="Z258" s="889"/>
    </row>
    <row r="259" spans="1:26" s="896" customFormat="1">
      <c r="A259" s="893" t="s">
        <v>239</v>
      </c>
      <c r="B259" s="894" t="s">
        <v>240</v>
      </c>
      <c r="C259" s="895" t="s">
        <v>241</v>
      </c>
      <c r="D259" s="881">
        <v>3</v>
      </c>
      <c r="E259" s="889"/>
      <c r="F259" s="889"/>
      <c r="G259" s="889"/>
      <c r="H259" s="889"/>
      <c r="I259" s="889"/>
      <c r="R259" s="163"/>
      <c r="S259" s="897" t="b">
        <f>ROUND('T2'!C91,$D$259)=ROUND(SUM('T2'!C81:C90),$D$259)</f>
        <v>1</v>
      </c>
      <c r="T259" s="897" t="b">
        <f>ROUND('T2'!D91,$D$259)=ROUND(SUM('T2'!D81:D90),$D$259)</f>
        <v>1</v>
      </c>
      <c r="U259" s="897" t="b">
        <f>ROUND('T2'!E91,$D$259)=ROUND(SUM('T2'!E81:E90),$D$259)</f>
        <v>1</v>
      </c>
      <c r="V259" s="897" t="b">
        <f>ROUND('T2'!F91,$D$259)=ROUND(SUM('T2'!F81:F90),$D$259)</f>
        <v>1</v>
      </c>
      <c r="W259" s="897" t="b">
        <f>ROUND('T2'!G91,$D$259)=ROUND(SUM('T2'!G81:G90),$D$259)</f>
        <v>1</v>
      </c>
    </row>
    <row r="260" spans="1:26" s="900" customFormat="1" outlineLevel="1">
      <c r="A260" s="893"/>
      <c r="B260" s="894"/>
      <c r="C260" s="898" t="s">
        <v>242</v>
      </c>
      <c r="D260" s="899"/>
      <c r="E260" s="889"/>
      <c r="F260" s="889"/>
      <c r="G260" s="889"/>
      <c r="H260" s="889"/>
      <c r="I260" s="889"/>
      <c r="R260" s="163"/>
      <c r="S260" s="901">
        <f>ROUND('T2'!C91,$D$259)</f>
        <v>708954.53</v>
      </c>
      <c r="T260" s="901">
        <f>ROUND('T2'!D91,$D$259)</f>
        <v>687837.57700000005</v>
      </c>
      <c r="U260" s="901">
        <f>ROUND('T2'!E91,$D$259)</f>
        <v>775888.51100000006</v>
      </c>
      <c r="V260" s="901">
        <f>ROUND('T2'!F91,$D$259)</f>
        <v>887170.75800000003</v>
      </c>
      <c r="W260" s="901">
        <f>ROUND('T2'!G91,$D$259)</f>
        <v>889897.71699999995</v>
      </c>
    </row>
    <row r="261" spans="1:26" s="900" customFormat="1" outlineLevel="1">
      <c r="A261" s="893"/>
      <c r="B261" s="894"/>
      <c r="C261" s="883" t="s">
        <v>243</v>
      </c>
      <c r="D261" s="899"/>
      <c r="E261" s="889"/>
      <c r="F261" s="889"/>
      <c r="G261" s="889"/>
      <c r="H261" s="889"/>
      <c r="I261" s="889"/>
      <c r="R261" s="163"/>
      <c r="S261" s="901">
        <f>ROUND(SUM('T2'!C81:C90),$D$259)</f>
        <v>708954.53</v>
      </c>
      <c r="T261" s="901">
        <f>ROUND(SUM('T2'!D81:D90),$D$259)</f>
        <v>687837.57700000005</v>
      </c>
      <c r="U261" s="901">
        <f>ROUND(SUM('T2'!E81:E90),$D$259)</f>
        <v>775888.51100000006</v>
      </c>
      <c r="V261" s="901">
        <f>ROUND(SUM('T2'!F81:F90),$D$259)</f>
        <v>887170.75800000003</v>
      </c>
      <c r="W261" s="901">
        <f>ROUND(SUM('T2'!G81:G90),$D$259)</f>
        <v>889897.71699999995</v>
      </c>
    </row>
    <row r="262" spans="1:26" s="896" customFormat="1">
      <c r="A262" s="893" t="s">
        <v>244</v>
      </c>
      <c r="B262" s="894" t="s">
        <v>245</v>
      </c>
      <c r="C262" s="895" t="s">
        <v>246</v>
      </c>
      <c r="D262" s="881">
        <v>3</v>
      </c>
      <c r="E262" s="889"/>
      <c r="F262" s="889"/>
      <c r="G262" s="889"/>
      <c r="H262" s="889"/>
      <c r="I262" s="889"/>
      <c r="R262" s="163"/>
      <c r="S262" s="897" t="b">
        <f>ROUND('T2'!C92,$D$262)=ROUND('T2'!C38,$D$262)</f>
        <v>1</v>
      </c>
      <c r="T262" s="897" t="b">
        <f>ROUND('T2'!D92,$D$262)=ROUND('T2'!D38,$D$262)</f>
        <v>1</v>
      </c>
      <c r="U262" s="897" t="b">
        <f>ROUND('T2'!E92,$D$262)=ROUND('T2'!E38,$D$262)</f>
        <v>1</v>
      </c>
      <c r="V262" s="897" t="b">
        <f>ROUND('T2'!F92,$D$262)=ROUND('T2'!F38,$D$262)</f>
        <v>1</v>
      </c>
      <c r="W262" s="897" t="b">
        <f>ROUND('T2'!G92,$D$262)=ROUND('T2'!G38,$D$262)</f>
        <v>1</v>
      </c>
    </row>
    <row r="263" spans="1:26" s="900" customFormat="1" outlineLevel="1">
      <c r="A263" s="893"/>
      <c r="B263" s="894"/>
      <c r="C263" s="898" t="s">
        <v>247</v>
      </c>
      <c r="D263" s="899"/>
      <c r="E263" s="889"/>
      <c r="F263" s="889"/>
      <c r="G263" s="889"/>
      <c r="H263" s="889"/>
      <c r="I263" s="889"/>
      <c r="R263" s="163"/>
      <c r="S263" s="901">
        <f>ROUND('T2'!C92,$D$262)</f>
        <v>12647.945</v>
      </c>
      <c r="T263" s="901">
        <f>ROUND('T2'!D92,$D$262)</f>
        <v>12891</v>
      </c>
      <c r="U263" s="901">
        <f>ROUND('T2'!E92,$D$262)</f>
        <v>13183</v>
      </c>
      <c r="V263" s="901">
        <f>ROUND('T2'!F92,$D$262)</f>
        <v>11715</v>
      </c>
      <c r="W263" s="901">
        <f>ROUND('T2'!G92,$D$262)</f>
        <v>12228</v>
      </c>
    </row>
    <row r="264" spans="1:26" s="900" customFormat="1" outlineLevel="1">
      <c r="A264" s="893"/>
      <c r="B264" s="894"/>
      <c r="C264" s="898" t="s">
        <v>248</v>
      </c>
      <c r="D264" s="899"/>
      <c r="E264" s="889"/>
      <c r="F264" s="889"/>
      <c r="G264" s="889"/>
      <c r="H264" s="889"/>
      <c r="I264" s="889"/>
      <c r="R264" s="163"/>
      <c r="S264" s="901">
        <f>ROUND('T2'!C38,$D$262)</f>
        <v>12647.945</v>
      </c>
      <c r="T264" s="901">
        <f>ROUND('T2'!D38,$D$262)</f>
        <v>12891</v>
      </c>
      <c r="U264" s="901">
        <f>ROUND('T2'!E38,$D$262)</f>
        <v>13183</v>
      </c>
      <c r="V264" s="901">
        <f>ROUND('T2'!F38,$D$262)</f>
        <v>11715</v>
      </c>
      <c r="W264" s="901">
        <f>ROUND('T2'!G38,$D$262)</f>
        <v>12228</v>
      </c>
    </row>
    <row r="265" spans="1:26" s="896" customFormat="1">
      <c r="A265" s="893" t="s">
        <v>249</v>
      </c>
      <c r="B265" s="894" t="s">
        <v>250</v>
      </c>
      <c r="C265" s="895" t="s">
        <v>251</v>
      </c>
      <c r="D265" s="881">
        <v>2</v>
      </c>
      <c r="E265" s="889"/>
      <c r="F265" s="889"/>
      <c r="G265" s="889"/>
      <c r="H265" s="889"/>
      <c r="I265" s="889"/>
      <c r="R265" s="163"/>
      <c r="S265" s="910" t="b">
        <f>ROUND('T2'!C93,$D$265)=ROUND('T2'!C91/'T2'!C92,$D$265)</f>
        <v>1</v>
      </c>
      <c r="T265" s="910" t="b">
        <f>ROUND('T2'!D93,$D$265)=ROUND('T2'!D91/'T2'!D92,$D$265)</f>
        <v>1</v>
      </c>
      <c r="U265" s="910" t="b">
        <f>ROUND('T2'!E93,$D$265)=ROUND('T2'!E91/'T2'!E92,$D$265)</f>
        <v>1</v>
      </c>
      <c r="V265" s="910" t="b">
        <f>ROUND('T2'!F93,$D$265)=ROUND('T2'!F91/'T2'!F92,$D$265)</f>
        <v>1</v>
      </c>
      <c r="W265" s="910" t="b">
        <f>ROUND('T2'!G93,$D$265)=ROUND('T2'!G91/'T2'!G92,$D$265)</f>
        <v>1</v>
      </c>
    </row>
    <row r="266" spans="1:26" s="900" customFormat="1" outlineLevel="1">
      <c r="A266" s="893"/>
      <c r="B266" s="894"/>
      <c r="C266" s="898" t="s">
        <v>252</v>
      </c>
      <c r="D266" s="899"/>
      <c r="E266" s="889"/>
      <c r="F266" s="889"/>
      <c r="G266" s="889"/>
      <c r="H266" s="889"/>
      <c r="I266" s="889"/>
      <c r="R266" s="163"/>
      <c r="S266" s="902">
        <f>ROUND('T2'!C93,$D$265)</f>
        <v>56.05</v>
      </c>
      <c r="T266" s="902">
        <f>ROUND('T2'!D93,$D$265)</f>
        <v>53.36</v>
      </c>
      <c r="U266" s="902">
        <f>ROUND('T2'!E93,$D$265)</f>
        <v>58.86</v>
      </c>
      <c r="V266" s="902">
        <f>ROUND('T2'!F93,$D$265)</f>
        <v>75.73</v>
      </c>
      <c r="W266" s="902">
        <f>ROUND('T2'!G93,$D$265)</f>
        <v>72.78</v>
      </c>
    </row>
    <row r="267" spans="1:26" s="900" customFormat="1" outlineLevel="1">
      <c r="A267" s="893"/>
      <c r="B267" s="894"/>
      <c r="C267" s="883" t="s">
        <v>253</v>
      </c>
      <c r="D267" s="899"/>
      <c r="E267" s="889"/>
      <c r="F267" s="889"/>
      <c r="G267" s="889"/>
      <c r="H267" s="889"/>
      <c r="I267" s="889"/>
      <c r="R267" s="163"/>
      <c r="S267" s="902">
        <f>ROUND('T2'!C91/'T2'!C92,$D$265)</f>
        <v>56.05</v>
      </c>
      <c r="T267" s="902">
        <f>ROUND('T2'!D91/'T2'!D92,$D$265)</f>
        <v>53.36</v>
      </c>
      <c r="U267" s="902">
        <f>ROUND('T2'!E91/'T2'!E92,$D$265)</f>
        <v>58.86</v>
      </c>
      <c r="V267" s="902">
        <f>ROUND('T2'!F91/'T2'!F92,$D$265)</f>
        <v>75.73</v>
      </c>
      <c r="W267" s="902">
        <f>ROUND('T2'!G91/'T2'!G92,$D$265)</f>
        <v>72.78</v>
      </c>
    </row>
    <row r="268" spans="1:26" s="896" customFormat="1">
      <c r="A268" s="893" t="s">
        <v>254</v>
      </c>
      <c r="B268" s="894" t="s">
        <v>255</v>
      </c>
      <c r="C268" s="895" t="s">
        <v>256</v>
      </c>
      <c r="D268" s="881">
        <v>2</v>
      </c>
      <c r="E268" s="889"/>
      <c r="F268" s="889"/>
      <c r="G268" s="889"/>
      <c r="H268" s="889"/>
      <c r="I268" s="889"/>
      <c r="R268" s="163"/>
      <c r="S268" s="910" t="b">
        <f>ROUND('T2'!C96,$D$268)=ROUND('T2'!C93-'T2'!C94,$D$268)</f>
        <v>1</v>
      </c>
      <c r="T268" s="910" t="b">
        <f>ROUND('T2'!D96,$D$268)=ROUND('T2'!D93-'T2'!D94,$D$268)</f>
        <v>1</v>
      </c>
      <c r="U268" s="910" t="b">
        <f>ROUND('T2'!E96,$D$268)=ROUND('T2'!E93-'T2'!E94,$D$268)</f>
        <v>1</v>
      </c>
      <c r="V268" s="910" t="b">
        <f>ROUND('T2'!F96,$D$268)=ROUND('T2'!F93-'T2'!F94,$D$268)</f>
        <v>1</v>
      </c>
      <c r="W268" s="910" t="b">
        <f>ROUND('T2'!G96,$D$268)=ROUND('T2'!G93-'T2'!G94,$D$268)</f>
        <v>1</v>
      </c>
    </row>
    <row r="269" spans="1:26" s="900" customFormat="1" outlineLevel="1">
      <c r="A269" s="893"/>
      <c r="B269" s="894"/>
      <c r="C269" s="898" t="s">
        <v>257</v>
      </c>
      <c r="D269" s="899"/>
      <c r="E269" s="889"/>
      <c r="F269" s="889"/>
      <c r="G269" s="889"/>
      <c r="H269" s="889"/>
      <c r="I269" s="889"/>
      <c r="R269" s="163"/>
      <c r="S269" s="902">
        <f>ROUND('T2'!C96,$D$268)</f>
        <v>56.05</v>
      </c>
      <c r="T269" s="902">
        <f>ROUND('T2'!D96,$D$268)</f>
        <v>53.36</v>
      </c>
      <c r="U269" s="902">
        <f>ROUND('T2'!E96,$D$268)</f>
        <v>58.86</v>
      </c>
      <c r="V269" s="902">
        <f>ROUND('T2'!F96,$D$268)</f>
        <v>75.73</v>
      </c>
      <c r="W269" s="902">
        <f>ROUND('T2'!G96,$D$268)</f>
        <v>72.78</v>
      </c>
    </row>
    <row r="270" spans="1:26" s="900" customFormat="1" outlineLevel="1">
      <c r="A270" s="893"/>
      <c r="B270" s="894"/>
      <c r="C270" s="898" t="s">
        <v>258</v>
      </c>
      <c r="D270" s="899"/>
      <c r="E270" s="889"/>
      <c r="F270" s="889"/>
      <c r="G270" s="889"/>
      <c r="H270" s="889"/>
      <c r="I270" s="889"/>
      <c r="R270" s="163"/>
      <c r="S270" s="902">
        <f>ROUND('T2'!C93-'T2'!C94,$D$268)</f>
        <v>56.05</v>
      </c>
      <c r="T270" s="902">
        <f>ROUND('T2'!D93-'T2'!D94,$D$268)</f>
        <v>53.36</v>
      </c>
      <c r="U270" s="902">
        <f>ROUND('T2'!E93-'T2'!E94,$D$268)</f>
        <v>58.86</v>
      </c>
      <c r="V270" s="902">
        <f>ROUND('T2'!F93-'T2'!F94,$D$268)</f>
        <v>75.73</v>
      </c>
      <c r="W270" s="902">
        <f>ROUND('T2'!G93-'T2'!G94,$D$268)</f>
        <v>72.78</v>
      </c>
    </row>
    <row r="271" spans="1:26" s="892" customFormat="1" ht="18.75">
      <c r="A271" s="173" t="s">
        <v>13</v>
      </c>
      <c r="B271" s="174" t="s">
        <v>14</v>
      </c>
      <c r="C271" s="175" t="s">
        <v>259</v>
      </c>
      <c r="D271" s="890"/>
      <c r="E271" s="891"/>
      <c r="F271" s="891"/>
      <c r="G271" s="891"/>
      <c r="H271" s="891"/>
      <c r="I271" s="891"/>
      <c r="J271" s="891"/>
      <c r="K271" s="891"/>
      <c r="L271" s="891"/>
      <c r="M271" s="891"/>
      <c r="N271" s="891"/>
      <c r="O271" s="891"/>
      <c r="P271" s="891"/>
      <c r="Q271" s="891"/>
      <c r="R271" s="163"/>
      <c r="S271" s="891"/>
      <c r="T271" s="891"/>
      <c r="U271" s="891"/>
      <c r="V271" s="891"/>
      <c r="W271" s="891"/>
    </row>
    <row r="272" spans="1:26" s="896" customFormat="1">
      <c r="A272" s="893" t="s">
        <v>129</v>
      </c>
      <c r="B272" s="894" t="s">
        <v>54</v>
      </c>
      <c r="C272" s="895" t="s">
        <v>130</v>
      </c>
      <c r="D272" s="881">
        <v>3</v>
      </c>
      <c r="E272" s="889"/>
      <c r="F272" s="889"/>
      <c r="G272" s="889"/>
      <c r="H272" s="889"/>
      <c r="I272" s="889"/>
      <c r="R272" s="163"/>
      <c r="S272" s="897" t="b">
        <f>ROUND('T2 ANSP'!C12,$D$272)=ROUND('T1 ANSP'!K61,$D$272)</f>
        <v>1</v>
      </c>
      <c r="T272" s="897" t="b">
        <f>ROUND('T2 ANSP'!D12,$D$272)=ROUND('T1 ANSP'!L61,$D$272)</f>
        <v>1</v>
      </c>
      <c r="U272" s="897" t="b">
        <f>ROUND('T2 ANSP'!E12,$D$272)=ROUND('T1 ANSP'!M61,$D$272)</f>
        <v>1</v>
      </c>
      <c r="V272" s="897" t="b">
        <f>ROUND('T2 ANSP'!F12,$D$272)=ROUND('T1 ANSP'!N61,$D$272)</f>
        <v>1</v>
      </c>
      <c r="W272" s="897" t="b">
        <f>ROUND('T2 ANSP'!G12,$D$272)=ROUND('T1 ANSP'!O61,$D$272)</f>
        <v>1</v>
      </c>
    </row>
    <row r="273" spans="1:23" s="900" customFormat="1" outlineLevel="1">
      <c r="A273" s="893"/>
      <c r="B273" s="894"/>
      <c r="C273" s="898" t="s">
        <v>131</v>
      </c>
      <c r="D273" s="899"/>
      <c r="E273" s="889"/>
      <c r="F273" s="889"/>
      <c r="G273" s="889"/>
      <c r="H273" s="889"/>
      <c r="I273" s="889"/>
      <c r="R273" s="163"/>
      <c r="S273" s="901">
        <f>ROUND('T2 ANSP'!C12,$D$272)</f>
        <v>689955.37800000003</v>
      </c>
      <c r="T273" s="901">
        <f>ROUND('T2 ANSP'!D12,$D$272)</f>
        <v>674270.83200000005</v>
      </c>
      <c r="U273" s="901">
        <f>ROUND('T2 ANSP'!E12,$D$272)</f>
        <v>688739.42299999995</v>
      </c>
      <c r="V273" s="901">
        <f>ROUND('T2 ANSP'!F12,$D$272)</f>
        <v>703645.25600000005</v>
      </c>
      <c r="W273" s="901">
        <f>ROUND('T2 ANSP'!G12,$D$272)</f>
        <v>738499.39399999997</v>
      </c>
    </row>
    <row r="274" spans="1:23" s="900" customFormat="1" outlineLevel="1">
      <c r="A274" s="893"/>
      <c r="B274" s="894"/>
      <c r="C274" s="898" t="s">
        <v>132</v>
      </c>
      <c r="D274" s="899"/>
      <c r="E274" s="889"/>
      <c r="F274" s="889"/>
      <c r="G274" s="889"/>
      <c r="H274" s="889"/>
      <c r="I274" s="889"/>
      <c r="R274" s="163"/>
      <c r="S274" s="901">
        <f>ROUND('T1 ANSP'!K61,$D$272)</f>
        <v>689955.37800000003</v>
      </c>
      <c r="T274" s="901">
        <f>ROUND('T1 ANSP'!L61,$D$272)</f>
        <v>674270.83200000005</v>
      </c>
      <c r="U274" s="901">
        <f>ROUND('T1 ANSP'!M61,$D$272)</f>
        <v>688739.42299999995</v>
      </c>
      <c r="V274" s="901">
        <f>ROUND('T1 ANSP'!N61,$D$272)</f>
        <v>703645.25600000005</v>
      </c>
      <c r="W274" s="901">
        <f>ROUND('T1 ANSP'!O61,$D$272)</f>
        <v>738499.39399999997</v>
      </c>
    </row>
    <row r="275" spans="1:23" s="896" customFormat="1">
      <c r="A275" s="893" t="s">
        <v>133</v>
      </c>
      <c r="B275" s="894" t="s">
        <v>52</v>
      </c>
      <c r="C275" s="895" t="s">
        <v>134</v>
      </c>
      <c r="D275" s="881">
        <v>3</v>
      </c>
      <c r="E275" s="889"/>
      <c r="F275" s="889"/>
      <c r="G275" s="889"/>
      <c r="H275" s="889"/>
      <c r="I275" s="889"/>
      <c r="R275" s="163"/>
      <c r="S275" s="897" t="b">
        <f>ROUND('T2 ANSP'!C15,$D$275)=ROUND('T1 ANSP'!K61-'T1 ANSP'!K15-'T1 ANSP'!K16,$D$275)</f>
        <v>0</v>
      </c>
      <c r="T275" s="897" t="b">
        <f>ROUND('T2 ANSP'!D15,$D$275)=ROUND('T1 ANSP'!L61-'T1 ANSP'!L15-'T1 ANSP'!L16,$D$275)</f>
        <v>0</v>
      </c>
      <c r="U275" s="897" t="b">
        <f>ROUND('T2 ANSP'!E15,$D$275)=ROUND('T1 ANSP'!M61-'T1 ANSP'!M15-'T1 ANSP'!M16,$D$275)</f>
        <v>0</v>
      </c>
      <c r="V275" s="897" t="b">
        <f>ROUND('T2 ANSP'!F15,$D$275)=ROUND('T1 ANSP'!N61-'T1 ANSP'!N15-'T1 ANSP'!N16,$D$275)</f>
        <v>0</v>
      </c>
      <c r="W275" s="897" t="b">
        <f>ROUND('T2 ANSP'!G15,$D$275)=ROUND('T1 ANSP'!O61-'T1 ANSP'!O15-'T1 ANSP'!O16,$D$275)</f>
        <v>0</v>
      </c>
    </row>
    <row r="276" spans="1:23" s="900" customFormat="1" outlineLevel="1">
      <c r="A276" s="893"/>
      <c r="B276" s="894"/>
      <c r="C276" s="898" t="s">
        <v>135</v>
      </c>
      <c r="D276" s="899"/>
      <c r="E276" s="889"/>
      <c r="F276" s="889"/>
      <c r="G276" s="889"/>
      <c r="H276" s="889"/>
      <c r="I276" s="889"/>
      <c r="R276" s="163"/>
      <c r="S276" s="901">
        <f>ROUND('T2 ANSP'!C15,$D$275)</f>
        <v>689955.37800000003</v>
      </c>
      <c r="T276" s="901">
        <f>ROUND('T2 ANSP'!D15,$D$275)</f>
        <v>674270.83200000005</v>
      </c>
      <c r="U276" s="901">
        <f>ROUND('T2 ANSP'!E15,$D$275)</f>
        <v>688739.42299999995</v>
      </c>
      <c r="V276" s="901">
        <f>ROUND('T2 ANSP'!F15,$D$275)</f>
        <v>703645.25600000005</v>
      </c>
      <c r="W276" s="901">
        <f>ROUND('T2 ANSP'!G15,$D$275)</f>
        <v>738499.39399999997</v>
      </c>
    </row>
    <row r="277" spans="1:23" s="900" customFormat="1" outlineLevel="1">
      <c r="A277" s="893"/>
      <c r="B277" s="894"/>
      <c r="C277" s="898" t="s">
        <v>136</v>
      </c>
      <c r="D277" s="899"/>
      <c r="E277" s="889"/>
      <c r="F277" s="889"/>
      <c r="G277" s="889"/>
      <c r="H277" s="889"/>
      <c r="I277" s="889"/>
      <c r="R277" s="163"/>
      <c r="S277" s="901">
        <f>ROUND('T1 ANSP'!K61-'T1 ANSP'!K15-'T1 ANSP'!K16,$D$275)</f>
        <v>489271.47399999999</v>
      </c>
      <c r="T277" s="901">
        <f>ROUND('T1 ANSP'!L61-'T1 ANSP'!L15-'T1 ANSP'!L16,$D$275)</f>
        <v>497620.12300000002</v>
      </c>
      <c r="U277" s="901">
        <f>ROUND('T1 ANSP'!M61-'T1 ANSP'!M15-'T1 ANSP'!M16,$D$275)</f>
        <v>523908.14199999999</v>
      </c>
      <c r="V277" s="901">
        <f>ROUND('T1 ANSP'!N61-'T1 ANSP'!N15-'T1 ANSP'!N16,$D$275)</f>
        <v>541013.79599999997</v>
      </c>
      <c r="W277" s="901">
        <f>ROUND('T1 ANSP'!O61-'T1 ANSP'!O15-'T1 ANSP'!O16,$D$275)</f>
        <v>564011.99100000004</v>
      </c>
    </row>
    <row r="278" spans="1:23" s="896" customFormat="1">
      <c r="A278" s="893" t="s">
        <v>137</v>
      </c>
      <c r="B278" s="894" t="s">
        <v>138</v>
      </c>
      <c r="C278" s="895" t="s">
        <v>139</v>
      </c>
      <c r="D278" s="899"/>
      <c r="E278" s="889"/>
      <c r="F278" s="889"/>
      <c r="G278" s="889"/>
      <c r="H278" s="889"/>
      <c r="I278" s="889"/>
      <c r="R278" s="163"/>
      <c r="S278" s="897" t="b">
        <f>'T2 ANSP'!C16='T1 ANSP'!K65</f>
        <v>1</v>
      </c>
      <c r="T278" s="897" t="b">
        <f>'T2 ANSP'!D16='T1 ANSP'!L65</f>
        <v>1</v>
      </c>
      <c r="U278" s="897" t="b">
        <f>'T2 ANSP'!E16='T1 ANSP'!M65</f>
        <v>1</v>
      </c>
      <c r="V278" s="897" t="b">
        <f>'T2 ANSP'!F16='T1 ANSP'!N65</f>
        <v>1</v>
      </c>
      <c r="W278" s="897" t="b">
        <f>'T2 ANSP'!G16='T1 ANSP'!O65</f>
        <v>1</v>
      </c>
    </row>
    <row r="279" spans="1:23" s="900" customFormat="1" outlineLevel="1">
      <c r="A279" s="893"/>
      <c r="B279" s="894"/>
      <c r="C279" s="898" t="s">
        <v>140</v>
      </c>
      <c r="D279" s="899"/>
      <c r="E279" s="889"/>
      <c r="F279" s="889"/>
      <c r="G279" s="889"/>
      <c r="H279" s="889"/>
      <c r="I279" s="889"/>
      <c r="R279" s="163"/>
      <c r="S279" s="902">
        <f>'T2 ANSP'!C16</f>
        <v>106.44304700754894</v>
      </c>
      <c r="T279" s="902">
        <f>'T2 ANSP'!D16</f>
        <v>108.5719079476999</v>
      </c>
      <c r="U279" s="902">
        <f>'T2 ANSP'!E16</f>
        <v>110.74334610665392</v>
      </c>
      <c r="V279" s="902">
        <f>'T2 ANSP'!F16</f>
        <v>115.21954018486758</v>
      </c>
      <c r="W279" s="902">
        <f>'T2 ANSP'!G16</f>
        <v>116.98826086087693</v>
      </c>
    </row>
    <row r="280" spans="1:23" s="900" customFormat="1" outlineLevel="1">
      <c r="A280" s="893"/>
      <c r="B280" s="894"/>
      <c r="C280" s="898" t="s">
        <v>141</v>
      </c>
      <c r="D280" s="899"/>
      <c r="E280" s="889"/>
      <c r="F280" s="889"/>
      <c r="G280" s="889"/>
      <c r="H280" s="889"/>
      <c r="I280" s="889"/>
      <c r="R280" s="163"/>
      <c r="S280" s="902">
        <f>'T1 ANSP'!K65</f>
        <v>106.44304700754894</v>
      </c>
      <c r="T280" s="902">
        <f>'T1 ANSP'!L65</f>
        <v>108.5719079476999</v>
      </c>
      <c r="U280" s="902">
        <f>'T1 ANSP'!M65</f>
        <v>110.74334610665392</v>
      </c>
      <c r="V280" s="902">
        <f>'T1 ANSP'!N65</f>
        <v>115.21954018486758</v>
      </c>
      <c r="W280" s="902">
        <f>'T1 ANSP'!O65</f>
        <v>116.98826086087693</v>
      </c>
    </row>
    <row r="281" spans="1:23" s="896" customFormat="1">
      <c r="A281" s="893" t="s">
        <v>142</v>
      </c>
      <c r="B281" s="894" t="s">
        <v>143</v>
      </c>
      <c r="C281" s="895" t="s">
        <v>144</v>
      </c>
      <c r="D281" s="899"/>
      <c r="E281" s="889"/>
      <c r="F281" s="889"/>
      <c r="G281" s="889"/>
      <c r="H281" s="889"/>
      <c r="I281" s="889"/>
      <c r="J281" s="889"/>
      <c r="K281" s="889"/>
      <c r="L281" s="889"/>
      <c r="M281" s="889"/>
      <c r="N281" s="889"/>
      <c r="R281" s="163"/>
      <c r="S281" s="889"/>
    </row>
    <row r="282" spans="1:23" s="900" customFormat="1" outlineLevel="1">
      <c r="A282" s="893"/>
      <c r="B282" s="894"/>
      <c r="C282" s="898" t="s">
        <v>145</v>
      </c>
      <c r="D282" s="899"/>
      <c r="E282" s="889"/>
      <c r="F282" s="889"/>
      <c r="G282" s="889"/>
      <c r="H282" s="889"/>
      <c r="I282" s="889"/>
      <c r="J282" s="889"/>
      <c r="K282" s="889"/>
      <c r="L282" s="889"/>
      <c r="M282" s="889"/>
      <c r="N282" s="889"/>
      <c r="R282" s="163"/>
      <c r="S282" s="889"/>
    </row>
    <row r="283" spans="1:23" s="900" customFormat="1" outlineLevel="1">
      <c r="A283" s="893"/>
      <c r="B283" s="894"/>
      <c r="C283" s="898" t="s">
        <v>146</v>
      </c>
      <c r="D283" s="899"/>
      <c r="E283" s="889"/>
      <c r="F283" s="889"/>
      <c r="G283" s="889"/>
      <c r="H283" s="889"/>
      <c r="I283" s="889"/>
      <c r="J283" s="889"/>
      <c r="K283" s="889"/>
      <c r="L283" s="889"/>
      <c r="M283" s="889"/>
      <c r="N283" s="889"/>
      <c r="R283" s="163"/>
      <c r="S283" s="889"/>
    </row>
    <row r="284" spans="1:23" s="896" customFormat="1">
      <c r="A284" s="893" t="s">
        <v>147</v>
      </c>
      <c r="B284" s="894" t="s">
        <v>148</v>
      </c>
      <c r="C284" s="895" t="s">
        <v>149</v>
      </c>
      <c r="D284" s="899"/>
      <c r="E284" s="889"/>
      <c r="F284" s="889"/>
      <c r="G284" s="889"/>
      <c r="H284" s="889"/>
      <c r="I284" s="889"/>
      <c r="J284" s="889"/>
      <c r="K284" s="889"/>
      <c r="L284" s="889"/>
      <c r="M284" s="889"/>
      <c r="N284" s="889"/>
      <c r="R284" s="163"/>
      <c r="S284" s="889"/>
    </row>
    <row r="285" spans="1:23" s="900" customFormat="1" outlineLevel="1">
      <c r="A285" s="893"/>
      <c r="B285" s="894"/>
      <c r="C285" s="898" t="s">
        <v>150</v>
      </c>
      <c r="D285" s="899"/>
      <c r="E285" s="889"/>
      <c r="F285" s="889"/>
      <c r="G285" s="889"/>
      <c r="H285" s="889"/>
      <c r="I285" s="889"/>
      <c r="J285" s="889"/>
      <c r="K285" s="889"/>
      <c r="L285" s="889"/>
      <c r="M285" s="889"/>
      <c r="N285" s="889"/>
      <c r="R285" s="163"/>
      <c r="S285" s="889"/>
    </row>
    <row r="286" spans="1:23" s="900" customFormat="1" outlineLevel="1">
      <c r="A286" s="893"/>
      <c r="B286" s="894"/>
      <c r="C286" s="898" t="s">
        <v>151</v>
      </c>
      <c r="D286" s="899"/>
      <c r="E286" s="889"/>
      <c r="F286" s="889"/>
      <c r="G286" s="889"/>
      <c r="H286" s="889"/>
      <c r="I286" s="889"/>
      <c r="J286" s="889"/>
      <c r="K286" s="889"/>
      <c r="L286" s="889"/>
      <c r="M286" s="889"/>
      <c r="N286" s="889"/>
      <c r="R286" s="163"/>
      <c r="S286" s="889"/>
    </row>
    <row r="287" spans="1:23" s="896" customFormat="1">
      <c r="A287" s="893" t="s">
        <v>152</v>
      </c>
      <c r="B287" s="894">
        <v>2.5</v>
      </c>
      <c r="C287" s="903" t="s">
        <v>153</v>
      </c>
      <c r="D287" s="881">
        <v>3</v>
      </c>
      <c r="E287" s="889"/>
      <c r="F287" s="889"/>
      <c r="G287" s="889"/>
      <c r="H287" s="889"/>
      <c r="I287" s="889"/>
      <c r="J287" s="889"/>
      <c r="K287" s="889"/>
      <c r="L287" s="889"/>
      <c r="M287" s="889"/>
      <c r="N287" s="889"/>
      <c r="R287" s="163"/>
    </row>
    <row r="288" spans="1:23" s="900" customFormat="1" outlineLevel="1">
      <c r="A288" s="893"/>
      <c r="B288" s="894"/>
      <c r="C288" s="904" t="s">
        <v>154</v>
      </c>
      <c r="D288" s="905"/>
      <c r="E288" s="889"/>
      <c r="G288" s="889"/>
      <c r="H288" s="889"/>
      <c r="I288" s="889"/>
      <c r="J288" s="889"/>
      <c r="K288" s="889"/>
      <c r="L288" s="889"/>
      <c r="M288" s="889"/>
      <c r="N288" s="889"/>
      <c r="R288" s="163"/>
    </row>
    <row r="289" spans="1:23" s="900" customFormat="1" outlineLevel="1">
      <c r="A289" s="893"/>
      <c r="B289" s="894"/>
      <c r="C289" s="904" t="s">
        <v>155</v>
      </c>
      <c r="D289" s="905"/>
      <c r="E289" s="889"/>
      <c r="F289" s="889"/>
      <c r="G289" s="889"/>
      <c r="H289" s="889"/>
      <c r="I289" s="889"/>
      <c r="J289" s="889"/>
      <c r="K289" s="889"/>
      <c r="L289" s="889"/>
      <c r="M289" s="889"/>
      <c r="N289" s="889"/>
      <c r="R289" s="163"/>
    </row>
    <row r="290" spans="1:23" s="896" customFormat="1">
      <c r="A290" s="893" t="s">
        <v>156</v>
      </c>
      <c r="B290" s="894" t="s">
        <v>81</v>
      </c>
      <c r="C290" s="895" t="s">
        <v>157</v>
      </c>
      <c r="D290" s="881">
        <v>3</v>
      </c>
      <c r="E290" s="889"/>
      <c r="F290" s="889"/>
      <c r="G290" s="889"/>
      <c r="H290" s="889"/>
      <c r="I290" s="889"/>
      <c r="J290" s="889"/>
      <c r="K290" s="889"/>
      <c r="L290" s="889"/>
      <c r="M290" s="889"/>
      <c r="N290" s="889"/>
      <c r="R290" s="163"/>
    </row>
    <row r="291" spans="1:23" s="900" customFormat="1" outlineLevel="1">
      <c r="A291" s="893"/>
      <c r="B291" s="894"/>
      <c r="C291" s="898" t="s">
        <v>158</v>
      </c>
      <c r="D291" s="899"/>
      <c r="E291" s="889"/>
      <c r="F291" s="889"/>
      <c r="G291" s="889"/>
      <c r="H291" s="889"/>
      <c r="I291" s="889"/>
      <c r="J291" s="889"/>
      <c r="K291" s="889"/>
      <c r="L291" s="889"/>
      <c r="M291" s="889"/>
      <c r="N291" s="889"/>
      <c r="R291" s="163"/>
    </row>
    <row r="292" spans="1:23" s="900" customFormat="1" outlineLevel="1">
      <c r="A292" s="893"/>
      <c r="B292" s="894"/>
      <c r="C292" s="883" t="s">
        <v>159</v>
      </c>
      <c r="D292" s="899"/>
      <c r="E292" s="889"/>
      <c r="F292" s="889"/>
      <c r="G292" s="889"/>
      <c r="H292" s="889"/>
      <c r="I292" s="889"/>
      <c r="J292" s="889"/>
      <c r="K292" s="889"/>
      <c r="L292" s="889"/>
      <c r="M292" s="889"/>
      <c r="N292" s="889"/>
      <c r="R292" s="163"/>
    </row>
    <row r="293" spans="1:23" s="896" customFormat="1">
      <c r="A293" s="893" t="s">
        <v>160</v>
      </c>
      <c r="B293" s="894" t="s">
        <v>161</v>
      </c>
      <c r="C293" s="895" t="s">
        <v>162</v>
      </c>
      <c r="D293" s="881">
        <v>3</v>
      </c>
      <c r="E293" s="889"/>
      <c r="F293" s="889"/>
      <c r="G293" s="889"/>
      <c r="H293" s="889"/>
      <c r="I293" s="889"/>
      <c r="R293" s="163"/>
      <c r="S293" s="897" t="b">
        <f>IF(OR('T2 ANSP'!$A$5="MET",'T2 ANSP'!$A$5="NSA"),"N/A",ROUND('T2 ANSP'!C33,$D$293)=ROUND('T1 ANSP'!K61-'T1 ANSP'!K28,$D$293))</f>
        <v>1</v>
      </c>
      <c r="T293" s="897" t="b">
        <f>IF(OR('T2 ANSP'!$A$5="MET",'T2 ANSP'!$A$5="NSA"),"N/A",ROUND('T2 ANSP'!D33,$D$293)=ROUND('T1 ANSP'!L61-'T1 ANSP'!L28,$D$293))</f>
        <v>1</v>
      </c>
      <c r="U293" s="897" t="b">
        <f>IF(OR('T2 ANSP'!$A$5="MET",'T2 ANSP'!$A$5="NSA"),"N/A",ROUND('T2 ANSP'!E33,$D$293)=ROUND('T1 ANSP'!M61-'T1 ANSP'!M28,$D$293))</f>
        <v>1</v>
      </c>
      <c r="V293" s="897" t="b">
        <f>IF(OR('T2 ANSP'!$A$5="MET",'T2 ANSP'!$A$5="NSA"),"N/A",ROUND('T2 ANSP'!F33,$D$293)=ROUND('T1 ANSP'!N61-'T1 ANSP'!N28,$D$293))</f>
        <v>1</v>
      </c>
      <c r="W293" s="897" t="b">
        <f>IF(OR('T2 ANSP'!$A$5="MET",'T2 ANSP'!$A$5="NSA"),"N/A",ROUND('T2 ANSP'!G33,$D$293)=ROUND('T1 ANSP'!O61-'T1 ANSP'!O28,$D$293))</f>
        <v>1</v>
      </c>
    </row>
    <row r="294" spans="1:23" s="900" customFormat="1" outlineLevel="1">
      <c r="A294" s="893"/>
      <c r="B294" s="894"/>
      <c r="C294" s="898" t="s">
        <v>163</v>
      </c>
      <c r="D294" s="899"/>
      <c r="E294" s="889"/>
      <c r="F294" s="889"/>
      <c r="G294" s="889"/>
      <c r="H294" s="889"/>
      <c r="I294" s="889"/>
      <c r="R294" s="163"/>
      <c r="S294" s="901">
        <f>IF(OR('T2 ANSP'!$A$5="MET",'T2 ANSP'!$A$5="NSA"),"N/A",ROUND('T2 ANSP'!C33,$D$293))</f>
        <v>689955.37800000003</v>
      </c>
      <c r="T294" s="901">
        <f>IF(OR('T2 ANSP'!$A$5="MET",'T2 ANSP'!$A$5="NSA"),"N/A",ROUND('T2 ANSP'!D33,$D$293))</f>
        <v>674270.83200000005</v>
      </c>
      <c r="U294" s="901">
        <f>IF(OR('T2 ANSP'!$A$5="MET",'T2 ANSP'!$A$5="NSA"),"N/A",ROUND('T2 ANSP'!E33,$D$293))</f>
        <v>688739.42299999995</v>
      </c>
      <c r="V294" s="901">
        <f>IF(OR('T2 ANSP'!$A$5="MET",'T2 ANSP'!$A$5="NSA"),"N/A",ROUND('T2 ANSP'!F33,$D$293))</f>
        <v>703645.25600000005</v>
      </c>
      <c r="W294" s="901">
        <f>IF(OR('T2 ANSP'!$A$5="MET",'T2 ANSP'!$A$5="NSA"),"N/A",ROUND('T2 ANSP'!G33,$D$293))</f>
        <v>738499.39399999997</v>
      </c>
    </row>
    <row r="295" spans="1:23" s="900" customFormat="1" outlineLevel="1">
      <c r="A295" s="893"/>
      <c r="B295" s="894"/>
      <c r="C295" s="898" t="s">
        <v>164</v>
      </c>
      <c r="D295" s="899"/>
      <c r="E295" s="889"/>
      <c r="F295" s="889"/>
      <c r="G295" s="889"/>
      <c r="H295" s="889"/>
      <c r="I295" s="889"/>
      <c r="R295" s="163"/>
      <c r="S295" s="901">
        <f>IF(OR('T2 ANSP'!$A$5="MET",'T2 ANSP'!$A$5="NSA"),"N/A",ROUND('T1 ANSP'!K61-'T1 ANSP'!K28,$D$293))</f>
        <v>689955.37800000003</v>
      </c>
      <c r="T295" s="901">
        <f>IF(OR('T2 ANSP'!$A$5="MET",'T2 ANSP'!$A$5="NSA"),"N/A",ROUND('T1 ANSP'!L61-'T1 ANSP'!L28,$D$293))</f>
        <v>674270.83200000005</v>
      </c>
      <c r="U295" s="901">
        <f>IF(OR('T2 ANSP'!$A$5="MET",'T2 ANSP'!$A$5="NSA"),"N/A",ROUND('T1 ANSP'!M61-'T1 ANSP'!M28,$D$293))</f>
        <v>688739.42299999995</v>
      </c>
      <c r="V295" s="901">
        <f>IF(OR('T2 ANSP'!$A$5="MET",'T2 ANSP'!$A$5="NSA"),"N/A",ROUND('T1 ANSP'!N61-'T1 ANSP'!N28,$D$293))</f>
        <v>703645.25600000005</v>
      </c>
      <c r="W295" s="901">
        <f>IF(OR('T2 ANSP'!$A$5="MET",'T2 ANSP'!$A$5="NSA"),"N/A",ROUND('T1 ANSP'!O61-'T1 ANSP'!O28,$D$293))</f>
        <v>738499.39399999997</v>
      </c>
    </row>
    <row r="296" spans="1:23" s="896" customFormat="1">
      <c r="A296" s="893" t="s">
        <v>260</v>
      </c>
      <c r="B296" s="894" t="s">
        <v>17</v>
      </c>
      <c r="C296" s="895" t="s">
        <v>261</v>
      </c>
      <c r="D296" s="881">
        <v>2</v>
      </c>
      <c r="E296" s="889"/>
      <c r="F296" s="889"/>
      <c r="G296" s="889"/>
      <c r="H296" s="889"/>
      <c r="I296" s="889"/>
      <c r="N296" s="900"/>
      <c r="R296" s="163"/>
      <c r="S296" s="897" t="b">
        <f>IF(OR('T2 ANSP'!$A$5="MET",'T2 ANSP'!$A$5="NSA"),"N/A",ROUND('T2 ANSP'!C34,$D$296)=2%)</f>
        <v>1</v>
      </c>
      <c r="T296" s="897" t="b">
        <f>IF(OR('T2 ANSP'!$A$5="MET",'T2 ANSP'!$A$5="NSA"),"N/A",ROUND('T2 ANSP'!D34,$D$296)=2%)</f>
        <v>1</v>
      </c>
      <c r="U296" s="897" t="b">
        <f>IF(OR('T2 ANSP'!$A$5="MET",'T2 ANSP'!$A$5="NSA"),"N/A",ROUND('T2 ANSP'!E34,$D$296)=2%)</f>
        <v>1</v>
      </c>
      <c r="V296" s="897" t="b">
        <f>IF(OR('T2 ANSP'!$A$5="MET",'T2 ANSP'!$A$5="NSA"),"N/A",ROUND('T2 ANSP'!F34,$D$296)=2%)</f>
        <v>1</v>
      </c>
      <c r="W296" s="897" t="b">
        <f>IF(OR('T2 ANSP'!$A$5="MET",'T2 ANSP'!$A$5="NSA"),"N/A",ROUND('T2 ANSP'!G34,$D$296)=2%)</f>
        <v>1</v>
      </c>
    </row>
    <row r="297" spans="1:23" s="900" customFormat="1" outlineLevel="1">
      <c r="A297" s="893"/>
      <c r="B297" s="894"/>
      <c r="C297" s="898" t="s">
        <v>262</v>
      </c>
      <c r="D297" s="899"/>
      <c r="E297" s="889"/>
      <c r="F297" s="889"/>
      <c r="G297" s="889"/>
      <c r="H297" s="889"/>
      <c r="I297" s="889"/>
      <c r="R297" s="163"/>
      <c r="S297" s="911">
        <f>IF(OR('T2 ANSP'!$A$5="MET",'T2 ANSP'!$A$5="NSA"),"N/A",ROUND('T2 ANSP'!C34,$D$296))</f>
        <v>0.02</v>
      </c>
      <c r="T297" s="911">
        <f>IF(OR('T2 ANSP'!$A$5="MET",'T2 ANSP'!$A$5="NSA"),"N/A",ROUND('T2 ANSP'!D34,$D$296))</f>
        <v>0.02</v>
      </c>
      <c r="U297" s="911">
        <f>IF(OR('T2 ANSP'!$A$5="MET",'T2 ANSP'!$A$5="NSA"),"N/A",ROUND('T2 ANSP'!E34,$D$296))</f>
        <v>0.02</v>
      </c>
      <c r="V297" s="911">
        <f>IF(OR('T2 ANSP'!$A$5="MET",'T2 ANSP'!$A$5="NSA"),"N/A",ROUND('T2 ANSP'!F34,$D$296))</f>
        <v>0.02</v>
      </c>
      <c r="W297" s="911">
        <f>IF(OR('T2 ANSP'!$A$5="MET",'T2 ANSP'!$A$5="NSA"),"N/A",ROUND('T2 ANSP'!G34,$D$296))</f>
        <v>0.02</v>
      </c>
    </row>
    <row r="298" spans="1:23" s="896" customFormat="1">
      <c r="A298" s="893" t="s">
        <v>263</v>
      </c>
      <c r="B298" s="894" t="s">
        <v>264</v>
      </c>
      <c r="C298" s="895" t="s">
        <v>265</v>
      </c>
      <c r="D298" s="881">
        <v>2</v>
      </c>
      <c r="E298" s="889"/>
      <c r="F298" s="889"/>
      <c r="G298" s="889"/>
      <c r="H298" s="889"/>
      <c r="I298" s="889"/>
      <c r="N298" s="900"/>
      <c r="R298" s="163"/>
      <c r="S298" s="897" t="b">
        <f>IF(OR('T2 ANSP'!$A$5="MET",'T2 ANSP'!$A$5="NSA"),"N/A",ROUND('T2 ANSP'!C35,$D$298)=70%)</f>
        <v>1</v>
      </c>
      <c r="T298" s="897" t="b">
        <f>IF(OR('T2 ANSP'!$A$5="MET",'T2 ANSP'!$A$5="NSA"),"N/A",ROUND('T2 ANSP'!D35,$D$298)=70%)</f>
        <v>1</v>
      </c>
      <c r="U298" s="897" t="b">
        <f>IF(OR('T2 ANSP'!$A$5="MET",'T2 ANSP'!$A$5="NSA"),"N/A",ROUND('T2 ANSP'!E35,$D$298)=70%)</f>
        <v>1</v>
      </c>
      <c r="V298" s="897" t="b">
        <f>IF(OR('T2 ANSP'!$A$5="MET",'T2 ANSP'!$A$5="NSA"),"N/A",ROUND('T2 ANSP'!F35,$D$298)=70%)</f>
        <v>1</v>
      </c>
      <c r="W298" s="897" t="b">
        <f>IF(OR('T2 ANSP'!$A$5="MET",'T2 ANSP'!$A$5="NSA"),"N/A",ROUND('T2 ANSP'!G35,$D$298)=70%)</f>
        <v>1</v>
      </c>
    </row>
    <row r="299" spans="1:23" s="900" customFormat="1" outlineLevel="1">
      <c r="A299" s="893"/>
      <c r="B299" s="894"/>
      <c r="C299" s="898" t="s">
        <v>266</v>
      </c>
      <c r="D299" s="899"/>
      <c r="E299" s="889"/>
      <c r="F299" s="889"/>
      <c r="G299" s="889"/>
      <c r="H299" s="889"/>
      <c r="I299" s="889"/>
      <c r="R299" s="163"/>
      <c r="S299" s="911">
        <f>IF(OR('T2 ANSP'!$A$5="MET",'T2 ANSP'!$A$5="NSA"),"N/A",ROUND('T2 ANSP'!C35,$D$298))</f>
        <v>0.7</v>
      </c>
      <c r="T299" s="911">
        <f>IF(OR('T2 ANSP'!$A$5="MET",'T2 ANSP'!$A$5="NSA"),"N/A",ROUND('T2 ANSP'!D35,$D$298))</f>
        <v>0.7</v>
      </c>
      <c r="U299" s="911">
        <f>IF(OR('T2 ANSP'!$A$5="MET",'T2 ANSP'!$A$5="NSA"),"N/A",ROUND('T2 ANSP'!E35,$D$298))</f>
        <v>0.7</v>
      </c>
      <c r="V299" s="911">
        <f>IF(OR('T2 ANSP'!$A$5="MET",'T2 ANSP'!$A$5="NSA"),"N/A",ROUND('T2 ANSP'!F35,$D$298))</f>
        <v>0.7</v>
      </c>
      <c r="W299" s="911">
        <f>IF(OR('T2 ANSP'!$A$5="MET",'T2 ANSP'!$A$5="NSA"),"N/A",ROUND('T2 ANSP'!G35,$D$298))</f>
        <v>0.7</v>
      </c>
    </row>
    <row r="300" spans="1:23" s="896" customFormat="1">
      <c r="A300" s="893" t="s">
        <v>267</v>
      </c>
      <c r="B300" s="894" t="s">
        <v>268</v>
      </c>
      <c r="C300" s="895" t="s">
        <v>269</v>
      </c>
      <c r="D300" s="881">
        <v>2</v>
      </c>
      <c r="E300" s="889"/>
      <c r="F300" s="889"/>
      <c r="G300" s="889"/>
      <c r="H300" s="889"/>
      <c r="I300" s="889"/>
      <c r="N300" s="900"/>
      <c r="R300" s="163"/>
      <c r="S300" s="897" t="b">
        <f>IF(OR('T2 ANSP'!$A$5="MET",'T2 ANSP'!$A$5="NSA"),"N/A",ROUND('T2 ANSP'!C36,$D$300)=70%)</f>
        <v>1</v>
      </c>
      <c r="T300" s="897" t="b">
        <f>IF(OR('T2 ANSP'!$A$5="MET",'T2 ANSP'!$A$5="NSA"),"N/A",ROUND('T2 ANSP'!D36,$D$300)=70%)</f>
        <v>1</v>
      </c>
      <c r="U300" s="897" t="b">
        <f>IF(OR('T2 ANSP'!$A$5="MET",'T2 ANSP'!$A$5="NSA"),"N/A",ROUND('T2 ANSP'!E36,$D$300)=70%)</f>
        <v>1</v>
      </c>
      <c r="V300" s="897" t="b">
        <f>IF(OR('T2 ANSP'!$A$5="MET",'T2 ANSP'!$A$5="NSA"),"N/A",ROUND('T2 ANSP'!F36,$D$300)=70%)</f>
        <v>1</v>
      </c>
      <c r="W300" s="897" t="b">
        <f>IF(OR('T2 ANSP'!$A$5="MET",'T2 ANSP'!$A$5="NSA"),"N/A",ROUND('T2 ANSP'!G36,$D$300)=70%)</f>
        <v>1</v>
      </c>
    </row>
    <row r="301" spans="1:23" s="900" customFormat="1" outlineLevel="1">
      <c r="A301" s="893"/>
      <c r="B301" s="894"/>
      <c r="C301" s="898" t="s">
        <v>270</v>
      </c>
      <c r="D301" s="899"/>
      <c r="E301" s="889"/>
      <c r="F301" s="889"/>
      <c r="G301" s="889"/>
      <c r="H301" s="889"/>
      <c r="I301" s="889"/>
      <c r="R301" s="163"/>
      <c r="S301" s="911">
        <f>IF(OR('T2 ANSP'!$A$5="MET",'T2 ANSP'!$A$5="NSA"),"N/A",ROUND('T2 ANSP'!C36,$D$300))</f>
        <v>0.7</v>
      </c>
      <c r="T301" s="911">
        <f>IF(OR('T2 ANSP'!$A$5="MET",'T2 ANSP'!$A$5="NSA"),"N/A",ROUND('T2 ANSP'!D36,$D$300))</f>
        <v>0.7</v>
      </c>
      <c r="U301" s="911">
        <f>IF(OR('T2 ANSP'!$A$5="MET",'T2 ANSP'!$A$5="NSA"),"N/A",ROUND('T2 ANSP'!E36,$D$300))</f>
        <v>0.7</v>
      </c>
      <c r="V301" s="911">
        <f>IF(OR('T2 ANSP'!$A$5="MET",'T2 ANSP'!$A$5="NSA"),"N/A",ROUND('T2 ANSP'!F36,$D$300))</f>
        <v>0.7</v>
      </c>
      <c r="W301" s="911">
        <f>IF(OR('T2 ANSP'!$A$5="MET",'T2 ANSP'!$A$5="NSA"),"N/A",ROUND('T2 ANSP'!G36,$D$300))</f>
        <v>0.7</v>
      </c>
    </row>
    <row r="302" spans="1:23" s="896" customFormat="1">
      <c r="A302" s="893" t="s">
        <v>271</v>
      </c>
      <c r="B302" s="894" t="s">
        <v>272</v>
      </c>
      <c r="C302" s="895" t="s">
        <v>273</v>
      </c>
      <c r="D302" s="881">
        <v>2</v>
      </c>
      <c r="E302" s="889"/>
      <c r="F302" s="889"/>
      <c r="G302" s="889"/>
      <c r="H302" s="889"/>
      <c r="I302" s="889"/>
      <c r="N302" s="900"/>
      <c r="R302" s="163"/>
      <c r="S302" s="897" t="b">
        <f>IF(OR('T2 ANSP'!$A$5="MET",'T2 ANSP'!$A$5="NSA"),"N/A",ROUND('T2 ANSP'!C37,$D$302)=10%)</f>
        <v>1</v>
      </c>
      <c r="T302" s="897" t="b">
        <f>IF(OR('T2 ANSP'!$A$5="MET",'T2 ANSP'!$A$5="NSA"),"N/A",ROUND('T2 ANSP'!D37,$D$302)=10%)</f>
        <v>1</v>
      </c>
      <c r="U302" s="897" t="b">
        <f>IF(OR('T2 ANSP'!$A$5="MET",'T2 ANSP'!$A$5="NSA"),"N/A",ROUND('T2 ANSP'!E37,$D$302)=10%)</f>
        <v>1</v>
      </c>
      <c r="V302" s="897" t="b">
        <f>IF(OR('T2 ANSP'!$A$5="MET",'T2 ANSP'!$A$5="NSA"),"N/A",ROUND('T2 ANSP'!F37,$D$302)=10%)</f>
        <v>1</v>
      </c>
      <c r="W302" s="897" t="b">
        <f>IF(OR('T2 ANSP'!$A$5="MET",'T2 ANSP'!$A$5="NSA"),"N/A",ROUND('T2 ANSP'!G37,$D$302)=10%)</f>
        <v>1</v>
      </c>
    </row>
    <row r="303" spans="1:23" s="900" customFormat="1" outlineLevel="1">
      <c r="A303" s="893"/>
      <c r="B303" s="894"/>
      <c r="C303" s="898" t="s">
        <v>262</v>
      </c>
      <c r="D303" s="899"/>
      <c r="E303" s="889"/>
      <c r="F303" s="889"/>
      <c r="G303" s="889"/>
      <c r="H303" s="889"/>
      <c r="I303" s="889"/>
      <c r="R303" s="163"/>
      <c r="S303" s="911">
        <f>IF(OR('T2 ANSP'!$A$5="MET",'T2 ANSP'!$A$5="NSA"),"N/A",ROUND('T2 ANSP'!C37,$D$302))</f>
        <v>0.1</v>
      </c>
      <c r="T303" s="911">
        <f>IF(OR('T2 ANSP'!$A$5="MET",'T2 ANSP'!$A$5="NSA"),"N/A",ROUND('T2 ANSP'!D37,$D$302))</f>
        <v>0.1</v>
      </c>
      <c r="U303" s="911">
        <f>IF(OR('T2 ANSP'!$A$5="MET",'T2 ANSP'!$A$5="NSA"),"N/A",ROUND('T2 ANSP'!E37,$D$302))</f>
        <v>0.1</v>
      </c>
      <c r="V303" s="911">
        <f>IF(OR('T2 ANSP'!$A$5="MET",'T2 ANSP'!$A$5="NSA"),"N/A",ROUND('T2 ANSP'!F37,$D$302))</f>
        <v>0.1</v>
      </c>
      <c r="W303" s="911">
        <f>IF(OR('T2 ANSP'!$A$5="MET",'T2 ANSP'!$A$5="NSA"),"N/A",ROUND('T2 ANSP'!G37,$D$302))</f>
        <v>0.1</v>
      </c>
    </row>
    <row r="304" spans="1:23" s="896" customFormat="1">
      <c r="A304" s="893" t="s">
        <v>165</v>
      </c>
      <c r="B304" s="894" t="s">
        <v>166</v>
      </c>
      <c r="C304" s="895" t="s">
        <v>167</v>
      </c>
      <c r="D304" s="881">
        <v>3</v>
      </c>
      <c r="E304" s="889"/>
      <c r="F304" s="889"/>
      <c r="G304" s="889"/>
      <c r="H304" s="889"/>
      <c r="I304" s="889"/>
      <c r="N304" s="900"/>
      <c r="R304" s="163"/>
      <c r="S304" s="897" t="b">
        <f>ROUND('T2 ANSP'!C38,$D$304)=ROUND('T1 ANSP'!K68,$D$304)</f>
        <v>1</v>
      </c>
      <c r="T304" s="897" t="b">
        <f>ROUND('T2 ANSP'!D38,$D$304)=ROUND('T1 ANSP'!L68,$D$304)</f>
        <v>1</v>
      </c>
      <c r="U304" s="897" t="b">
        <f>ROUND('T2 ANSP'!E38,$D$304)=ROUND('T1 ANSP'!M68,$D$304)</f>
        <v>1</v>
      </c>
      <c r="V304" s="897" t="b">
        <f>ROUND('T2 ANSP'!F38,$D$304)=ROUND('T1 ANSP'!N68,$D$304)</f>
        <v>1</v>
      </c>
      <c r="W304" s="897" t="b">
        <f>ROUND('T2 ANSP'!G38,$D$304)=ROUND('T1 ANSP'!O68,$D$304)</f>
        <v>1</v>
      </c>
    </row>
    <row r="305" spans="1:23" s="900" customFormat="1" outlineLevel="1">
      <c r="A305" s="893"/>
      <c r="B305" s="894"/>
      <c r="C305" s="898" t="s">
        <v>168</v>
      </c>
      <c r="D305" s="899"/>
      <c r="E305" s="889"/>
      <c r="F305" s="889"/>
      <c r="G305" s="889"/>
      <c r="H305" s="889"/>
      <c r="I305" s="889"/>
      <c r="R305" s="163"/>
      <c r="S305" s="901">
        <f>ROUND('T2 ANSP'!C38,$D$304)</f>
        <v>12647.945</v>
      </c>
      <c r="T305" s="901">
        <f>ROUND('T2 ANSP'!D38,$D$304)</f>
        <v>12891</v>
      </c>
      <c r="U305" s="901">
        <f>ROUND('T2 ANSP'!E38,$D$304)</f>
        <v>13183</v>
      </c>
      <c r="V305" s="901">
        <f>ROUND('T2 ANSP'!F38,$D$304)</f>
        <v>11715</v>
      </c>
      <c r="W305" s="901">
        <f>ROUND('T2 ANSP'!G38,$D$304)</f>
        <v>12228</v>
      </c>
    </row>
    <row r="306" spans="1:23" s="900" customFormat="1" outlineLevel="1">
      <c r="A306" s="893"/>
      <c r="B306" s="894"/>
      <c r="C306" s="898" t="s">
        <v>169</v>
      </c>
      <c r="D306" s="899"/>
      <c r="E306" s="889"/>
      <c r="F306" s="889"/>
      <c r="G306" s="889"/>
      <c r="H306" s="889"/>
      <c r="I306" s="889"/>
      <c r="R306" s="163"/>
      <c r="S306" s="901">
        <f>ROUND('T1 ANSP'!K68,$D$304)</f>
        <v>12647.945</v>
      </c>
      <c r="T306" s="901">
        <f>ROUND('T1 ANSP'!L68,$D$304)</f>
        <v>12891</v>
      </c>
      <c r="U306" s="901">
        <f>ROUND('T1 ANSP'!M68,$D$304)</f>
        <v>13183</v>
      </c>
      <c r="V306" s="901">
        <f>ROUND('T1 ANSP'!N68,$D$304)</f>
        <v>11715</v>
      </c>
      <c r="W306" s="901">
        <f>ROUND('T1 ANSP'!O68,$D$304)</f>
        <v>12228</v>
      </c>
    </row>
    <row r="307" spans="1:23" s="896" customFormat="1">
      <c r="A307" s="893" t="s">
        <v>170</v>
      </c>
      <c r="B307" s="894">
        <v>4.7</v>
      </c>
      <c r="C307" s="903" t="s">
        <v>171</v>
      </c>
      <c r="D307" s="881">
        <v>3</v>
      </c>
      <c r="E307" s="889"/>
      <c r="F307" s="889"/>
      <c r="G307" s="889"/>
      <c r="H307" s="889"/>
      <c r="I307" s="889"/>
      <c r="J307" s="889"/>
      <c r="K307" s="889"/>
      <c r="L307" s="889"/>
      <c r="M307" s="889"/>
      <c r="N307" s="889"/>
      <c r="R307" s="163"/>
    </row>
    <row r="308" spans="1:23" s="900" customFormat="1" outlineLevel="1">
      <c r="A308" s="893"/>
      <c r="B308" s="894"/>
      <c r="C308" s="904" t="s">
        <v>172</v>
      </c>
      <c r="D308" s="905"/>
      <c r="E308" s="889"/>
      <c r="F308" s="889"/>
      <c r="G308" s="889"/>
      <c r="H308" s="889"/>
      <c r="I308" s="889"/>
      <c r="J308" s="889"/>
      <c r="K308" s="889"/>
      <c r="L308" s="889"/>
      <c r="M308" s="889"/>
      <c r="N308" s="889"/>
      <c r="R308" s="163"/>
    </row>
    <row r="309" spans="1:23" s="900" customFormat="1" outlineLevel="1">
      <c r="A309" s="893"/>
      <c r="B309" s="894"/>
      <c r="C309" s="904" t="s">
        <v>173</v>
      </c>
      <c r="D309" s="905"/>
      <c r="E309" s="889"/>
      <c r="F309" s="889"/>
      <c r="G309" s="889"/>
      <c r="H309" s="889"/>
      <c r="I309" s="889"/>
      <c r="J309" s="889"/>
      <c r="K309" s="889"/>
      <c r="L309" s="889"/>
      <c r="M309" s="889"/>
      <c r="N309" s="889"/>
      <c r="R309" s="163"/>
    </row>
    <row r="310" spans="1:23" s="896" customFormat="1">
      <c r="A310" s="893" t="s">
        <v>174</v>
      </c>
      <c r="B310" s="894">
        <v>4.8</v>
      </c>
      <c r="C310" s="903" t="s">
        <v>175</v>
      </c>
      <c r="D310" s="881">
        <v>3</v>
      </c>
      <c r="E310" s="889"/>
      <c r="F310" s="889"/>
      <c r="G310" s="889"/>
      <c r="H310" s="889"/>
      <c r="I310" s="889"/>
      <c r="J310" s="889"/>
      <c r="K310" s="889"/>
      <c r="L310" s="889"/>
      <c r="M310" s="889"/>
      <c r="N310" s="889"/>
      <c r="R310" s="163"/>
    </row>
    <row r="311" spans="1:23" s="900" customFormat="1" outlineLevel="1">
      <c r="A311" s="893"/>
      <c r="B311" s="894"/>
      <c r="C311" s="904" t="s">
        <v>176</v>
      </c>
      <c r="D311" s="905"/>
      <c r="E311" s="889"/>
      <c r="F311" s="889"/>
      <c r="G311" s="889"/>
      <c r="H311" s="889"/>
      <c r="I311" s="889"/>
      <c r="J311" s="889"/>
      <c r="K311" s="889"/>
      <c r="L311" s="889"/>
      <c r="M311" s="889"/>
      <c r="N311" s="889"/>
      <c r="R311" s="163"/>
    </row>
    <row r="312" spans="1:23" s="900" customFormat="1" outlineLevel="1">
      <c r="A312" s="893"/>
      <c r="B312" s="894"/>
      <c r="C312" s="904" t="s">
        <v>177</v>
      </c>
      <c r="D312" s="905"/>
      <c r="E312" s="889"/>
      <c r="F312" s="889"/>
      <c r="G312" s="889"/>
      <c r="H312" s="889"/>
      <c r="I312" s="889"/>
      <c r="J312" s="889"/>
      <c r="K312" s="889"/>
      <c r="L312" s="889"/>
      <c r="M312" s="889"/>
      <c r="N312" s="889"/>
      <c r="R312" s="163"/>
    </row>
    <row r="313" spans="1:23" s="896" customFormat="1">
      <c r="A313" s="893" t="s">
        <v>178</v>
      </c>
      <c r="B313" s="894" t="s">
        <v>179</v>
      </c>
      <c r="C313" s="903" t="s">
        <v>180</v>
      </c>
      <c r="D313" s="881">
        <v>3</v>
      </c>
      <c r="E313" s="889"/>
      <c r="F313" s="889"/>
      <c r="G313" s="889"/>
      <c r="H313" s="889"/>
      <c r="I313" s="889"/>
      <c r="J313" s="889"/>
      <c r="K313" s="889"/>
      <c r="L313" s="889"/>
      <c r="M313" s="889"/>
      <c r="N313" s="889"/>
      <c r="R313" s="163"/>
    </row>
    <row r="314" spans="1:23" s="900" customFormat="1" outlineLevel="1">
      <c r="A314" s="893"/>
      <c r="B314" s="894"/>
      <c r="C314" s="904" t="s">
        <v>181</v>
      </c>
      <c r="D314" s="899"/>
      <c r="E314" s="889"/>
      <c r="F314" s="889"/>
      <c r="G314" s="889"/>
      <c r="H314" s="889"/>
      <c r="I314" s="889"/>
      <c r="J314" s="889"/>
      <c r="K314" s="889"/>
      <c r="L314" s="889"/>
      <c r="M314" s="889"/>
      <c r="N314" s="889"/>
      <c r="R314" s="163"/>
    </row>
    <row r="315" spans="1:23" s="900" customFormat="1" outlineLevel="1">
      <c r="A315" s="893"/>
      <c r="B315" s="894"/>
      <c r="C315" s="904" t="s">
        <v>182</v>
      </c>
      <c r="D315" s="899"/>
      <c r="E315" s="889"/>
      <c r="F315" s="889"/>
      <c r="G315" s="889"/>
      <c r="H315" s="889"/>
      <c r="I315" s="889"/>
      <c r="J315" s="889"/>
      <c r="K315" s="889"/>
      <c r="L315" s="889"/>
      <c r="M315" s="889"/>
      <c r="N315" s="889"/>
      <c r="R315" s="163"/>
    </row>
    <row r="316" spans="1:23" s="896" customFormat="1">
      <c r="A316" s="893" t="s">
        <v>183</v>
      </c>
      <c r="B316" s="894" t="s">
        <v>34</v>
      </c>
      <c r="C316" s="895" t="s">
        <v>184</v>
      </c>
      <c r="D316" s="881">
        <v>3</v>
      </c>
      <c r="E316" s="889"/>
      <c r="F316" s="889"/>
      <c r="G316" s="889"/>
      <c r="H316" s="889"/>
      <c r="I316" s="889"/>
      <c r="J316" s="889"/>
      <c r="K316" s="889"/>
      <c r="L316" s="889"/>
      <c r="M316" s="889"/>
      <c r="N316" s="889"/>
      <c r="R316" s="163"/>
    </row>
    <row r="317" spans="1:23" s="900" customFormat="1" outlineLevel="1">
      <c r="A317" s="893"/>
      <c r="B317" s="894"/>
      <c r="C317" s="898" t="s">
        <v>185</v>
      </c>
      <c r="D317" s="899"/>
      <c r="E317" s="889"/>
      <c r="F317" s="889"/>
      <c r="G317" s="889"/>
      <c r="H317" s="889"/>
      <c r="I317" s="889"/>
      <c r="J317" s="889"/>
      <c r="K317" s="889"/>
      <c r="L317" s="889"/>
      <c r="M317" s="889"/>
      <c r="N317" s="889"/>
      <c r="R317" s="163"/>
    </row>
    <row r="318" spans="1:23" s="900" customFormat="1" outlineLevel="1">
      <c r="A318" s="893"/>
      <c r="B318" s="894"/>
      <c r="C318" s="898" t="s">
        <v>186</v>
      </c>
      <c r="D318" s="899"/>
      <c r="E318" s="889"/>
      <c r="F318" s="889"/>
      <c r="G318" s="889"/>
      <c r="H318" s="889"/>
      <c r="I318" s="889"/>
      <c r="J318" s="889"/>
      <c r="K318" s="889"/>
      <c r="L318" s="889"/>
      <c r="M318" s="889"/>
      <c r="N318" s="889"/>
      <c r="R318" s="163"/>
    </row>
    <row r="319" spans="1:23" s="896" customFormat="1">
      <c r="A319" s="893" t="s">
        <v>183</v>
      </c>
      <c r="B319" s="894" t="s">
        <v>38</v>
      </c>
      <c r="C319" s="895" t="s">
        <v>187</v>
      </c>
      <c r="D319" s="881">
        <v>3</v>
      </c>
      <c r="E319" s="889"/>
      <c r="F319" s="889"/>
      <c r="G319" s="889"/>
      <c r="H319" s="889"/>
      <c r="I319" s="889"/>
      <c r="J319" s="889"/>
      <c r="K319" s="889"/>
      <c r="L319" s="889"/>
      <c r="M319" s="889"/>
      <c r="N319" s="889"/>
      <c r="R319" s="163"/>
    </row>
    <row r="320" spans="1:23" s="900" customFormat="1" outlineLevel="1">
      <c r="A320" s="893"/>
      <c r="B320" s="894"/>
      <c r="C320" s="898" t="s">
        <v>185</v>
      </c>
      <c r="D320" s="899"/>
      <c r="E320" s="889"/>
      <c r="F320" s="889"/>
      <c r="G320" s="889"/>
      <c r="H320" s="889"/>
      <c r="I320" s="889"/>
      <c r="J320" s="889"/>
      <c r="K320" s="889"/>
      <c r="L320" s="889"/>
      <c r="M320" s="889"/>
      <c r="N320" s="889"/>
      <c r="R320" s="163"/>
    </row>
    <row r="321" spans="1:24" s="900" customFormat="1" outlineLevel="1">
      <c r="A321" s="893"/>
      <c r="B321" s="894"/>
      <c r="C321" s="898" t="s">
        <v>186</v>
      </c>
      <c r="D321" s="899"/>
      <c r="E321" s="889"/>
      <c r="F321" s="889"/>
      <c r="G321" s="889"/>
      <c r="H321" s="889"/>
      <c r="I321" s="889"/>
      <c r="J321" s="889"/>
      <c r="K321" s="889"/>
      <c r="L321" s="889"/>
      <c r="M321" s="889"/>
      <c r="N321" s="889"/>
      <c r="R321" s="163"/>
    </row>
    <row r="322" spans="1:24" s="896" customFormat="1">
      <c r="A322" s="893" t="s">
        <v>183</v>
      </c>
      <c r="B322" s="894" t="s">
        <v>58</v>
      </c>
      <c r="C322" s="895" t="s">
        <v>188</v>
      </c>
      <c r="D322" s="881">
        <v>3</v>
      </c>
      <c r="E322" s="889"/>
      <c r="F322" s="889"/>
      <c r="G322" s="889"/>
      <c r="H322" s="889"/>
      <c r="I322" s="889"/>
      <c r="J322" s="889"/>
      <c r="K322" s="889"/>
      <c r="L322" s="889"/>
      <c r="M322" s="889"/>
      <c r="N322" s="889"/>
      <c r="R322" s="163"/>
    </row>
    <row r="323" spans="1:24" s="900" customFormat="1" outlineLevel="1">
      <c r="A323" s="893"/>
      <c r="B323" s="894"/>
      <c r="C323" s="898" t="s">
        <v>189</v>
      </c>
      <c r="D323" s="899"/>
      <c r="E323" s="889"/>
      <c r="F323" s="889"/>
      <c r="G323" s="889"/>
      <c r="H323" s="889"/>
      <c r="I323" s="889"/>
      <c r="J323" s="889"/>
      <c r="K323" s="889"/>
      <c r="L323" s="889"/>
      <c r="M323" s="889"/>
      <c r="N323" s="889"/>
      <c r="R323" s="163"/>
    </row>
    <row r="324" spans="1:24" s="900" customFormat="1" outlineLevel="1">
      <c r="A324" s="893"/>
      <c r="B324" s="894"/>
      <c r="C324" s="898" t="s">
        <v>190</v>
      </c>
      <c r="D324" s="899"/>
      <c r="E324" s="889"/>
      <c r="F324" s="889"/>
      <c r="G324" s="889"/>
      <c r="H324" s="889"/>
      <c r="I324" s="889"/>
      <c r="J324" s="889"/>
      <c r="K324" s="889"/>
      <c r="L324" s="889"/>
      <c r="M324" s="889"/>
      <c r="N324" s="889"/>
      <c r="R324" s="163"/>
    </row>
    <row r="325" spans="1:24" s="896" customFormat="1">
      <c r="A325" s="893" t="s">
        <v>191</v>
      </c>
      <c r="B325" s="894" t="s">
        <v>192</v>
      </c>
      <c r="C325" s="895" t="s">
        <v>193</v>
      </c>
      <c r="D325" s="881">
        <v>3</v>
      </c>
      <c r="E325" s="889"/>
      <c r="F325" s="889"/>
      <c r="G325" s="889"/>
      <c r="H325" s="889"/>
      <c r="I325" s="889"/>
      <c r="J325" s="889"/>
      <c r="K325" s="889"/>
      <c r="L325" s="889"/>
      <c r="M325" s="889"/>
      <c r="N325" s="889"/>
      <c r="R325" s="163"/>
    </row>
    <row r="326" spans="1:24" s="900" customFormat="1" outlineLevel="1">
      <c r="A326" s="893"/>
      <c r="B326" s="894"/>
      <c r="C326" s="898" t="s">
        <v>194</v>
      </c>
      <c r="D326" s="899"/>
      <c r="E326" s="889"/>
      <c r="F326" s="889"/>
      <c r="G326" s="889"/>
      <c r="H326" s="889"/>
      <c r="I326" s="889"/>
      <c r="J326" s="889"/>
      <c r="K326" s="889"/>
      <c r="L326" s="889"/>
      <c r="M326" s="889"/>
      <c r="N326" s="889"/>
      <c r="R326" s="163"/>
    </row>
    <row r="327" spans="1:24" s="900" customFormat="1" outlineLevel="1">
      <c r="A327" s="893"/>
      <c r="B327" s="894"/>
      <c r="C327" s="883" t="s">
        <v>195</v>
      </c>
      <c r="D327" s="899"/>
      <c r="E327" s="889"/>
      <c r="F327" s="889"/>
      <c r="G327" s="889"/>
      <c r="H327" s="889"/>
      <c r="I327" s="889"/>
      <c r="J327" s="889"/>
      <c r="K327" s="889"/>
      <c r="L327" s="889"/>
      <c r="M327" s="889"/>
      <c r="N327" s="889"/>
      <c r="R327" s="163"/>
    </row>
    <row r="328" spans="1:24" s="896" customFormat="1">
      <c r="A328" s="893" t="s">
        <v>196</v>
      </c>
      <c r="B328" s="894" t="s">
        <v>197</v>
      </c>
      <c r="C328" s="895" t="s">
        <v>198</v>
      </c>
      <c r="D328" s="881">
        <v>3</v>
      </c>
      <c r="E328" s="889"/>
      <c r="F328" s="889"/>
      <c r="G328" s="889"/>
      <c r="H328" s="889"/>
      <c r="I328" s="889"/>
      <c r="J328" s="889"/>
      <c r="K328" s="889"/>
      <c r="L328" s="889"/>
      <c r="M328" s="889"/>
      <c r="N328" s="889"/>
      <c r="R328" s="163"/>
    </row>
    <row r="329" spans="1:24" s="900" customFormat="1" outlineLevel="1">
      <c r="A329" s="893"/>
      <c r="B329" s="894"/>
      <c r="C329" s="898" t="s">
        <v>199</v>
      </c>
      <c r="D329" s="899"/>
      <c r="E329" s="889"/>
      <c r="F329" s="889"/>
      <c r="G329" s="889"/>
      <c r="H329" s="889"/>
      <c r="I329" s="889"/>
      <c r="J329" s="889"/>
      <c r="K329" s="889"/>
      <c r="L329" s="889"/>
      <c r="M329" s="889"/>
      <c r="N329" s="889"/>
      <c r="R329" s="163"/>
    </row>
    <row r="330" spans="1:24" s="900" customFormat="1" outlineLevel="1">
      <c r="A330" s="893"/>
      <c r="B330" s="894"/>
      <c r="C330" s="883" t="s">
        <v>200</v>
      </c>
      <c r="D330" s="899"/>
      <c r="E330" s="889"/>
      <c r="F330" s="889"/>
      <c r="G330" s="889"/>
      <c r="H330" s="889"/>
      <c r="I330" s="889"/>
      <c r="J330" s="889"/>
      <c r="K330" s="889"/>
      <c r="L330" s="889"/>
      <c r="M330" s="889"/>
      <c r="N330" s="889"/>
      <c r="R330" s="163"/>
    </row>
    <row r="331" spans="1:24" s="896" customFormat="1">
      <c r="A331" s="893" t="s">
        <v>133</v>
      </c>
      <c r="B331" s="894" t="s">
        <v>201</v>
      </c>
      <c r="C331" s="895" t="s">
        <v>202</v>
      </c>
      <c r="D331" s="881">
        <v>3</v>
      </c>
      <c r="E331" s="889"/>
      <c r="F331" s="889"/>
      <c r="G331" s="889"/>
      <c r="H331" s="889"/>
      <c r="I331" s="889"/>
      <c r="R331" s="163"/>
      <c r="S331" s="897" t="b">
        <f>ROUND('T2 ANSP'!C81,$D$331)=ROUND('T2 ANSP'!C12,$D$331)</f>
        <v>1</v>
      </c>
      <c r="T331" s="897" t="b">
        <f>ROUND('T2 ANSP'!D81,$D$331)=ROUND('T2 ANSP'!D12,$D$331)</f>
        <v>1</v>
      </c>
      <c r="U331" s="897" t="b">
        <f>ROUND('T2 ANSP'!E81,$D$331)=ROUND('T2 ANSP'!E12,$D$331)</f>
        <v>1</v>
      </c>
      <c r="V331" s="897" t="b">
        <f>ROUND('T2 ANSP'!F81,$D$331)=ROUND('T2 ANSP'!F12,$D$331)</f>
        <v>0</v>
      </c>
      <c r="W331" s="897" t="b">
        <f>ROUND('T2 ANSP'!G81,$D$331)=ROUND('T2 ANSP'!G12,$D$331)</f>
        <v>0</v>
      </c>
    </row>
    <row r="332" spans="1:24" s="900" customFormat="1" outlineLevel="1">
      <c r="A332" s="893"/>
      <c r="B332" s="894"/>
      <c r="C332" s="898" t="s">
        <v>203</v>
      </c>
      <c r="D332" s="899"/>
      <c r="E332" s="889"/>
      <c r="F332" s="889"/>
      <c r="G332" s="889"/>
      <c r="H332" s="889"/>
      <c r="I332" s="889"/>
      <c r="R332" s="163"/>
      <c r="S332" s="901">
        <f>ROUND('T2 ANSP'!C81,$D$331)</f>
        <v>689955.37800000003</v>
      </c>
      <c r="T332" s="901">
        <f>ROUND('T2 ANSP'!D81,$D$331)</f>
        <v>674270.83200000005</v>
      </c>
      <c r="U332" s="901">
        <f>ROUND('T2 ANSP'!E81,$D$331)</f>
        <v>688739.42299999995</v>
      </c>
      <c r="V332" s="901">
        <f>ROUND('T2 ANSP'!F81,$D$331)</f>
        <v>703643.46299999999</v>
      </c>
      <c r="W332" s="901">
        <f>ROUND('T2 ANSP'!G81,$D$331)</f>
        <v>738494.46200000006</v>
      </c>
      <c r="X332" s="896"/>
    </row>
    <row r="333" spans="1:24" s="900" customFormat="1" outlineLevel="1">
      <c r="A333" s="893"/>
      <c r="B333" s="894"/>
      <c r="C333" s="898" t="s">
        <v>204</v>
      </c>
      <c r="D333" s="899"/>
      <c r="E333" s="889"/>
      <c r="F333" s="889"/>
      <c r="G333" s="889"/>
      <c r="H333" s="889"/>
      <c r="I333" s="889"/>
      <c r="R333" s="163"/>
      <c r="S333" s="901">
        <f>ROUND('T2 ANSP'!C12,$D$331)</f>
        <v>689955.37800000003</v>
      </c>
      <c r="T333" s="901">
        <f>ROUND('T2 ANSP'!D12,$D$331)</f>
        <v>674270.83200000005</v>
      </c>
      <c r="U333" s="901">
        <f>ROUND('T2 ANSP'!E12,$D$331)</f>
        <v>688739.42299999995</v>
      </c>
      <c r="V333" s="901">
        <f>ROUND('T2 ANSP'!F12,$D$331)</f>
        <v>703645.25600000005</v>
      </c>
      <c r="W333" s="901">
        <f>ROUND('T2 ANSP'!G12,$D$331)</f>
        <v>738499.39399999997</v>
      </c>
      <c r="X333" s="896"/>
    </row>
    <row r="334" spans="1:24">
      <c r="A334" s="893" t="s">
        <v>205</v>
      </c>
      <c r="B334" s="894" t="s">
        <v>206</v>
      </c>
      <c r="C334" s="906" t="s">
        <v>207</v>
      </c>
      <c r="D334" s="881">
        <v>3</v>
      </c>
      <c r="E334" s="889"/>
      <c r="F334" s="889"/>
      <c r="G334" s="889"/>
      <c r="H334" s="889"/>
      <c r="I334" s="889"/>
      <c r="J334" s="163"/>
      <c r="K334" s="163"/>
      <c r="L334" s="163"/>
      <c r="S334" s="897" t="b">
        <f>ROUND('T2 ANSP'!C82,$D$334)=ROUND('T3 ANSP'!E21,$D$334)</f>
        <v>1</v>
      </c>
      <c r="T334" s="897" t="b">
        <f>ROUND('T2 ANSP'!D82,$D$334)=ROUND('T3 ANSP'!F21,$D$334)</f>
        <v>1</v>
      </c>
      <c r="U334" s="897" t="b">
        <f>ROUND('T2 ANSP'!E82,$D$334)=ROUND('T3 ANSP'!G21,$D$334)</f>
        <v>1</v>
      </c>
      <c r="V334" s="897" t="b">
        <f>ROUND('T2 ANSP'!F82,$D$334)=ROUND('T3 ANSP'!H21,$D$334)</f>
        <v>0</v>
      </c>
      <c r="W334" s="897" t="b">
        <f>ROUND('T2 ANSP'!G82,$D$334)=ROUND('T3 ANSP'!I21,$D$334)</f>
        <v>0</v>
      </c>
      <c r="X334" s="896"/>
    </row>
    <row r="335" spans="1:24" outlineLevel="1">
      <c r="A335" s="894"/>
      <c r="B335" s="894"/>
      <c r="C335" s="907" t="s">
        <v>208</v>
      </c>
      <c r="D335" s="908"/>
      <c r="E335" s="889"/>
      <c r="F335" s="889"/>
      <c r="G335" s="889"/>
      <c r="H335" s="889"/>
      <c r="I335" s="889"/>
      <c r="J335" s="163"/>
      <c r="K335" s="163"/>
      <c r="L335" s="163"/>
      <c r="S335" s="901">
        <f>ROUND('T2 ANSP'!C82,$D$334)</f>
        <v>-13078.944</v>
      </c>
      <c r="T335" s="901">
        <f>ROUND('T2 ANSP'!D82,$D$334)</f>
        <v>-13954.402</v>
      </c>
      <c r="U335" s="901">
        <f>ROUND('T2 ANSP'!E82,$D$334)</f>
        <v>-7512.17</v>
      </c>
      <c r="V335" s="901">
        <f>ROUND('T2 ANSP'!F82,$D$334)</f>
        <v>-3914.3609999999999</v>
      </c>
      <c r="W335" s="901">
        <f>ROUND('T2 ANSP'!G82,$D$334)</f>
        <v>32556.48</v>
      </c>
      <c r="X335" s="896"/>
    </row>
    <row r="336" spans="1:24" outlineLevel="1">
      <c r="A336" s="894"/>
      <c r="B336" s="894"/>
      <c r="C336" s="907" t="s">
        <v>209</v>
      </c>
      <c r="D336" s="908"/>
      <c r="E336" s="889"/>
      <c r="F336" s="889"/>
      <c r="G336" s="889"/>
      <c r="H336" s="889"/>
      <c r="I336" s="889"/>
      <c r="J336" s="163"/>
      <c r="K336" s="163"/>
      <c r="L336" s="163"/>
      <c r="S336" s="901">
        <f>ROUND('T3 ANSP'!E21,$D$334)</f>
        <v>-13078.944</v>
      </c>
      <c r="T336" s="901">
        <f>ROUND('T3 ANSP'!F21,$D$334)</f>
        <v>-13954.402</v>
      </c>
      <c r="U336" s="901">
        <f>ROUND('T3 ANSP'!G21,$D$334)</f>
        <v>-7512.17</v>
      </c>
      <c r="V336" s="901">
        <f>ROUND('T3 ANSP'!H21,$D$334)</f>
        <v>-3418.2840000000001</v>
      </c>
      <c r="W336" s="901">
        <f>ROUND('T3 ANSP'!I21,$D$334)</f>
        <v>1211.047</v>
      </c>
      <c r="X336" s="896"/>
    </row>
    <row r="337" spans="1:24">
      <c r="A337" s="894" t="s">
        <v>210</v>
      </c>
      <c r="B337" s="894" t="s">
        <v>211</v>
      </c>
      <c r="C337" s="906" t="s">
        <v>212</v>
      </c>
      <c r="D337" s="881">
        <v>3</v>
      </c>
      <c r="E337" s="889"/>
      <c r="F337" s="889"/>
      <c r="G337" s="889"/>
      <c r="H337" s="889"/>
      <c r="I337" s="889"/>
      <c r="J337" s="163"/>
      <c r="K337" s="163"/>
      <c r="L337" s="163"/>
      <c r="S337" s="897" t="b">
        <f>ROUND('T2 ANSP'!C83,$D$337)=ROUND('T3 ANSP'!E36,$D$337)</f>
        <v>1</v>
      </c>
      <c r="T337" s="897" t="b">
        <f>ROUND('T2 ANSP'!D83,$D$337)=ROUND('T3 ANSP'!F36,$D$337)</f>
        <v>1</v>
      </c>
      <c r="U337" s="897" t="b">
        <f>ROUND('T2 ANSP'!E83,$D$337)=ROUND('T3 ANSP'!G36,$D$337)</f>
        <v>1</v>
      </c>
      <c r="V337" s="897" t="b">
        <f>ROUND('T2 ANSP'!F83,$D$337)=ROUND('T3 ANSP'!H36,$D$337)</f>
        <v>0</v>
      </c>
      <c r="W337" s="897" t="b">
        <f>ROUND('T2 ANSP'!G83,$D$337)=ROUND('T3 ANSP'!I36,$D$337)</f>
        <v>0</v>
      </c>
      <c r="X337" s="896"/>
    </row>
    <row r="338" spans="1:24" outlineLevel="1">
      <c r="A338" s="894"/>
      <c r="B338" s="894"/>
      <c r="C338" s="907" t="s">
        <v>208</v>
      </c>
      <c r="D338" s="908"/>
      <c r="E338" s="889"/>
      <c r="F338" s="889"/>
      <c r="G338" s="889"/>
      <c r="H338" s="889"/>
      <c r="I338" s="889"/>
      <c r="J338" s="163"/>
      <c r="K338" s="163"/>
      <c r="L338" s="163"/>
      <c r="S338" s="901">
        <f>ROUND('T2 ANSP'!C83,$D$337)</f>
        <v>-52778.572999999997</v>
      </c>
      <c r="T338" s="901">
        <f>ROUND('T2 ANSP'!D83,$D$337)</f>
        <v>-62084.313000000002</v>
      </c>
      <c r="U338" s="901">
        <f>ROUND('T2 ANSP'!E83,$D$337)</f>
        <v>0</v>
      </c>
      <c r="V338" s="901">
        <f>ROUND('T2 ANSP'!F83,$D$337)</f>
        <v>65346.476000000002</v>
      </c>
      <c r="W338" s="901">
        <f>ROUND('T2 ANSP'!G83,$D$337)</f>
        <v>29578.795999999998</v>
      </c>
      <c r="X338" s="896"/>
    </row>
    <row r="339" spans="1:24" outlineLevel="1">
      <c r="A339" s="894"/>
      <c r="B339" s="894"/>
      <c r="C339" s="907" t="s">
        <v>209</v>
      </c>
      <c r="D339" s="908"/>
      <c r="E339" s="889"/>
      <c r="F339" s="889"/>
      <c r="G339" s="889"/>
      <c r="H339" s="889"/>
      <c r="I339" s="889"/>
      <c r="J339" s="163"/>
      <c r="K339" s="163"/>
      <c r="L339" s="163"/>
      <c r="S339" s="901">
        <f>ROUND('T3 ANSP'!E36,$D$337)</f>
        <v>-52778.572999999997</v>
      </c>
      <c r="T339" s="901">
        <f>ROUND('T3 ANSP'!F36,$D$337)</f>
        <v>-62084.313000000002</v>
      </c>
      <c r="U339" s="901">
        <f>ROUND('T3 ANSP'!G36,$D$337)</f>
        <v>0</v>
      </c>
      <c r="V339" s="901">
        <f>ROUND('T3 ANSP'!H36,$D$337)</f>
        <v>85729.290999999997</v>
      </c>
      <c r="W339" s="901">
        <f>ROUND('T3 ANSP'!I36,$D$337)</f>
        <v>87689.263999999996</v>
      </c>
      <c r="X339" s="896"/>
    </row>
    <row r="340" spans="1:24">
      <c r="A340" s="894" t="s">
        <v>213</v>
      </c>
      <c r="B340" s="894" t="s">
        <v>214</v>
      </c>
      <c r="C340" s="906" t="s">
        <v>215</v>
      </c>
      <c r="D340" s="881">
        <v>3</v>
      </c>
      <c r="E340" s="889"/>
      <c r="F340" s="889"/>
      <c r="G340" s="889"/>
      <c r="H340" s="889"/>
      <c r="I340" s="889"/>
      <c r="J340" s="163"/>
      <c r="K340" s="163"/>
      <c r="L340" s="163"/>
      <c r="S340" s="897" t="b">
        <f>ROUND('T2 ANSP'!C84,$D$340)=ROUND('T3 ANSP'!E47+'T3 ANSP'!E58+'T3 ANSP'!E69+'T3 ANSP'!E80+'T3 ANSP'!E91+'T3 ANSP'!E102+'T3 ANSP'!E107,$D$340)</f>
        <v>1</v>
      </c>
      <c r="T340" s="897" t="b">
        <f>ROUND('T2 ANSP'!D84,$D$340)=ROUND('T3 ANSP'!F47+'T3 ANSP'!F58+'T3 ANSP'!F69+'T3 ANSP'!F80+'T3 ANSP'!F91+'T3 ANSP'!F102+'T3 ANSP'!F107,$D$340)</f>
        <v>1</v>
      </c>
      <c r="U340" s="897" t="b">
        <f>ROUND('T2 ANSP'!E84,$D$340)=ROUND('T3 ANSP'!G47+'T3 ANSP'!G58+'T3 ANSP'!G69+'T3 ANSP'!G80+'T3 ANSP'!G91+'T3 ANSP'!G102+'T3 ANSP'!G107,$D$340)</f>
        <v>1</v>
      </c>
      <c r="V340" s="897" t="b">
        <f>ROUND('T2 ANSP'!F84,$D$340)=ROUND('T3 ANSP'!H47+'T3 ANSP'!H58+'T3 ANSP'!H69+'T3 ANSP'!H80+'T3 ANSP'!H91+'T3 ANSP'!H102+'T3 ANSP'!H107,$D$340)</f>
        <v>0</v>
      </c>
      <c r="W340" s="897" t="b">
        <f>ROUND('T2 ANSP'!G84,$D$340)=ROUND('T3 ANSP'!I47+'T3 ANSP'!I58+'T3 ANSP'!I69+'T3 ANSP'!I80+'T3 ANSP'!I91+'T3 ANSP'!I102+'T3 ANSP'!I107,$D$340)</f>
        <v>0</v>
      </c>
      <c r="X340" s="896"/>
    </row>
    <row r="341" spans="1:24" outlineLevel="1">
      <c r="A341" s="894"/>
      <c r="B341" s="894"/>
      <c r="C341" s="907" t="s">
        <v>208</v>
      </c>
      <c r="D341" s="908"/>
      <c r="E341" s="889"/>
      <c r="F341" s="889"/>
      <c r="G341" s="889"/>
      <c r="H341" s="889"/>
      <c r="I341" s="889"/>
      <c r="J341" s="163"/>
      <c r="K341" s="163"/>
      <c r="L341" s="163"/>
      <c r="S341" s="901">
        <f>ROUND('T2 ANSP'!C84,$D$340)</f>
        <v>1590.664</v>
      </c>
      <c r="T341" s="901">
        <f>ROUND('T2 ANSP'!D84,$D$340)</f>
        <v>7943.6379999999999</v>
      </c>
      <c r="U341" s="901">
        <f>ROUND('T2 ANSP'!E84,$D$340)</f>
        <v>8029.8140000000003</v>
      </c>
      <c r="V341" s="901">
        <f>ROUND('T2 ANSP'!F84,$D$340)</f>
        <v>2283.0140000000001</v>
      </c>
      <c r="W341" s="901">
        <f>ROUND('T2 ANSP'!G84,$D$340)</f>
        <v>3829.1979999999999</v>
      </c>
      <c r="X341" s="896"/>
    </row>
    <row r="342" spans="1:24" outlineLevel="1">
      <c r="A342" s="894"/>
      <c r="B342" s="894"/>
      <c r="C342" s="907" t="s">
        <v>209</v>
      </c>
      <c r="D342" s="908"/>
      <c r="E342" s="889"/>
      <c r="F342" s="889"/>
      <c r="G342" s="889"/>
      <c r="H342" s="889"/>
      <c r="I342" s="889"/>
      <c r="J342" s="163"/>
      <c r="K342" s="163"/>
      <c r="L342" s="163"/>
      <c r="S342" s="901">
        <f>ROUND('T3 ANSP'!E47+'T3 ANSP'!E58+'T3 ANSP'!E69+'T3 ANSP'!E80+'T3 ANSP'!E91+'T3 ANSP'!E102+'T3 ANSP'!E107,$D$340)</f>
        <v>1590.664</v>
      </c>
      <c r="T342" s="901">
        <f>ROUND('T3 ANSP'!F47+'T3 ANSP'!F58+'T3 ANSP'!F69+'T3 ANSP'!F80+'T3 ANSP'!F91+'T3 ANSP'!F102+'T3 ANSP'!F107,$D$340)</f>
        <v>7943.6379999999999</v>
      </c>
      <c r="U342" s="901">
        <f>ROUND('T3 ANSP'!G47+'T3 ANSP'!G58+'T3 ANSP'!G69+'T3 ANSP'!G80+'T3 ANSP'!G91+'T3 ANSP'!G102+'T3 ANSP'!G107,$D$340)</f>
        <v>8029.8140000000003</v>
      </c>
      <c r="V342" s="901">
        <f>ROUND('T3 ANSP'!H47+'T3 ANSP'!H58+'T3 ANSP'!H69+'T3 ANSP'!H80+'T3 ANSP'!H91+'T3 ANSP'!H102+'T3 ANSP'!H107,$D$340)</f>
        <v>0</v>
      </c>
      <c r="W342" s="901">
        <f>ROUND('T3 ANSP'!I47+'T3 ANSP'!I58+'T3 ANSP'!I69+'T3 ANSP'!I80+'T3 ANSP'!I91+'T3 ANSP'!I102+'T3 ANSP'!I107,$D$340)</f>
        <v>0</v>
      </c>
      <c r="X342" s="896"/>
    </row>
    <row r="343" spans="1:24">
      <c r="A343" s="894" t="s">
        <v>216</v>
      </c>
      <c r="B343" s="894" t="s">
        <v>217</v>
      </c>
      <c r="C343" s="906" t="s">
        <v>218</v>
      </c>
      <c r="D343" s="881">
        <v>3</v>
      </c>
      <c r="E343" s="889"/>
      <c r="F343" s="889"/>
      <c r="G343" s="889"/>
      <c r="H343" s="889"/>
      <c r="I343" s="889"/>
      <c r="J343" s="163"/>
      <c r="K343" s="163"/>
      <c r="L343" s="163"/>
      <c r="S343" s="897" t="b">
        <f>ROUND('T2 ANSP'!C85,$D$343)=ROUND('T3 ANSP'!E126,$D$343)</f>
        <v>1</v>
      </c>
      <c r="T343" s="897" t="b">
        <f>ROUND('T2 ANSP'!D85,$D$343)=ROUND('T3 ANSP'!F126,$D$343)</f>
        <v>1</v>
      </c>
      <c r="U343" s="897" t="b">
        <f>ROUND('T2 ANSP'!E85,$D$343)=ROUND('T3 ANSP'!G126,$D$343)</f>
        <v>1</v>
      </c>
      <c r="V343" s="897" t="b">
        <f>ROUND('T2 ANSP'!F85,$D$343)=ROUND('T3 ANSP'!H126,$D$343)</f>
        <v>1</v>
      </c>
      <c r="W343" s="897" t="b">
        <f>ROUND('T2 ANSP'!G85,$D$343)=ROUND('T3 ANSP'!I126,$D$343)</f>
        <v>1</v>
      </c>
      <c r="X343" s="896"/>
    </row>
    <row r="344" spans="1:24" outlineLevel="1">
      <c r="A344" s="894"/>
      <c r="B344" s="894"/>
      <c r="C344" s="907" t="s">
        <v>208</v>
      </c>
      <c r="D344" s="908"/>
      <c r="E344" s="889"/>
      <c r="F344" s="889"/>
      <c r="G344" s="889"/>
      <c r="H344" s="889"/>
      <c r="I344" s="889"/>
      <c r="J344" s="163"/>
      <c r="K344" s="163"/>
      <c r="L344" s="163"/>
      <c r="S344" s="901">
        <f>ROUND('T2 ANSP'!C85,$D$343)</f>
        <v>-264.10899999999998</v>
      </c>
      <c r="T344" s="901">
        <f>ROUND('T2 ANSP'!D85,$D$343)</f>
        <v>228.011</v>
      </c>
      <c r="U344" s="901">
        <f>ROUND('T2 ANSP'!E85,$D$343)</f>
        <v>0</v>
      </c>
      <c r="V344" s="901">
        <f>ROUND('T2 ANSP'!F85,$D$343)</f>
        <v>0</v>
      </c>
      <c r="W344" s="901">
        <f>ROUND('T2 ANSP'!G85,$D$343)</f>
        <v>0</v>
      </c>
      <c r="X344" s="896"/>
    </row>
    <row r="345" spans="1:24" outlineLevel="1">
      <c r="A345" s="894"/>
      <c r="B345" s="894"/>
      <c r="C345" s="907" t="s">
        <v>209</v>
      </c>
      <c r="D345" s="908"/>
      <c r="E345" s="889"/>
      <c r="F345" s="889"/>
      <c r="G345" s="889"/>
      <c r="H345" s="889"/>
      <c r="I345" s="889"/>
      <c r="J345" s="163"/>
      <c r="K345" s="163"/>
      <c r="L345" s="163"/>
      <c r="S345" s="901">
        <f>ROUND('T3 ANSP'!E126,$D$343)</f>
        <v>-264.10899999999998</v>
      </c>
      <c r="T345" s="901">
        <f>ROUND('T3 ANSP'!F126,$D$343)</f>
        <v>228.011</v>
      </c>
      <c r="U345" s="901">
        <f>ROUND('T3 ANSP'!G126,$D$343)</f>
        <v>0</v>
      </c>
      <c r="V345" s="901">
        <f>ROUND('T3 ANSP'!H126,$D$343)</f>
        <v>0</v>
      </c>
      <c r="W345" s="901">
        <f>ROUND('T3 ANSP'!I126,$D$343)</f>
        <v>0</v>
      </c>
      <c r="X345" s="896"/>
    </row>
    <row r="346" spans="1:24">
      <c r="A346" s="894" t="s">
        <v>219</v>
      </c>
      <c r="B346" s="894" t="s">
        <v>220</v>
      </c>
      <c r="C346" s="906" t="s">
        <v>221</v>
      </c>
      <c r="D346" s="881">
        <v>3</v>
      </c>
      <c r="E346" s="889"/>
      <c r="F346" s="889"/>
      <c r="G346" s="889"/>
      <c r="H346" s="889"/>
      <c r="I346" s="889"/>
      <c r="J346" s="163"/>
      <c r="K346" s="163"/>
      <c r="L346" s="163"/>
      <c r="S346" s="897" t="b">
        <f>ROUND('T2 ANSP'!C86,$D$346)=ROUND('T3 ANSP'!E141,$D$346)</f>
        <v>1</v>
      </c>
      <c r="T346" s="897" t="b">
        <f>ROUND('T2 ANSP'!D86,$D$346)=ROUND('T3 ANSP'!F141,$D$346)</f>
        <v>1</v>
      </c>
      <c r="U346" s="897" t="b">
        <f>ROUND('T2 ANSP'!E86,$D$346)=ROUND('T3 ANSP'!G141,$D$346)</f>
        <v>1</v>
      </c>
      <c r="V346" s="897" t="b">
        <f>ROUND('T2 ANSP'!F86,$D$346)=ROUND('T3 ANSP'!H141,$D$346)</f>
        <v>1</v>
      </c>
      <c r="W346" s="897" t="b">
        <f>ROUND('T2 ANSP'!G86,$D$346)=ROUND('T3 ANSP'!I141,$D$346)</f>
        <v>1</v>
      </c>
      <c r="X346" s="896"/>
    </row>
    <row r="347" spans="1:24" outlineLevel="1">
      <c r="A347" s="894"/>
      <c r="B347" s="894"/>
      <c r="C347" s="907" t="s">
        <v>208</v>
      </c>
      <c r="D347" s="908"/>
      <c r="E347" s="889"/>
      <c r="F347" s="889"/>
      <c r="G347" s="889"/>
      <c r="H347" s="889"/>
      <c r="I347" s="889"/>
      <c r="J347" s="163"/>
      <c r="K347" s="163"/>
      <c r="L347" s="163"/>
      <c r="S347" s="901">
        <f>ROUND('T2 ANSP'!C86,$D$346)</f>
        <v>0</v>
      </c>
      <c r="T347" s="901">
        <f>ROUND('T2 ANSP'!D86,$D$346)</f>
        <v>0</v>
      </c>
      <c r="U347" s="901">
        <f>ROUND('T2 ANSP'!E86,$D$346)</f>
        <v>0</v>
      </c>
      <c r="V347" s="901">
        <f>ROUND('T2 ANSP'!F86,$D$346)</f>
        <v>2017.3579999999999</v>
      </c>
      <c r="W347" s="901">
        <f>ROUND('T2 ANSP'!G86,$D$346)</f>
        <v>-17640.106</v>
      </c>
      <c r="X347" s="896"/>
    </row>
    <row r="348" spans="1:24" outlineLevel="1">
      <c r="A348" s="894"/>
      <c r="B348" s="894"/>
      <c r="C348" s="907" t="s">
        <v>209</v>
      </c>
      <c r="D348" s="908"/>
      <c r="E348" s="889"/>
      <c r="F348" s="889"/>
      <c r="G348" s="889"/>
      <c r="H348" s="889"/>
      <c r="I348" s="889"/>
      <c r="J348" s="163"/>
      <c r="K348" s="163"/>
      <c r="L348" s="163"/>
      <c r="S348" s="901">
        <f>ROUND('T3 ANSP'!E141,$D$346)</f>
        <v>0</v>
      </c>
      <c r="T348" s="901">
        <f>ROUND('T3 ANSP'!F141,$D$346)</f>
        <v>0</v>
      </c>
      <c r="U348" s="901">
        <f>ROUND('T3 ANSP'!G141,$D$346)</f>
        <v>0</v>
      </c>
      <c r="V348" s="901">
        <f>ROUND('T3 ANSP'!H141,$D$346)</f>
        <v>2017.3579999999999</v>
      </c>
      <c r="W348" s="901">
        <f>ROUND('T3 ANSP'!I141,$D$346)</f>
        <v>-17640.106</v>
      </c>
      <c r="X348" s="896"/>
    </row>
    <row r="349" spans="1:24">
      <c r="A349" s="894" t="s">
        <v>222</v>
      </c>
      <c r="B349" s="894" t="s">
        <v>223</v>
      </c>
      <c r="C349" s="906" t="s">
        <v>224</v>
      </c>
      <c r="D349" s="881">
        <v>3</v>
      </c>
      <c r="E349" s="889"/>
      <c r="F349" s="889"/>
      <c r="G349" s="889"/>
      <c r="H349" s="889"/>
      <c r="I349" s="889"/>
      <c r="J349" s="163"/>
      <c r="K349" s="163"/>
      <c r="L349" s="163"/>
      <c r="S349" s="897" t="b">
        <f>ROUND('T2 ANSP'!C87,$D$349)=ROUND('T3 ANSP'!E166,$D$349)</f>
        <v>1</v>
      </c>
      <c r="T349" s="897" t="b">
        <f>ROUND('T2 ANSP'!D87,$D$349)=ROUND('T3 ANSP'!F166,$D$349)</f>
        <v>1</v>
      </c>
      <c r="U349" s="897" t="b">
        <f>ROUND('T2 ANSP'!E87,$D$349)=ROUND('T3 ANSP'!G166,$D$349)</f>
        <v>1</v>
      </c>
      <c r="V349" s="897" t="b">
        <f>ROUND('T2 ANSP'!F87,$D$349)=ROUND('T3 ANSP'!H166,$D$349)</f>
        <v>0</v>
      </c>
      <c r="W349" s="897" t="b">
        <f>ROUND('T2 ANSP'!G87,$D$349)=ROUND('T3 ANSP'!I166,$D$349)</f>
        <v>0</v>
      </c>
      <c r="X349" s="896"/>
    </row>
    <row r="350" spans="1:24" outlineLevel="1">
      <c r="A350" s="894"/>
      <c r="B350" s="894"/>
      <c r="C350" s="907" t="s">
        <v>208</v>
      </c>
      <c r="D350" s="908"/>
      <c r="E350" s="889"/>
      <c r="F350" s="889"/>
      <c r="G350" s="889"/>
      <c r="H350" s="889"/>
      <c r="I350" s="889"/>
      <c r="J350" s="163"/>
      <c r="K350" s="163"/>
      <c r="L350" s="163"/>
      <c r="S350" s="901">
        <f>ROUND('T2 ANSP'!C87,$D$349)</f>
        <v>4076.5920000000001</v>
      </c>
      <c r="T350" s="901">
        <f>ROUND('T2 ANSP'!D87,$D$349)</f>
        <v>13834.366</v>
      </c>
      <c r="U350" s="901">
        <f>ROUND('T2 ANSP'!E87,$D$349)</f>
        <v>-40541.637000000002</v>
      </c>
      <c r="V350" s="901">
        <f>ROUND('T2 ANSP'!F87,$D$349)</f>
        <v>-38733.241000000002</v>
      </c>
      <c r="W350" s="901">
        <f>ROUND('T2 ANSP'!G87,$D$349)</f>
        <v>-12474.115</v>
      </c>
      <c r="X350" s="896"/>
    </row>
    <row r="351" spans="1:24" outlineLevel="1">
      <c r="A351" s="894"/>
      <c r="B351" s="894"/>
      <c r="C351" s="907" t="s">
        <v>209</v>
      </c>
      <c r="D351" s="908"/>
      <c r="E351" s="889"/>
      <c r="F351" s="889"/>
      <c r="G351" s="889"/>
      <c r="H351" s="889"/>
      <c r="I351" s="889"/>
      <c r="J351" s="163"/>
      <c r="K351" s="163"/>
      <c r="L351" s="163"/>
      <c r="S351" s="901">
        <f>ROUND('T3 ANSP'!E166,$D$349)</f>
        <v>4076.5920000000001</v>
      </c>
      <c r="T351" s="901">
        <f>ROUND('T3 ANSP'!F166,$D$349)</f>
        <v>13834.366</v>
      </c>
      <c r="U351" s="901">
        <f>ROUND('T3 ANSP'!G166,$D$349)</f>
        <v>-40541.637000000002</v>
      </c>
      <c r="V351" s="901">
        <f>ROUND('T3 ANSP'!H166,$D$349)</f>
        <v>-38998.9</v>
      </c>
      <c r="W351" s="901">
        <f>ROUND('T3 ANSP'!I166,$D$349)</f>
        <v>-12895.314</v>
      </c>
      <c r="X351" s="896"/>
    </row>
    <row r="352" spans="1:24">
      <c r="A352" s="894" t="s">
        <v>225</v>
      </c>
      <c r="B352" s="894" t="s">
        <v>226</v>
      </c>
      <c r="C352" s="906" t="s">
        <v>227</v>
      </c>
      <c r="D352" s="881">
        <v>3</v>
      </c>
      <c r="E352" s="889"/>
      <c r="F352" s="889"/>
      <c r="G352" s="889"/>
      <c r="H352" s="889"/>
      <c r="I352" s="889"/>
      <c r="J352" s="163"/>
      <c r="K352" s="163"/>
      <c r="L352" s="163"/>
      <c r="S352" s="897" t="b">
        <f>ROUND('T2 ANSP'!C88,$D$352)=ROUND('T3 ANSP'!E181+'T3 ANSP'!E196+'T3 ANSP'!E211+'T3 ANSP'!E226,$D$352)</f>
        <v>1</v>
      </c>
      <c r="T352" s="897" t="b">
        <f>ROUND('T2 ANSP'!D88,$D$352)=ROUND('T3 ANSP'!F181+'T3 ANSP'!F196+'T3 ANSP'!F211+'T3 ANSP'!F226,$D$352)</f>
        <v>1</v>
      </c>
      <c r="U352" s="897" t="b">
        <f>ROUND('T2 ANSP'!E88,$D$352)=ROUND('T3 ANSP'!G181+'T3 ANSP'!G196+'T3 ANSP'!G211+'T3 ANSP'!G226,$D$352)</f>
        <v>1</v>
      </c>
      <c r="V352" s="897" t="b">
        <f>ROUND('T2 ANSP'!F88,$D$352)=ROUND('T3 ANSP'!H181+'T3 ANSP'!H196+'T3 ANSP'!H211+'T3 ANSP'!H226,$D$352)</f>
        <v>0</v>
      </c>
      <c r="W352" s="897" t="b">
        <f>ROUND('T2 ANSP'!G88,$D$352)=ROUND('T3 ANSP'!I181+'T3 ANSP'!I196+'T3 ANSP'!I211+'T3 ANSP'!I226,$D$352)</f>
        <v>0</v>
      </c>
      <c r="X352" s="896"/>
    </row>
    <row r="353" spans="1:26" outlineLevel="1">
      <c r="A353" s="894"/>
      <c r="B353" s="894"/>
      <c r="C353" s="907" t="s">
        <v>208</v>
      </c>
      <c r="D353" s="908"/>
      <c r="E353" s="889"/>
      <c r="F353" s="889"/>
      <c r="G353" s="889"/>
      <c r="H353" s="889"/>
      <c r="I353" s="889"/>
      <c r="J353" s="163"/>
      <c r="K353" s="163"/>
      <c r="L353" s="163"/>
      <c r="S353" s="901">
        <f>ROUND('T2 ANSP'!C88,$D$352)</f>
        <v>-7473.076</v>
      </c>
      <c r="T353" s="901">
        <f>ROUND('T2 ANSP'!D88,$D$352)</f>
        <v>-13037.437</v>
      </c>
      <c r="U353" s="901">
        <f>ROUND('T2 ANSP'!E88,$D$352)</f>
        <v>-31197.739000000001</v>
      </c>
      <c r="V353" s="901">
        <f>ROUND('T2 ANSP'!F88,$D$352)</f>
        <v>0</v>
      </c>
      <c r="W353" s="901">
        <f>ROUND('T2 ANSP'!G88,$D$352)</f>
        <v>0</v>
      </c>
      <c r="X353" s="896"/>
    </row>
    <row r="354" spans="1:26" outlineLevel="1">
      <c r="A354" s="894"/>
      <c r="B354" s="894"/>
      <c r="C354" s="907" t="s">
        <v>209</v>
      </c>
      <c r="D354" s="908"/>
      <c r="E354" s="889"/>
      <c r="F354" s="889"/>
      <c r="G354" s="889"/>
      <c r="H354" s="889"/>
      <c r="I354" s="889"/>
      <c r="J354" s="163"/>
      <c r="K354" s="163"/>
      <c r="L354" s="163"/>
      <c r="S354" s="901">
        <f>ROUND('T3 ANSP'!E181+'T3 ANSP'!E196+'T3 ANSP'!E211+'T3 ANSP'!E226,$D$352)</f>
        <v>-7473.076</v>
      </c>
      <c r="T354" s="901">
        <f>ROUND('T3 ANSP'!F181+'T3 ANSP'!F196+'T3 ANSP'!F211+'T3 ANSP'!F226,$D$352)</f>
        <v>-13037.437</v>
      </c>
      <c r="U354" s="901">
        <f>ROUND('T3 ANSP'!G181+'T3 ANSP'!G196+'T3 ANSP'!G211+'T3 ANSP'!G226,$D$352)</f>
        <v>-31197.739000000001</v>
      </c>
      <c r="V354" s="901">
        <f>ROUND('T3 ANSP'!H181+'T3 ANSP'!H196+'T3 ANSP'!H211+'T3 ANSP'!H226,$D$352)</f>
        <v>-5847.4030000000002</v>
      </c>
      <c r="W354" s="901">
        <f>ROUND('T3 ANSP'!I181+'T3 ANSP'!I196+'T3 ANSP'!I211+'T3 ANSP'!I226,$D$352)</f>
        <v>-3314.576</v>
      </c>
      <c r="X354" s="896"/>
    </row>
    <row r="355" spans="1:26">
      <c r="A355" s="894" t="s">
        <v>228</v>
      </c>
      <c r="B355" s="894" t="s">
        <v>229</v>
      </c>
      <c r="C355" s="906" t="s">
        <v>230</v>
      </c>
      <c r="D355" s="881">
        <v>3</v>
      </c>
      <c r="E355" s="889"/>
      <c r="F355" s="889"/>
      <c r="G355" s="889"/>
      <c r="H355" s="889"/>
      <c r="I355" s="889"/>
      <c r="J355" s="163"/>
      <c r="K355" s="163"/>
      <c r="L355" s="163"/>
      <c r="S355" s="897" t="b">
        <f>ROUND('T2 ANSP'!C89,$D$355)=ROUND('T3 ANSP'!E248,$D$355)</f>
        <v>1</v>
      </c>
      <c r="T355" s="897" t="b">
        <f>ROUND('T2 ANSP'!D89,$D$355)=ROUND('T3 ANSP'!F248,$D$355)</f>
        <v>1</v>
      </c>
      <c r="U355" s="897" t="b">
        <f>ROUND('T2 ANSP'!E89,$D$355)=ROUND('T3 ANSP'!G248,$D$355)</f>
        <v>1</v>
      </c>
      <c r="V355" s="897" t="b">
        <f>ROUND('T2 ANSP'!F89,$D$355)=ROUND('T3 ANSP'!H248,$D$355)</f>
        <v>1</v>
      </c>
      <c r="W355" s="897" t="b">
        <f>ROUND('T2 ANSP'!G89,$D$355)=ROUND('T3 ANSP'!I248,$D$355)</f>
        <v>1</v>
      </c>
      <c r="X355" s="896"/>
    </row>
    <row r="356" spans="1:26" outlineLevel="1">
      <c r="A356" s="894"/>
      <c r="B356" s="894"/>
      <c r="C356" s="907" t="s">
        <v>208</v>
      </c>
      <c r="D356" s="908"/>
      <c r="E356" s="889"/>
      <c r="F356" s="889"/>
      <c r="G356" s="889"/>
      <c r="H356" s="889"/>
      <c r="I356" s="889"/>
      <c r="J356" s="163"/>
      <c r="K356" s="163"/>
      <c r="L356" s="163"/>
      <c r="S356" s="901">
        <f>ROUND('T2 ANSP'!C89,$D$355)</f>
        <v>0</v>
      </c>
      <c r="T356" s="901">
        <f>ROUND('T2 ANSP'!D89,$D$355)</f>
        <v>0</v>
      </c>
      <c r="U356" s="901">
        <f>ROUND('T2 ANSP'!E89,$D$355)</f>
        <v>0</v>
      </c>
      <c r="V356" s="901">
        <f>ROUND('T2 ANSP'!F89,$D$355)</f>
        <v>0</v>
      </c>
      <c r="W356" s="901">
        <f>ROUND('T2 ANSP'!G89,$D$355)</f>
        <v>0</v>
      </c>
      <c r="X356" s="896"/>
    </row>
    <row r="357" spans="1:26" outlineLevel="1">
      <c r="A357" s="894"/>
      <c r="B357" s="894"/>
      <c r="C357" s="907" t="s">
        <v>209</v>
      </c>
      <c r="D357" s="908"/>
      <c r="E357" s="889"/>
      <c r="F357" s="889"/>
      <c r="G357" s="889"/>
      <c r="H357" s="889"/>
      <c r="I357" s="889"/>
      <c r="J357" s="163"/>
      <c r="K357" s="163"/>
      <c r="L357" s="163"/>
      <c r="S357" s="901">
        <f>ROUND('T3 ANSP'!E248,$D$355)</f>
        <v>0</v>
      </c>
      <c r="T357" s="901">
        <f>ROUND('T3 ANSP'!F248,$D$355)</f>
        <v>0</v>
      </c>
      <c r="U357" s="901">
        <f>ROUND('T3 ANSP'!G248,$D$355)</f>
        <v>0</v>
      </c>
      <c r="V357" s="901">
        <f>ROUND('T3 ANSP'!H248,$D$355)</f>
        <v>0</v>
      </c>
      <c r="W357" s="901">
        <f>ROUND('T3 ANSP'!I248,$D$355)</f>
        <v>0</v>
      </c>
      <c r="X357" s="896"/>
    </row>
    <row r="358" spans="1:26">
      <c r="A358" s="894" t="s">
        <v>231</v>
      </c>
      <c r="B358" s="894" t="s">
        <v>232</v>
      </c>
      <c r="C358" s="906" t="s">
        <v>233</v>
      </c>
      <c r="D358" s="881">
        <v>3</v>
      </c>
      <c r="E358" s="889"/>
      <c r="F358" s="889"/>
      <c r="G358" s="889"/>
      <c r="H358" s="889"/>
      <c r="I358" s="889"/>
      <c r="J358" s="163"/>
      <c r="K358" s="163"/>
      <c r="L358" s="163"/>
      <c r="S358" s="897" t="b">
        <f>ROUND('T2 ANSP'!C90,$D$358)=ROUND('T3 ANSP'!E237,$D$358)</f>
        <v>1</v>
      </c>
      <c r="T358" s="897" t="b">
        <f>ROUND('T2 ANSP'!D90,$D$358)=ROUND('T3 ANSP'!F237,$D$358)</f>
        <v>1</v>
      </c>
      <c r="U358" s="897" t="b">
        <f>ROUND('T2 ANSP'!E90,$D$358)=ROUND('T3 ANSP'!G237,$D$358)</f>
        <v>1</v>
      </c>
      <c r="V358" s="897" t="b">
        <f>ROUND('T2 ANSP'!F90,$D$358)=ROUND('T3 ANSP'!H237,$D$358)</f>
        <v>1</v>
      </c>
      <c r="W358" s="897" t="b">
        <f>ROUND('T2 ANSP'!G90,$D$358)=ROUND('T3 ANSP'!I237,$D$358)</f>
        <v>1</v>
      </c>
      <c r="X358" s="896"/>
    </row>
    <row r="359" spans="1:26" outlineLevel="1">
      <c r="A359" s="894"/>
      <c r="B359" s="894"/>
      <c r="C359" s="907" t="s">
        <v>208</v>
      </c>
      <c r="D359" s="908"/>
      <c r="E359" s="889"/>
      <c r="F359" s="889"/>
      <c r="G359" s="889"/>
      <c r="H359" s="889"/>
      <c r="I359" s="889"/>
      <c r="J359" s="163"/>
      <c r="K359" s="163"/>
      <c r="L359" s="163"/>
      <c r="S359" s="901">
        <f>ROUND('T2 ANSP'!C90,$D$358)</f>
        <v>0</v>
      </c>
      <c r="T359" s="901">
        <f>ROUND('T2 ANSP'!D90,$D$358)</f>
        <v>0</v>
      </c>
      <c r="U359" s="901">
        <f>ROUND('T2 ANSP'!E90,$D$358)</f>
        <v>4630.4589999999998</v>
      </c>
      <c r="V359" s="901">
        <f>ROUND('T2 ANSP'!F90,$D$358)</f>
        <v>0</v>
      </c>
      <c r="W359" s="901">
        <f>ROUND('T2 ANSP'!G90,$D$358)</f>
        <v>0</v>
      </c>
      <c r="X359" s="896"/>
    </row>
    <row r="360" spans="1:26" outlineLevel="1">
      <c r="A360" s="894"/>
      <c r="B360" s="894"/>
      <c r="C360" s="907" t="s">
        <v>209</v>
      </c>
      <c r="D360" s="908"/>
      <c r="E360" s="889"/>
      <c r="F360" s="889"/>
      <c r="G360" s="889"/>
      <c r="H360" s="889"/>
      <c r="I360" s="889"/>
      <c r="J360" s="163"/>
      <c r="K360" s="163"/>
      <c r="L360" s="163"/>
      <c r="S360" s="901">
        <f>ROUND('T3 ANSP'!E237,$D$358)</f>
        <v>0</v>
      </c>
      <c r="T360" s="901">
        <f>ROUND('T3 ANSP'!F237,$D$358)</f>
        <v>0</v>
      </c>
      <c r="U360" s="901">
        <f>ROUND('T3 ANSP'!G237,$D$358)</f>
        <v>4630.4589999999998</v>
      </c>
      <c r="V360" s="901">
        <f>ROUND('T3 ANSP'!H237,$D$358)</f>
        <v>0</v>
      </c>
      <c r="W360" s="901">
        <f>ROUND('T3 ANSP'!I237,$D$358)</f>
        <v>0</v>
      </c>
      <c r="X360" s="896"/>
    </row>
    <row r="361" spans="1:26" s="909" customFormat="1">
      <c r="A361" s="893" t="s">
        <v>234</v>
      </c>
      <c r="B361" s="894" t="s">
        <v>235</v>
      </c>
      <c r="C361" s="906" t="s">
        <v>236</v>
      </c>
      <c r="D361" s="881">
        <v>3</v>
      </c>
      <c r="E361" s="889"/>
      <c r="F361" s="889"/>
      <c r="G361" s="889"/>
      <c r="H361" s="889"/>
      <c r="I361" s="889"/>
      <c r="R361" s="163"/>
      <c r="S361" s="897" t="b">
        <f>ROUND(SUM('T2 ANSP'!C82:C90),$D$361)=ROUND('T3 ANSP'!E251,$D$361)</f>
        <v>1</v>
      </c>
      <c r="T361" s="897" t="b">
        <f>ROUND(SUM('T2 ANSP'!D82:D90),$D$361)=ROUND('T3 ANSP'!F251,$D$361)</f>
        <v>1</v>
      </c>
      <c r="U361" s="897" t="b">
        <f>ROUND(SUM('T2 ANSP'!E82:E90),$D$361)=ROUND('T3 ANSP'!G251,$D$361)</f>
        <v>1</v>
      </c>
      <c r="V361" s="897" t="b">
        <f>ROUND(SUM('T2 ANSP'!F82:F90),$D$361)=ROUND('T3 ANSP'!H251,$D$361)</f>
        <v>0</v>
      </c>
      <c r="W361" s="897" t="b">
        <f>ROUND(SUM('T2 ANSP'!G82:G90),$D$361)=ROUND('T3 ANSP'!I251,$D$361)</f>
        <v>0</v>
      </c>
      <c r="X361" s="896"/>
      <c r="Y361" s="889"/>
      <c r="Z361" s="889"/>
    </row>
    <row r="362" spans="1:26" outlineLevel="1">
      <c r="A362" s="894"/>
      <c r="B362" s="894"/>
      <c r="C362" s="907" t="s">
        <v>237</v>
      </c>
      <c r="D362" s="908"/>
      <c r="E362" s="889"/>
      <c r="F362" s="889"/>
      <c r="G362" s="889"/>
      <c r="H362" s="889"/>
      <c r="I362" s="889"/>
      <c r="J362" s="163"/>
      <c r="K362" s="163"/>
      <c r="L362" s="163"/>
      <c r="S362" s="901">
        <f>ROUND(SUM('T2 ANSP'!C82:C90),$D$361)</f>
        <v>-67927.445999999996</v>
      </c>
      <c r="T362" s="901">
        <f>ROUND(SUM('T2 ANSP'!D82:D90),$D$361)</f>
        <v>-67070.138999999996</v>
      </c>
      <c r="U362" s="901">
        <f>ROUND(SUM('T2 ANSP'!E82:E90),$D$361)</f>
        <v>-66591.273000000001</v>
      </c>
      <c r="V362" s="901">
        <f>ROUND(SUM('T2 ANSP'!F82:F90),$D$361)</f>
        <v>26999.245999999999</v>
      </c>
      <c r="W362" s="901">
        <f>ROUND(SUM('T2 ANSP'!G82:G90),$D$361)</f>
        <v>35850.254000000001</v>
      </c>
      <c r="X362" s="896"/>
      <c r="Y362" s="889"/>
      <c r="Z362" s="889"/>
    </row>
    <row r="363" spans="1:26" outlineLevel="1">
      <c r="A363" s="894"/>
      <c r="B363" s="894"/>
      <c r="C363" s="907" t="s">
        <v>238</v>
      </c>
      <c r="D363" s="908"/>
      <c r="E363" s="889"/>
      <c r="F363" s="889"/>
      <c r="G363" s="889"/>
      <c r="H363" s="889"/>
      <c r="I363" s="889"/>
      <c r="J363" s="163"/>
      <c r="K363" s="163"/>
      <c r="L363" s="163"/>
      <c r="S363" s="901">
        <f>ROUND('T3 ANSP'!E251,$D$361)</f>
        <v>-67927.445999999996</v>
      </c>
      <c r="T363" s="901">
        <f>ROUND('T3 ANSP'!F251,$D$361)</f>
        <v>-67070.138999999996</v>
      </c>
      <c r="U363" s="901">
        <f>ROUND('T3 ANSP'!G251,$D$361)</f>
        <v>-66591.273000000001</v>
      </c>
      <c r="V363" s="901">
        <f>ROUND('T3 ANSP'!H251,$D$361)</f>
        <v>39482.061000000002</v>
      </c>
      <c r="W363" s="901">
        <f>ROUND('T3 ANSP'!I251,$D$361)</f>
        <v>55050.315000000002</v>
      </c>
      <c r="X363" s="896"/>
      <c r="Y363" s="889"/>
      <c r="Z363" s="889"/>
    </row>
    <row r="364" spans="1:26" s="896" customFormat="1">
      <c r="A364" s="893" t="s">
        <v>239</v>
      </c>
      <c r="B364" s="894" t="s">
        <v>240</v>
      </c>
      <c r="C364" s="895" t="s">
        <v>241</v>
      </c>
      <c r="D364" s="881">
        <v>3</v>
      </c>
      <c r="E364" s="889"/>
      <c r="F364" s="889"/>
      <c r="G364" s="889"/>
      <c r="H364" s="889"/>
      <c r="I364" s="889"/>
      <c r="R364" s="163"/>
      <c r="S364" s="897" t="b">
        <f>ROUND('T2 ANSP'!C91,$D$364)=ROUND(SUM('T2 ANSP'!C81:C90),$D$364)</f>
        <v>1</v>
      </c>
      <c r="T364" s="897" t="b">
        <f>ROUND('T2 ANSP'!D91,$D$364)=ROUND(SUM('T2 ANSP'!D81:D90),$D$364)</f>
        <v>1</v>
      </c>
      <c r="U364" s="897" t="b">
        <f>ROUND('T2 ANSP'!E91,$D$364)=ROUND(SUM('T2 ANSP'!E81:E90),$D$364)</f>
        <v>1</v>
      </c>
      <c r="V364" s="897" t="b">
        <f>ROUND('T2 ANSP'!F91,$D$364)=ROUND(SUM('T2 ANSP'!F81:F90),$D$364)</f>
        <v>1</v>
      </c>
      <c r="W364" s="897" t="b">
        <f>ROUND('T2 ANSP'!G91,$D$364)=ROUND(SUM('T2 ANSP'!G81:G90),$D$364)</f>
        <v>1</v>
      </c>
    </row>
    <row r="365" spans="1:26" s="900" customFormat="1" outlineLevel="1">
      <c r="A365" s="893"/>
      <c r="B365" s="894"/>
      <c r="C365" s="898" t="s">
        <v>242</v>
      </c>
      <c r="D365" s="899"/>
      <c r="E365" s="889"/>
      <c r="F365" s="889"/>
      <c r="G365" s="889"/>
      <c r="H365" s="889"/>
      <c r="I365" s="889"/>
      <c r="R365" s="163"/>
      <c r="S365" s="901">
        <f>ROUND('T2 ANSP'!C91,$D$364)</f>
        <v>622027.93099999998</v>
      </c>
      <c r="T365" s="901">
        <f>ROUND('T2 ANSP'!D91,$D$364)</f>
        <v>607200.69400000002</v>
      </c>
      <c r="U365" s="901">
        <f>ROUND('T2 ANSP'!E91,$D$364)</f>
        <v>622148.15</v>
      </c>
      <c r="V365" s="901">
        <f>ROUND('T2 ANSP'!F91,$D$364)</f>
        <v>730642.70900000003</v>
      </c>
      <c r="W365" s="901">
        <f>ROUND('T2 ANSP'!G91,$D$364)</f>
        <v>774344.71600000001</v>
      </c>
    </row>
    <row r="366" spans="1:26" s="900" customFormat="1" outlineLevel="1">
      <c r="A366" s="893"/>
      <c r="B366" s="894"/>
      <c r="C366" s="883" t="s">
        <v>243</v>
      </c>
      <c r="D366" s="899"/>
      <c r="E366" s="889"/>
      <c r="F366" s="889"/>
      <c r="G366" s="889"/>
      <c r="H366" s="889"/>
      <c r="I366" s="889"/>
      <c r="R366" s="163"/>
      <c r="S366" s="901">
        <f>ROUND(SUM('T2 ANSP'!C81:C90),$D$364)</f>
        <v>622027.93099999998</v>
      </c>
      <c r="T366" s="901">
        <f>ROUND(SUM('T2 ANSP'!D81:D90),$D$364)</f>
        <v>607200.69400000002</v>
      </c>
      <c r="U366" s="901">
        <f>ROUND(SUM('T2 ANSP'!E81:E90),$D$364)</f>
        <v>622148.15</v>
      </c>
      <c r="V366" s="901">
        <f>ROUND(SUM('T2 ANSP'!F81:F90),$D$364)</f>
        <v>730642.70900000003</v>
      </c>
      <c r="W366" s="901">
        <f>ROUND(SUM('T2 ANSP'!G81:G90),$D$364)</f>
        <v>774344.71600000001</v>
      </c>
    </row>
    <row r="367" spans="1:26" s="896" customFormat="1">
      <c r="A367" s="893" t="s">
        <v>244</v>
      </c>
      <c r="B367" s="894" t="s">
        <v>245</v>
      </c>
      <c r="C367" s="895" t="s">
        <v>246</v>
      </c>
      <c r="D367" s="881">
        <v>3</v>
      </c>
      <c r="E367" s="889"/>
      <c r="F367" s="889"/>
      <c r="G367" s="889"/>
      <c r="H367" s="889"/>
      <c r="I367" s="889"/>
      <c r="R367" s="163"/>
      <c r="S367" s="897" t="b">
        <f>ROUND('T2 ANSP'!C92,$D$367)=ROUND('T2 ANSP'!C38,$D$367)</f>
        <v>1</v>
      </c>
      <c r="T367" s="897" t="b">
        <f>ROUND('T2 ANSP'!D92,$D$367)=ROUND('T2 ANSP'!D38,$D$367)</f>
        <v>1</v>
      </c>
      <c r="U367" s="897" t="b">
        <f>ROUND('T2 ANSP'!E92,$D$367)=ROUND('T2 ANSP'!E38,$D$367)</f>
        <v>1</v>
      </c>
      <c r="V367" s="897" t="b">
        <f>ROUND('T2 ANSP'!F92,$D$367)=ROUND('T2 ANSP'!F38,$D$367)</f>
        <v>1</v>
      </c>
      <c r="W367" s="897" t="b">
        <f>ROUND('T2 ANSP'!G92,$D$367)=ROUND('T2 ANSP'!G38,$D$367)</f>
        <v>1</v>
      </c>
    </row>
    <row r="368" spans="1:26" s="900" customFormat="1" outlineLevel="1">
      <c r="A368" s="893"/>
      <c r="B368" s="894"/>
      <c r="C368" s="898" t="s">
        <v>247</v>
      </c>
      <c r="D368" s="899"/>
      <c r="E368" s="889"/>
      <c r="F368" s="889"/>
      <c r="G368" s="889"/>
      <c r="H368" s="889"/>
      <c r="I368" s="889"/>
      <c r="R368" s="163"/>
      <c r="S368" s="901">
        <f>ROUND('T2 ANSP'!C92,$D$367)</f>
        <v>12647.945</v>
      </c>
      <c r="T368" s="901">
        <f>ROUND('T2 ANSP'!D92,$D$367)</f>
        <v>12891</v>
      </c>
      <c r="U368" s="901">
        <f>ROUND('T2 ANSP'!E92,$D$367)</f>
        <v>13183</v>
      </c>
      <c r="V368" s="901">
        <f>ROUND('T2 ANSP'!F92,$D$367)</f>
        <v>11715</v>
      </c>
      <c r="W368" s="901">
        <f>ROUND('T2 ANSP'!G92,$D$367)</f>
        <v>12228</v>
      </c>
    </row>
    <row r="369" spans="1:23" s="900" customFormat="1" outlineLevel="1">
      <c r="A369" s="893"/>
      <c r="B369" s="894"/>
      <c r="C369" s="898" t="s">
        <v>248</v>
      </c>
      <c r="D369" s="899"/>
      <c r="E369" s="889"/>
      <c r="F369" s="889"/>
      <c r="G369" s="889"/>
      <c r="H369" s="889"/>
      <c r="I369" s="889"/>
      <c r="R369" s="163"/>
      <c r="S369" s="901">
        <f>ROUND('T2 ANSP'!C38,$D$367)</f>
        <v>12647.945</v>
      </c>
      <c r="T369" s="901">
        <f>ROUND('T2 ANSP'!D38,$D$367)</f>
        <v>12891</v>
      </c>
      <c r="U369" s="901">
        <f>ROUND('T2 ANSP'!E38,$D$367)</f>
        <v>13183</v>
      </c>
      <c r="V369" s="901">
        <f>ROUND('T2 ANSP'!F38,$D$367)</f>
        <v>11715</v>
      </c>
      <c r="W369" s="901">
        <f>ROUND('T2 ANSP'!G38,$D$367)</f>
        <v>12228</v>
      </c>
    </row>
    <row r="370" spans="1:23" s="896" customFormat="1">
      <c r="A370" s="893" t="s">
        <v>249</v>
      </c>
      <c r="B370" s="894" t="s">
        <v>250</v>
      </c>
      <c r="C370" s="895" t="s">
        <v>251</v>
      </c>
      <c r="D370" s="881">
        <v>2</v>
      </c>
      <c r="E370" s="889"/>
      <c r="F370" s="889"/>
      <c r="G370" s="889"/>
      <c r="H370" s="889"/>
      <c r="I370" s="889"/>
      <c r="R370" s="163"/>
      <c r="S370" s="910" t="b">
        <f>ROUND('T2 ANSP'!C93,$D$370)=ROUND('T2 ANSP'!C91/'T2 ANSP'!C92,$D$370)</f>
        <v>1</v>
      </c>
      <c r="T370" s="910" t="b">
        <f>ROUND('T2 ANSP'!D93,$D$370)=ROUND('T2 ANSP'!D91/'T2 ANSP'!D92,$D$370)</f>
        <v>1</v>
      </c>
      <c r="U370" s="910" t="b">
        <f>ROUND('T2 ANSP'!E93,$D$370)=ROUND('T2 ANSP'!E91/'T2 ANSP'!E92,$D$370)</f>
        <v>1</v>
      </c>
      <c r="V370" s="910" t="b">
        <f>ROUND('T2 ANSP'!F93,$D$370)=ROUND('T2 ANSP'!F91/'T2 ANSP'!F92,$D$370)</f>
        <v>1</v>
      </c>
      <c r="W370" s="910" t="b">
        <f>ROUND('T2 ANSP'!G93,$D$370)=ROUND('T2 ANSP'!G91/'T2 ANSP'!G92,$D$370)</f>
        <v>1</v>
      </c>
    </row>
    <row r="371" spans="1:23" s="900" customFormat="1" outlineLevel="1">
      <c r="A371" s="893"/>
      <c r="B371" s="894"/>
      <c r="C371" s="898" t="s">
        <v>252</v>
      </c>
      <c r="D371" s="899"/>
      <c r="E371" s="889"/>
      <c r="F371" s="889"/>
      <c r="G371" s="889"/>
      <c r="H371" s="889"/>
      <c r="I371" s="889"/>
      <c r="R371" s="163"/>
      <c r="S371" s="902">
        <f>ROUND('T2 ANSP'!C93,$D$370)</f>
        <v>49.18</v>
      </c>
      <c r="T371" s="902">
        <f>ROUND('T2 ANSP'!D93,$D$370)</f>
        <v>47.1</v>
      </c>
      <c r="U371" s="902">
        <f>ROUND('T2 ANSP'!E93,$D$370)</f>
        <v>47.19</v>
      </c>
      <c r="V371" s="902">
        <f>ROUND('T2 ANSP'!F93,$D$370)</f>
        <v>62.37</v>
      </c>
      <c r="W371" s="902">
        <f>ROUND('T2 ANSP'!G93,$D$370)</f>
        <v>63.33</v>
      </c>
    </row>
    <row r="372" spans="1:23" s="900" customFormat="1" outlineLevel="1">
      <c r="A372" s="893"/>
      <c r="B372" s="894"/>
      <c r="C372" s="883" t="s">
        <v>253</v>
      </c>
      <c r="D372" s="899"/>
      <c r="E372" s="889"/>
      <c r="F372" s="889"/>
      <c r="G372" s="889"/>
      <c r="H372" s="889"/>
      <c r="I372" s="889"/>
      <c r="R372" s="163"/>
      <c r="S372" s="902">
        <f>ROUND('T2 ANSP'!C91/'T2 ANSP'!C92,$D$370)</f>
        <v>49.18</v>
      </c>
      <c r="T372" s="902">
        <f>ROUND('T2 ANSP'!D91/'T2 ANSP'!D92,$D$370)</f>
        <v>47.1</v>
      </c>
      <c r="U372" s="902">
        <f>ROUND('T2 ANSP'!E91/'T2 ANSP'!E92,$D$370)</f>
        <v>47.19</v>
      </c>
      <c r="V372" s="902">
        <f>ROUND('T2 ANSP'!F91/'T2 ANSP'!F92,$D$370)</f>
        <v>62.37</v>
      </c>
      <c r="W372" s="902">
        <f>ROUND('T2 ANSP'!G91/'T2 ANSP'!G92,$D$370)</f>
        <v>63.33</v>
      </c>
    </row>
    <row r="373" spans="1:23" s="896" customFormat="1">
      <c r="A373" s="893" t="s">
        <v>254</v>
      </c>
      <c r="B373" s="894" t="s">
        <v>255</v>
      </c>
      <c r="C373" s="895" t="s">
        <v>256</v>
      </c>
      <c r="D373" s="881">
        <v>2</v>
      </c>
      <c r="E373" s="889"/>
      <c r="F373" s="889"/>
      <c r="G373" s="889"/>
      <c r="H373" s="889"/>
      <c r="I373" s="889"/>
      <c r="R373" s="163"/>
      <c r="S373" s="910" t="b">
        <f>ROUND('T2 ANSP'!C96,$D$373)=ROUND('T2 ANSP'!C93-'T2 ANSP'!C94,$D$373)</f>
        <v>1</v>
      </c>
      <c r="T373" s="910" t="b">
        <f>ROUND('T2 ANSP'!D96,$D$373)=ROUND('T2 ANSP'!D93-'T2 ANSP'!D94,$D$373)</f>
        <v>1</v>
      </c>
      <c r="U373" s="910" t="b">
        <f>ROUND('T2 ANSP'!E96,$D$373)=ROUND('T2 ANSP'!E93-'T2 ANSP'!E94,$D$373)</f>
        <v>1</v>
      </c>
      <c r="V373" s="910" t="b">
        <f>ROUND('T2 ANSP'!F96,$D$373)=ROUND('T2 ANSP'!F93-'T2 ANSP'!F94,$D$373)</f>
        <v>1</v>
      </c>
      <c r="W373" s="910" t="b">
        <f>ROUND('T2 ANSP'!G96,$D$373)=ROUND('T2 ANSP'!G93-'T2 ANSP'!G94,$D$373)</f>
        <v>1</v>
      </c>
    </row>
    <row r="374" spans="1:23" s="900" customFormat="1" outlineLevel="1">
      <c r="A374" s="893"/>
      <c r="B374" s="894"/>
      <c r="C374" s="898" t="s">
        <v>257</v>
      </c>
      <c r="D374" s="899"/>
      <c r="E374" s="889"/>
      <c r="F374" s="889"/>
      <c r="G374" s="889"/>
      <c r="H374" s="889"/>
      <c r="I374" s="889"/>
      <c r="R374" s="163"/>
      <c r="S374" s="902">
        <f>ROUND('T2 ANSP'!C96,$D$373)</f>
        <v>49.18</v>
      </c>
      <c r="T374" s="902">
        <f>ROUND('T2 ANSP'!D96,$D$373)</f>
        <v>47.1</v>
      </c>
      <c r="U374" s="902">
        <f>ROUND('T2 ANSP'!E96,$D$373)</f>
        <v>47.19</v>
      </c>
      <c r="V374" s="902">
        <f>ROUND('T2 ANSP'!F96,$D$373)</f>
        <v>62.37</v>
      </c>
      <c r="W374" s="902">
        <f>ROUND('T2 ANSP'!G96,$D$373)</f>
        <v>63.33</v>
      </c>
    </row>
    <row r="375" spans="1:23" s="900" customFormat="1" outlineLevel="1">
      <c r="A375" s="893"/>
      <c r="B375" s="894"/>
      <c r="C375" s="898" t="s">
        <v>258</v>
      </c>
      <c r="D375" s="899"/>
      <c r="E375" s="889"/>
      <c r="F375" s="889"/>
      <c r="G375" s="889"/>
      <c r="H375" s="889"/>
      <c r="I375" s="889"/>
      <c r="R375" s="163"/>
      <c r="S375" s="902">
        <f>ROUND('T2 ANSP'!C93-'T2 ANSP'!C94,$D$373)</f>
        <v>49.18</v>
      </c>
      <c r="T375" s="902">
        <f>ROUND('T2 ANSP'!D93-'T2 ANSP'!D94,$D$373)</f>
        <v>47.1</v>
      </c>
      <c r="U375" s="902">
        <f>ROUND('T2 ANSP'!E93-'T2 ANSP'!E94,$D$373)</f>
        <v>47.19</v>
      </c>
      <c r="V375" s="902">
        <f>ROUND('T2 ANSP'!F93-'T2 ANSP'!F94,$D$373)</f>
        <v>62.37</v>
      </c>
      <c r="W375" s="902">
        <f>ROUND('T2 ANSP'!G93-'T2 ANSP'!G94,$D$373)</f>
        <v>63.33</v>
      </c>
    </row>
    <row r="376" spans="1:23" s="892" customFormat="1" ht="18.75">
      <c r="A376" s="173" t="s">
        <v>13</v>
      </c>
      <c r="B376" s="174" t="s">
        <v>14</v>
      </c>
      <c r="C376" s="175" t="s">
        <v>274</v>
      </c>
      <c r="D376" s="890"/>
      <c r="E376" s="891"/>
      <c r="F376" s="891"/>
      <c r="G376" s="891"/>
      <c r="H376" s="891"/>
      <c r="I376" s="891"/>
      <c r="J376" s="891"/>
      <c r="K376" s="891"/>
      <c r="L376" s="891"/>
      <c r="M376" s="891"/>
      <c r="N376" s="891"/>
      <c r="O376" s="891"/>
      <c r="P376" s="891"/>
      <c r="Q376" s="891"/>
      <c r="R376" s="163"/>
      <c r="S376" s="891"/>
      <c r="T376" s="891"/>
      <c r="U376" s="891"/>
      <c r="V376" s="891"/>
      <c r="W376" s="891"/>
    </row>
    <row r="377" spans="1:23" s="896" customFormat="1">
      <c r="A377" s="893" t="s">
        <v>129</v>
      </c>
      <c r="B377" s="894" t="s">
        <v>54</v>
      </c>
      <c r="C377" s="895" t="s">
        <v>130</v>
      </c>
      <c r="D377" s="881">
        <v>3</v>
      </c>
      <c r="E377" s="889"/>
      <c r="F377" s="889"/>
      <c r="G377" s="889"/>
      <c r="H377" s="889"/>
      <c r="I377" s="889"/>
      <c r="R377" s="163"/>
      <c r="S377" s="897" t="b">
        <f>ROUND('T2 MET'!C12,$D$377)=ROUND('T1 MET'!K61,$D$377)</f>
        <v>1</v>
      </c>
      <c r="T377" s="897" t="b">
        <f>ROUND('T2 MET'!D12,$D$377)=ROUND('T1 MET'!L61,$D$377)</f>
        <v>1</v>
      </c>
      <c r="U377" s="897" t="b">
        <f>ROUND('T2 MET'!E12,$D$377)=ROUND('T1 MET'!M61,$D$377)</f>
        <v>1</v>
      </c>
      <c r="V377" s="897" t="b">
        <f>ROUND('T2 MET'!F12,$D$377)=ROUND('T1 MET'!N61,$D$377)</f>
        <v>1</v>
      </c>
      <c r="W377" s="897" t="b">
        <f>ROUND('T2 MET'!G12,$D$377)=ROUND('T1 MET'!O61,$D$377)</f>
        <v>1</v>
      </c>
    </row>
    <row r="378" spans="1:23" s="900" customFormat="1" outlineLevel="1">
      <c r="A378" s="893"/>
      <c r="B378" s="894"/>
      <c r="C378" s="898" t="s">
        <v>131</v>
      </c>
      <c r="D378" s="899"/>
      <c r="E378" s="889"/>
      <c r="F378" s="889"/>
      <c r="G378" s="889"/>
      <c r="H378" s="889"/>
      <c r="I378" s="889"/>
      <c r="R378" s="163"/>
      <c r="S378" s="901">
        <f>ROUND('T2 MET'!C12,$D$377)</f>
        <v>30937.955000000002</v>
      </c>
      <c r="T378" s="901">
        <f>ROUND('T2 MET'!D12,$D$377)</f>
        <v>30193.923999999999</v>
      </c>
      <c r="U378" s="901">
        <f>ROUND('T2 MET'!E12,$D$377)</f>
        <v>31631.805</v>
      </c>
      <c r="V378" s="901">
        <f>ROUND('T2 MET'!F12,$D$377)</f>
        <v>33079.186999999998</v>
      </c>
      <c r="W378" s="901">
        <f>ROUND('T2 MET'!G12,$D$377)</f>
        <v>38640.665999999997</v>
      </c>
    </row>
    <row r="379" spans="1:23" s="900" customFormat="1" outlineLevel="1">
      <c r="A379" s="893"/>
      <c r="B379" s="894"/>
      <c r="C379" s="898" t="s">
        <v>132</v>
      </c>
      <c r="D379" s="899"/>
      <c r="E379" s="889"/>
      <c r="F379" s="889"/>
      <c r="G379" s="889"/>
      <c r="H379" s="889"/>
      <c r="I379" s="889"/>
      <c r="R379" s="163"/>
      <c r="S379" s="901">
        <f>ROUND('T1 MET'!K61,$D$377)</f>
        <v>30937.955000000002</v>
      </c>
      <c r="T379" s="901">
        <f>ROUND('T1 MET'!L61,$D$377)</f>
        <v>30193.923999999999</v>
      </c>
      <c r="U379" s="901">
        <f>ROUND('T1 MET'!M61,$D$377)</f>
        <v>31631.805</v>
      </c>
      <c r="V379" s="901">
        <f>ROUND('T1 MET'!N61,$D$377)</f>
        <v>33079.186999999998</v>
      </c>
      <c r="W379" s="901">
        <f>ROUND('T1 MET'!O61,$D$377)</f>
        <v>38640.665999999997</v>
      </c>
    </row>
    <row r="380" spans="1:23" s="896" customFormat="1">
      <c r="A380" s="893" t="s">
        <v>133</v>
      </c>
      <c r="B380" s="894" t="s">
        <v>52</v>
      </c>
      <c r="C380" s="895" t="s">
        <v>134</v>
      </c>
      <c r="D380" s="881">
        <v>3</v>
      </c>
      <c r="E380" s="889"/>
      <c r="F380" s="889"/>
      <c r="G380" s="889"/>
      <c r="H380" s="889"/>
      <c r="I380" s="889"/>
      <c r="R380" s="163"/>
      <c r="S380" s="897" t="b">
        <f>ROUND('T2 MET'!C15,$D$380)=ROUND('T1 MET'!K61-'T1 MET'!K15-'T1 MET'!K16,$D$380)</f>
        <v>0</v>
      </c>
      <c r="T380" s="897" t="b">
        <f>ROUND('T2 MET'!D15,$D$380)=ROUND('T1 MET'!L61-'T1 MET'!L15-'T1 MET'!L16,$D$380)</f>
        <v>0</v>
      </c>
      <c r="U380" s="897" t="b">
        <f>ROUND('T2 MET'!E15,$D$380)=ROUND('T1 MET'!M61-'T1 MET'!M15-'T1 MET'!M16,$D$380)</f>
        <v>0</v>
      </c>
      <c r="V380" s="897" t="b">
        <f>ROUND('T2 MET'!F15,$D$380)=ROUND('T1 MET'!N61-'T1 MET'!N15-'T1 MET'!N16,$D$380)</f>
        <v>0</v>
      </c>
      <c r="W380" s="897" t="b">
        <f>ROUND('T2 MET'!G15,$D$380)=ROUND('T1 MET'!O61-'T1 MET'!O15-'T1 MET'!O16,$D$380)</f>
        <v>0</v>
      </c>
    </row>
    <row r="381" spans="1:23" s="900" customFormat="1" outlineLevel="1">
      <c r="A381" s="893"/>
      <c r="B381" s="894"/>
      <c r="C381" s="898" t="s">
        <v>135</v>
      </c>
      <c r="D381" s="899"/>
      <c r="E381" s="889"/>
      <c r="F381" s="889"/>
      <c r="G381" s="889"/>
      <c r="H381" s="889"/>
      <c r="I381" s="889"/>
      <c r="R381" s="163"/>
      <c r="S381" s="901">
        <f>ROUND('T2 MET'!C15,$D$380)</f>
        <v>30937.955000000002</v>
      </c>
      <c r="T381" s="901">
        <f>ROUND('T2 MET'!D15,$D$380)</f>
        <v>30193.923999999999</v>
      </c>
      <c r="U381" s="901">
        <f>ROUND('T2 MET'!E15,$D$380)</f>
        <v>31631.805</v>
      </c>
      <c r="V381" s="901">
        <f>ROUND('T2 MET'!F15,$D$380)</f>
        <v>33079.186999999998</v>
      </c>
      <c r="W381" s="901">
        <f>ROUND('T2 MET'!G15,$D$380)</f>
        <v>38640.665999999997</v>
      </c>
    </row>
    <row r="382" spans="1:23" s="900" customFormat="1" outlineLevel="1">
      <c r="A382" s="893"/>
      <c r="B382" s="894"/>
      <c r="C382" s="898" t="s">
        <v>136</v>
      </c>
      <c r="D382" s="899"/>
      <c r="E382" s="889"/>
      <c r="F382" s="889"/>
      <c r="G382" s="889"/>
      <c r="H382" s="889"/>
      <c r="I382" s="889"/>
      <c r="R382" s="163"/>
      <c r="S382" s="901">
        <f>ROUND('T1 MET'!K61-'T1 MET'!K15-'T1 MET'!K16,$D$380)</f>
        <v>24953.031999999999</v>
      </c>
      <c r="T382" s="901">
        <f>ROUND('T1 MET'!L61-'T1 MET'!L15-'T1 MET'!L16,$D$380)</f>
        <v>24209.001</v>
      </c>
      <c r="U382" s="901">
        <f>ROUND('T1 MET'!M61-'T1 MET'!M15-'T1 MET'!M16,$D$380)</f>
        <v>24530.881000000001</v>
      </c>
      <c r="V382" s="901">
        <f>ROUND('T1 MET'!N61-'T1 MET'!N15-'T1 MET'!N16,$D$380)</f>
        <v>26166.646000000001</v>
      </c>
      <c r="W382" s="901">
        <f>ROUND('T1 MET'!O61-'T1 MET'!O15-'T1 MET'!O16,$D$380)</f>
        <v>28589.884999999998</v>
      </c>
    </row>
    <row r="383" spans="1:23" s="896" customFormat="1">
      <c r="A383" s="893" t="s">
        <v>137</v>
      </c>
      <c r="B383" s="894" t="s">
        <v>138</v>
      </c>
      <c r="C383" s="895" t="s">
        <v>139</v>
      </c>
      <c r="D383" s="899"/>
      <c r="E383" s="889"/>
      <c r="F383" s="889"/>
      <c r="G383" s="889"/>
      <c r="H383" s="889"/>
      <c r="I383" s="889"/>
      <c r="R383" s="163"/>
      <c r="S383" s="897" t="b">
        <f>'T2 MET'!C16='T1 MET'!K65</f>
        <v>1</v>
      </c>
      <c r="T383" s="897" t="b">
        <f>'T2 MET'!D16='T1 MET'!L65</f>
        <v>1</v>
      </c>
      <c r="U383" s="897" t="b">
        <f>'T2 MET'!E16='T1 MET'!M65</f>
        <v>1</v>
      </c>
      <c r="V383" s="897" t="b">
        <f>'T2 MET'!F16='T1 MET'!N65</f>
        <v>1</v>
      </c>
      <c r="W383" s="897" t="b">
        <f>'T2 MET'!G16='T1 MET'!O65</f>
        <v>1</v>
      </c>
    </row>
    <row r="384" spans="1:23" s="900" customFormat="1" outlineLevel="1">
      <c r="A384" s="893"/>
      <c r="B384" s="894"/>
      <c r="C384" s="898" t="s">
        <v>140</v>
      </c>
      <c r="D384" s="899"/>
      <c r="E384" s="889"/>
      <c r="F384" s="889"/>
      <c r="G384" s="889"/>
      <c r="H384" s="889"/>
      <c r="I384" s="889"/>
      <c r="R384" s="163"/>
      <c r="S384" s="902">
        <f>'T2 MET'!C16</f>
        <v>106.44304700754894</v>
      </c>
      <c r="T384" s="902">
        <f>'T2 MET'!D16</f>
        <v>108.5719079476999</v>
      </c>
      <c r="U384" s="902">
        <f>'T2 MET'!E16</f>
        <v>110.74334610665392</v>
      </c>
      <c r="V384" s="902">
        <f>'T2 MET'!F16</f>
        <v>115.21954018486758</v>
      </c>
      <c r="W384" s="902">
        <f>'T2 MET'!G16</f>
        <v>116.98826086087693</v>
      </c>
    </row>
    <row r="385" spans="1:23" s="900" customFormat="1" outlineLevel="1">
      <c r="A385" s="893"/>
      <c r="B385" s="894"/>
      <c r="C385" s="898" t="s">
        <v>141</v>
      </c>
      <c r="D385" s="899"/>
      <c r="E385" s="889"/>
      <c r="F385" s="889"/>
      <c r="G385" s="889"/>
      <c r="H385" s="889"/>
      <c r="I385" s="889"/>
      <c r="R385" s="163"/>
      <c r="S385" s="902">
        <f>'T1 MET'!K65</f>
        <v>106.44304700754894</v>
      </c>
      <c r="T385" s="902">
        <f>'T1 MET'!L65</f>
        <v>108.5719079476999</v>
      </c>
      <c r="U385" s="902">
        <f>'T1 MET'!M65</f>
        <v>110.74334610665392</v>
      </c>
      <c r="V385" s="902">
        <f>'T1 MET'!N65</f>
        <v>115.21954018486758</v>
      </c>
      <c r="W385" s="902">
        <f>'T1 MET'!O65</f>
        <v>116.98826086087693</v>
      </c>
    </row>
    <row r="386" spans="1:23" s="896" customFormat="1">
      <c r="A386" s="893" t="s">
        <v>142</v>
      </c>
      <c r="B386" s="894" t="s">
        <v>143</v>
      </c>
      <c r="C386" s="895" t="s">
        <v>144</v>
      </c>
      <c r="D386" s="899"/>
      <c r="E386" s="889"/>
      <c r="F386" s="889"/>
      <c r="G386" s="889"/>
      <c r="H386" s="889"/>
      <c r="I386" s="889"/>
      <c r="J386" s="889"/>
      <c r="K386" s="889"/>
      <c r="L386" s="889"/>
      <c r="M386" s="889"/>
      <c r="N386" s="889"/>
      <c r="O386" s="889"/>
      <c r="R386" s="163"/>
    </row>
    <row r="387" spans="1:23" s="900" customFormat="1" outlineLevel="1">
      <c r="A387" s="893"/>
      <c r="B387" s="894"/>
      <c r="C387" s="898" t="s">
        <v>145</v>
      </c>
      <c r="D387" s="899"/>
      <c r="E387" s="889"/>
      <c r="F387" s="889"/>
      <c r="G387" s="889"/>
      <c r="H387" s="889"/>
      <c r="I387" s="889"/>
      <c r="J387" s="889"/>
      <c r="K387" s="889"/>
      <c r="L387" s="889"/>
      <c r="M387" s="889"/>
      <c r="N387" s="889"/>
      <c r="O387" s="889"/>
      <c r="R387" s="163"/>
    </row>
    <row r="388" spans="1:23" s="900" customFormat="1" outlineLevel="1">
      <c r="A388" s="893"/>
      <c r="B388" s="894"/>
      <c r="C388" s="898" t="s">
        <v>146</v>
      </c>
      <c r="D388" s="899"/>
      <c r="E388" s="889"/>
      <c r="F388" s="889"/>
      <c r="G388" s="889"/>
      <c r="H388" s="889"/>
      <c r="I388" s="889"/>
      <c r="J388" s="889"/>
      <c r="K388" s="889"/>
      <c r="L388" s="889"/>
      <c r="M388" s="889"/>
      <c r="N388" s="889"/>
      <c r="O388" s="889"/>
      <c r="R388" s="163"/>
    </row>
    <row r="389" spans="1:23" s="896" customFormat="1">
      <c r="A389" s="893" t="s">
        <v>147</v>
      </c>
      <c r="B389" s="894" t="s">
        <v>148</v>
      </c>
      <c r="C389" s="895" t="s">
        <v>149</v>
      </c>
      <c r="D389" s="899"/>
      <c r="E389" s="889"/>
      <c r="F389" s="889"/>
      <c r="G389" s="889"/>
      <c r="H389" s="889"/>
      <c r="I389" s="889"/>
      <c r="J389" s="889"/>
      <c r="K389" s="889"/>
      <c r="L389" s="889"/>
      <c r="M389" s="889"/>
      <c r="N389" s="889"/>
      <c r="O389" s="889"/>
      <c r="R389" s="163"/>
    </row>
    <row r="390" spans="1:23" s="900" customFormat="1" outlineLevel="1">
      <c r="A390" s="893"/>
      <c r="B390" s="894"/>
      <c r="C390" s="898" t="s">
        <v>150</v>
      </c>
      <c r="D390" s="899"/>
      <c r="E390" s="889"/>
      <c r="F390" s="889"/>
      <c r="G390" s="889"/>
      <c r="H390" s="889"/>
      <c r="I390" s="889"/>
      <c r="J390" s="889"/>
      <c r="K390" s="889"/>
      <c r="L390" s="889"/>
      <c r="M390" s="889"/>
      <c r="N390" s="889"/>
      <c r="O390" s="889"/>
      <c r="R390" s="163"/>
    </row>
    <row r="391" spans="1:23" s="900" customFormat="1" outlineLevel="1">
      <c r="A391" s="893"/>
      <c r="B391" s="894"/>
      <c r="C391" s="898" t="s">
        <v>151</v>
      </c>
      <c r="D391" s="899"/>
      <c r="E391" s="889"/>
      <c r="F391" s="889"/>
      <c r="G391" s="889"/>
      <c r="H391" s="889"/>
      <c r="I391" s="889"/>
      <c r="J391" s="889"/>
      <c r="K391" s="889"/>
      <c r="L391" s="889"/>
      <c r="M391" s="889"/>
      <c r="N391" s="889"/>
      <c r="O391" s="889"/>
      <c r="R391" s="163"/>
    </row>
    <row r="392" spans="1:23" s="896" customFormat="1">
      <c r="A392" s="893" t="s">
        <v>152</v>
      </c>
      <c r="B392" s="894">
        <v>2.5</v>
      </c>
      <c r="C392" s="903" t="s">
        <v>153</v>
      </c>
      <c r="D392" s="881">
        <v>3</v>
      </c>
      <c r="E392" s="889"/>
      <c r="F392" s="889"/>
      <c r="G392" s="889"/>
      <c r="H392" s="889"/>
      <c r="I392" s="889"/>
      <c r="J392" s="889"/>
      <c r="K392" s="889"/>
      <c r="L392" s="889"/>
      <c r="M392" s="889"/>
      <c r="N392" s="889"/>
      <c r="R392" s="163"/>
    </row>
    <row r="393" spans="1:23" s="900" customFormat="1" outlineLevel="1">
      <c r="A393" s="893"/>
      <c r="B393" s="894"/>
      <c r="C393" s="904" t="s">
        <v>154</v>
      </c>
      <c r="D393" s="905"/>
      <c r="E393" s="889"/>
      <c r="G393" s="889"/>
      <c r="H393" s="889"/>
      <c r="I393" s="889"/>
      <c r="J393" s="889"/>
      <c r="K393" s="889"/>
      <c r="L393" s="889"/>
      <c r="M393" s="889"/>
      <c r="N393" s="889"/>
      <c r="R393" s="163"/>
    </row>
    <row r="394" spans="1:23" s="900" customFormat="1" outlineLevel="1">
      <c r="A394" s="893"/>
      <c r="B394" s="894"/>
      <c r="C394" s="904" t="s">
        <v>155</v>
      </c>
      <c r="D394" s="905"/>
      <c r="E394" s="889"/>
      <c r="F394" s="889"/>
      <c r="G394" s="889"/>
      <c r="H394" s="889"/>
      <c r="I394" s="889"/>
      <c r="J394" s="889"/>
      <c r="K394" s="889"/>
      <c r="L394" s="889"/>
      <c r="M394" s="889"/>
      <c r="N394" s="889"/>
      <c r="R394" s="163"/>
    </row>
    <row r="395" spans="1:23" s="896" customFormat="1">
      <c r="A395" s="893" t="s">
        <v>156</v>
      </c>
      <c r="B395" s="894" t="s">
        <v>81</v>
      </c>
      <c r="C395" s="895" t="s">
        <v>157</v>
      </c>
      <c r="D395" s="881">
        <v>3</v>
      </c>
      <c r="E395" s="889"/>
      <c r="F395" s="889"/>
      <c r="G395" s="889"/>
      <c r="H395" s="889"/>
      <c r="I395" s="889"/>
      <c r="J395" s="889"/>
      <c r="K395" s="889"/>
      <c r="L395" s="889"/>
      <c r="M395" s="889"/>
      <c r="N395" s="889"/>
      <c r="R395" s="163"/>
    </row>
    <row r="396" spans="1:23" s="900" customFormat="1" outlineLevel="1">
      <c r="A396" s="893"/>
      <c r="B396" s="894"/>
      <c r="C396" s="898" t="s">
        <v>158</v>
      </c>
      <c r="D396" s="899"/>
      <c r="E396" s="889"/>
      <c r="F396" s="889"/>
      <c r="G396" s="889"/>
      <c r="H396" s="889"/>
      <c r="I396" s="889"/>
      <c r="J396" s="889"/>
      <c r="K396" s="889"/>
      <c r="L396" s="889"/>
      <c r="M396" s="889"/>
      <c r="N396" s="889"/>
      <c r="R396" s="163"/>
    </row>
    <row r="397" spans="1:23" s="900" customFormat="1" outlineLevel="1">
      <c r="A397" s="893"/>
      <c r="B397" s="894"/>
      <c r="C397" s="883" t="s">
        <v>159</v>
      </c>
      <c r="D397" s="899"/>
      <c r="E397" s="889"/>
      <c r="F397" s="889"/>
      <c r="G397" s="889"/>
      <c r="H397" s="889"/>
      <c r="I397" s="889"/>
      <c r="J397" s="889"/>
      <c r="K397" s="889"/>
      <c r="L397" s="889"/>
      <c r="M397" s="889"/>
      <c r="N397" s="889"/>
      <c r="R397" s="163"/>
    </row>
    <row r="398" spans="1:23" s="896" customFormat="1">
      <c r="A398" s="893" t="s">
        <v>160</v>
      </c>
      <c r="B398" s="894" t="s">
        <v>161</v>
      </c>
      <c r="C398" s="895" t="s">
        <v>162</v>
      </c>
      <c r="D398" s="881">
        <v>3</v>
      </c>
      <c r="E398" s="889"/>
      <c r="F398" s="889"/>
      <c r="G398" s="889"/>
      <c r="H398" s="889"/>
      <c r="I398" s="889"/>
      <c r="R398" s="163"/>
      <c r="S398" s="897" t="str">
        <f>IF(OR('T2 MET'!$A$5="Met Office",'T2 MET'!$A$5="NSA"),"N/A",ROUND('T2 MET'!C33,$D$398)=ROUND('T1 MET'!K61-'T1 MET'!K28,$D$398))</f>
        <v>N/A</v>
      </c>
      <c r="T398" s="897" t="str">
        <f>IF(OR('T2 MET'!$A$5="Met Office",'T2 MET'!$A$5="NSA"),"N/A",ROUND('T2 MET'!D33,$D$398)=ROUND('T1 MET'!L61-'T1 MET'!L28,$D$398))</f>
        <v>N/A</v>
      </c>
      <c r="U398" s="897" t="str">
        <f>IF(OR('T2 MET'!$A$5="Met Office",'T2 MET'!$A$5="NSA"),"N/A",ROUND('T2 MET'!E33,$D$398)=ROUND('T1 MET'!M61-'T1 MET'!M28,$D$398))</f>
        <v>N/A</v>
      </c>
      <c r="V398" s="897" t="str">
        <f>IF(OR('T2 MET'!$A$5="Met Office",'T2 MET'!$A$5="NSA"),"N/A",ROUND('T2 MET'!F33,$D$398)=ROUND('T1 MET'!N61-'T1 MET'!N28,$D$398))</f>
        <v>N/A</v>
      </c>
      <c r="W398" s="897" t="str">
        <f>IF(OR('T2 MET'!$A$5="Met Office",'T2 MET'!$A$5="NSA"),"N/A",ROUND('T2 MET'!G33,$D$398)=ROUND('T1 MET'!O61-'T1 MET'!O28,$D$398))</f>
        <v>N/A</v>
      </c>
    </row>
    <row r="399" spans="1:23" s="900" customFormat="1" outlineLevel="1">
      <c r="A399" s="893"/>
      <c r="B399" s="894"/>
      <c r="C399" s="898" t="s">
        <v>163</v>
      </c>
      <c r="D399" s="899"/>
      <c r="E399" s="889"/>
      <c r="F399" s="889"/>
      <c r="G399" s="889"/>
      <c r="H399" s="889"/>
      <c r="I399" s="889"/>
      <c r="R399" s="163"/>
      <c r="S399" s="901" t="str">
        <f>IF(OR('T2 MET'!$A$5="Met Office",'T2 MET'!$A$5="NSA"),"N/A",ROUND('T2 MET'!C33,$D$398))</f>
        <v>N/A</v>
      </c>
      <c r="T399" s="901" t="str">
        <f>IF(OR('T2 MET'!$A$5="Met Office",'T2 MET'!$A$5="NSA"),"N/A",ROUND('T2 MET'!D33,$D$398))</f>
        <v>N/A</v>
      </c>
      <c r="U399" s="901" t="str">
        <f>IF(OR('T2 MET'!$A$5="Met Office",'T2 MET'!$A$5="NSA"),"N/A",ROUND('T2 MET'!E33,$D$398))</f>
        <v>N/A</v>
      </c>
      <c r="V399" s="901" t="str">
        <f>IF(OR('T2 MET'!$A$5="Met Office",'T2 MET'!$A$5="NSA"),"N/A",ROUND('T2 MET'!F33,$D$398))</f>
        <v>N/A</v>
      </c>
      <c r="W399" s="901" t="str">
        <f>IF(OR('T2 MET'!$A$5="Met Office",'T2 MET'!$A$5="NSA"),"N/A",ROUND('T2 MET'!G33,$D$398))</f>
        <v>N/A</v>
      </c>
    </row>
    <row r="400" spans="1:23" s="900" customFormat="1" outlineLevel="1">
      <c r="A400" s="893"/>
      <c r="B400" s="894"/>
      <c r="C400" s="898" t="s">
        <v>164</v>
      </c>
      <c r="D400" s="899"/>
      <c r="E400" s="889"/>
      <c r="F400" s="889"/>
      <c r="G400" s="889"/>
      <c r="H400" s="889"/>
      <c r="I400" s="889"/>
      <c r="R400" s="163"/>
      <c r="S400" s="901" t="str">
        <f>IF(OR('T2 MET'!$A$5="Met Office",'T2 MET'!$A$5="NSA"),"N/A",ROUND('T1 MET'!K61-'T1 MET'!K28,$D$398))</f>
        <v>N/A</v>
      </c>
      <c r="T400" s="901" t="str">
        <f>IF(OR('T2 MET'!$A$5="Met Office",'T2 MET'!$A$5="NSA"),"N/A",ROUND('T1 MET'!L61-'T1 MET'!L28,$D$398))</f>
        <v>N/A</v>
      </c>
      <c r="U400" s="901" t="str">
        <f>IF(OR('T2 MET'!$A$5="Met Office",'T2 MET'!$A$5="NSA"),"N/A",ROUND('T1 MET'!M61-'T1 MET'!M28,$D$398))</f>
        <v>N/A</v>
      </c>
      <c r="V400" s="901" t="str">
        <f>IF(OR('T2 MET'!$A$5="Met Office",'T2 MET'!$A$5="NSA"),"N/A",ROUND('T1 MET'!N61-'T1 MET'!N28,$D$398))</f>
        <v>N/A</v>
      </c>
      <c r="W400" s="901" t="str">
        <f>IF(OR('T2 MET'!$A$5="Met Office",'T2 MET'!$A$5="NSA"),"N/A",ROUND('T1 MET'!O61-'T1 MET'!O28,$D$398))</f>
        <v>N/A</v>
      </c>
    </row>
    <row r="401" spans="1:23" s="896" customFormat="1">
      <c r="A401" s="893" t="s">
        <v>260</v>
      </c>
      <c r="B401" s="894" t="s">
        <v>17</v>
      </c>
      <c r="C401" s="895" t="s">
        <v>261</v>
      </c>
      <c r="D401" s="881">
        <v>2</v>
      </c>
      <c r="E401" s="889"/>
      <c r="F401" s="889"/>
      <c r="G401" s="889"/>
      <c r="H401" s="889"/>
      <c r="I401" s="889"/>
      <c r="N401" s="900"/>
      <c r="R401" s="163"/>
      <c r="S401" s="897" t="str">
        <f>IF(OR('T2 MET'!$A$5="Met Office",'T2 MET'!$A$5="NSA"),"N/A",ROUND('T2 MET'!C34,$D$401)=2%)</f>
        <v>N/A</v>
      </c>
      <c r="T401" s="897" t="str">
        <f>IF(OR('T2 MET'!$A$5="Met Office",'T2 MET'!$A$5="NSA"),"N/A",ROUND('T2 MET'!D34,$D$401)=2%)</f>
        <v>N/A</v>
      </c>
      <c r="U401" s="897" t="str">
        <f>IF(OR('T2 MET'!$A$5="Met Office",'T2 MET'!$A$5="NSA"),"N/A",ROUND('T2 MET'!E34,$D$401)=2%)</f>
        <v>N/A</v>
      </c>
      <c r="V401" s="897" t="str">
        <f>IF(OR('T2 MET'!$A$5="Met Office",'T2 MET'!$A$5="NSA"),"N/A",ROUND('T2 MET'!F34,$D$401)=2%)</f>
        <v>N/A</v>
      </c>
      <c r="W401" s="897" t="str">
        <f>IF(OR('T2 MET'!$A$5="Met Office",'T2 MET'!$A$5="NSA"),"N/A",ROUND('T2 MET'!G34,$D$401)=2%)</f>
        <v>N/A</v>
      </c>
    </row>
    <row r="402" spans="1:23" s="900" customFormat="1" outlineLevel="1">
      <c r="A402" s="893"/>
      <c r="B402" s="894"/>
      <c r="C402" s="898" t="s">
        <v>262</v>
      </c>
      <c r="D402" s="899"/>
      <c r="E402" s="889"/>
      <c r="F402" s="889"/>
      <c r="G402" s="889"/>
      <c r="H402" s="889"/>
      <c r="I402" s="889"/>
      <c r="R402" s="163"/>
      <c r="S402" s="911" t="str">
        <f>IF(OR('T2 MET'!$A$5="Met Office",'T2 MET'!$A$5="NSA"),"N/A",ROUND('T2 MET'!C34,$D$401))</f>
        <v>N/A</v>
      </c>
      <c r="T402" s="911" t="str">
        <f>IF(OR('T2 MET'!$A$5="Met Office",'T2 MET'!$A$5="NSA"),"N/A",ROUND('T2 MET'!D34,$D$401))</f>
        <v>N/A</v>
      </c>
      <c r="U402" s="911" t="str">
        <f>IF(OR('T2 MET'!$A$5="Met Office",'T2 MET'!$A$5="NSA"),"N/A",ROUND('T2 MET'!E34,$D$401))</f>
        <v>N/A</v>
      </c>
      <c r="V402" s="911" t="str">
        <f>IF(OR('T2 MET'!$A$5="Met Office",'T2 MET'!$A$5="NSA"),"N/A",ROUND('T2 MET'!F34,$D$401))</f>
        <v>N/A</v>
      </c>
      <c r="W402" s="911" t="str">
        <f>IF(OR('T2 MET'!$A$5="Met Office",'T2 MET'!$A$5="NSA"),"N/A",ROUND('T2 MET'!G34,$D$401))</f>
        <v>N/A</v>
      </c>
    </row>
    <row r="403" spans="1:23" s="896" customFormat="1">
      <c r="A403" s="893" t="s">
        <v>263</v>
      </c>
      <c r="B403" s="894" t="s">
        <v>264</v>
      </c>
      <c r="C403" s="895" t="s">
        <v>265</v>
      </c>
      <c r="D403" s="881">
        <v>2</v>
      </c>
      <c r="E403" s="889"/>
      <c r="F403" s="889"/>
      <c r="G403" s="889"/>
      <c r="H403" s="889"/>
      <c r="I403" s="889"/>
      <c r="N403" s="900"/>
      <c r="R403" s="163"/>
      <c r="S403" s="897" t="str">
        <f>IF(OR('T2 MET'!$A$5="Met Office",'T2 MET'!$A$5="NSA"),"N/A",ROUND('T2 MET'!C35,$D$403)=70%)</f>
        <v>N/A</v>
      </c>
      <c r="T403" s="897" t="str">
        <f>IF(OR('T2 MET'!$A$5="Met Office",'T2 MET'!$A$5="NSA"),"N/A",ROUND('T2 MET'!D35,$D$403)=70%)</f>
        <v>N/A</v>
      </c>
      <c r="U403" s="897" t="str">
        <f>IF(OR('T2 MET'!$A$5="Met Office",'T2 MET'!$A$5="NSA"),"N/A",ROUND('T2 MET'!E35,$D$403)=70%)</f>
        <v>N/A</v>
      </c>
      <c r="V403" s="897" t="str">
        <f>IF(OR('T2 MET'!$A$5="Met Office",'T2 MET'!$A$5="NSA"),"N/A",ROUND('T2 MET'!F35,$D$403)=70%)</f>
        <v>N/A</v>
      </c>
      <c r="W403" s="897" t="str">
        <f>IF(OR('T2 MET'!$A$5="Met Office",'T2 MET'!$A$5="NSA"),"N/A",ROUND('T2 MET'!G35,$D$403)=70%)</f>
        <v>N/A</v>
      </c>
    </row>
    <row r="404" spans="1:23" s="900" customFormat="1" outlineLevel="1">
      <c r="A404" s="893"/>
      <c r="B404" s="894"/>
      <c r="C404" s="898" t="s">
        <v>266</v>
      </c>
      <c r="D404" s="899"/>
      <c r="E404" s="889"/>
      <c r="F404" s="889"/>
      <c r="G404" s="889"/>
      <c r="H404" s="889"/>
      <c r="I404" s="889"/>
      <c r="R404" s="163"/>
      <c r="S404" s="911" t="str">
        <f>IF(OR('T2 MET'!$A$5="Met Office",'T2 MET'!$A$5="NSA"),"N/A",ROUND('T2 MET'!C35,$D$403))</f>
        <v>N/A</v>
      </c>
      <c r="T404" s="911" t="str">
        <f>IF(OR('T2 MET'!$A$5="Met Office",'T2 MET'!$A$5="NSA"),"N/A",ROUND('T2 MET'!D35,$D$403))</f>
        <v>N/A</v>
      </c>
      <c r="U404" s="911" t="str">
        <f>IF(OR('T2 MET'!$A$5="Met Office",'T2 MET'!$A$5="NSA"),"N/A",ROUND('T2 MET'!E35,$D$403))</f>
        <v>N/A</v>
      </c>
      <c r="V404" s="911" t="str">
        <f>IF(OR('T2 MET'!$A$5="Met Office",'T2 MET'!$A$5="NSA"),"N/A",ROUND('T2 MET'!F35,$D$403))</f>
        <v>N/A</v>
      </c>
      <c r="W404" s="911" t="str">
        <f>IF(OR('T2 MET'!$A$5="Met Office",'T2 MET'!$A$5="NSA"),"N/A",ROUND('T2 MET'!G35,$D$403))</f>
        <v>N/A</v>
      </c>
    </row>
    <row r="405" spans="1:23" s="896" customFormat="1">
      <c r="A405" s="893" t="s">
        <v>267</v>
      </c>
      <c r="B405" s="894" t="s">
        <v>268</v>
      </c>
      <c r="C405" s="895" t="s">
        <v>269</v>
      </c>
      <c r="D405" s="881">
        <v>2</v>
      </c>
      <c r="E405" s="889"/>
      <c r="F405" s="889"/>
      <c r="G405" s="889"/>
      <c r="H405" s="889"/>
      <c r="I405" s="889"/>
      <c r="N405" s="900"/>
      <c r="R405" s="163"/>
      <c r="S405" s="897" t="str">
        <f>IF(OR('T2 MET'!$A$5="Met Office",'T2 MET'!$A$5="NSA"),"N/A",ROUND('T2 MET'!C36,$D$405)=70%)</f>
        <v>N/A</v>
      </c>
      <c r="T405" s="897" t="str">
        <f>IF(OR('T2 MET'!$A$5="Met Office",'T2 MET'!$A$5="NSA"),"N/A",ROUND('T2 MET'!D36,$D$405)=70%)</f>
        <v>N/A</v>
      </c>
      <c r="U405" s="897" t="str">
        <f>IF(OR('T2 MET'!$A$5="Met Office",'T2 MET'!$A$5="NSA"),"N/A",ROUND('T2 MET'!E36,$D$405)=70%)</f>
        <v>N/A</v>
      </c>
      <c r="V405" s="897" t="str">
        <f>IF(OR('T2 MET'!$A$5="Met Office",'T2 MET'!$A$5="NSA"),"N/A",ROUND('T2 MET'!F36,$D$405)=70%)</f>
        <v>N/A</v>
      </c>
      <c r="W405" s="897" t="str">
        <f>IF(OR('T2 MET'!$A$5="Met Office",'T2 MET'!$A$5="NSA"),"N/A",ROUND('T2 MET'!G36,$D$405)=70%)</f>
        <v>N/A</v>
      </c>
    </row>
    <row r="406" spans="1:23" s="900" customFormat="1" outlineLevel="1">
      <c r="A406" s="893"/>
      <c r="B406" s="894"/>
      <c r="C406" s="898" t="s">
        <v>270</v>
      </c>
      <c r="D406" s="899"/>
      <c r="E406" s="889"/>
      <c r="F406" s="889"/>
      <c r="G406" s="889"/>
      <c r="H406" s="889"/>
      <c r="I406" s="889"/>
      <c r="R406" s="163"/>
      <c r="S406" s="911" t="str">
        <f>IF(OR('T2 MET'!$A$5="Met Office",'T2 MET'!$A$5="NSA"),"N/A",ROUND('T2 MET'!C36,$D$405))</f>
        <v>N/A</v>
      </c>
      <c r="T406" s="911" t="str">
        <f>IF(OR('T2 MET'!$A$5="Met Office",'T2 MET'!$A$5="NSA"),"N/A",ROUND('T2 MET'!D36,$D$405))</f>
        <v>N/A</v>
      </c>
      <c r="U406" s="911" t="str">
        <f>IF(OR('T2 MET'!$A$5="Met Office",'T2 MET'!$A$5="NSA"),"N/A",ROUND('T2 MET'!E36,$D$405))</f>
        <v>N/A</v>
      </c>
      <c r="V406" s="911" t="str">
        <f>IF(OR('T2 MET'!$A$5="Met Office",'T2 MET'!$A$5="NSA"),"N/A",ROUND('T2 MET'!F36,$D$405))</f>
        <v>N/A</v>
      </c>
      <c r="W406" s="911" t="str">
        <f>IF(OR('T2 MET'!$A$5="Met Office",'T2 MET'!$A$5="NSA"),"N/A",ROUND('T2 MET'!G36,$D$405))</f>
        <v>N/A</v>
      </c>
    </row>
    <row r="407" spans="1:23" s="896" customFormat="1">
      <c r="A407" s="893" t="s">
        <v>271</v>
      </c>
      <c r="B407" s="894" t="s">
        <v>272</v>
      </c>
      <c r="C407" s="895" t="s">
        <v>273</v>
      </c>
      <c r="D407" s="881">
        <v>2</v>
      </c>
      <c r="E407" s="889"/>
      <c r="F407" s="889"/>
      <c r="G407" s="889"/>
      <c r="H407" s="889"/>
      <c r="I407" s="889"/>
      <c r="N407" s="900"/>
      <c r="R407" s="163"/>
      <c r="S407" s="897" t="str">
        <f>IF(OR('T2 MET'!$A$5="Met Office",'T2 MET'!$A$5="NSA"),"N/A",ROUND('T2 MET'!C37,$D$407)=10%)</f>
        <v>N/A</v>
      </c>
      <c r="T407" s="897" t="str">
        <f>IF(OR('T2 MET'!$A$5="Met Office",'T2 MET'!$A$5="NSA"),"N/A",ROUND('T2 MET'!D37,$D$407)=10%)</f>
        <v>N/A</v>
      </c>
      <c r="U407" s="897" t="str">
        <f>IF(OR('T2 MET'!$A$5="Met Office",'T2 MET'!$A$5="NSA"),"N/A",ROUND('T2 MET'!E37,$D$407)=10%)</f>
        <v>N/A</v>
      </c>
      <c r="V407" s="897" t="str">
        <f>IF(OR('T2 MET'!$A$5="Met Office",'T2 MET'!$A$5="NSA"),"N/A",ROUND('T2 MET'!F37,$D$407)=10%)</f>
        <v>N/A</v>
      </c>
      <c r="W407" s="897" t="str">
        <f>IF(OR('T2 MET'!$A$5="Met Office",'T2 MET'!$A$5="NSA"),"N/A",ROUND('T2 MET'!G37,$D$407)=10%)</f>
        <v>N/A</v>
      </c>
    </row>
    <row r="408" spans="1:23" s="900" customFormat="1" outlineLevel="1">
      <c r="A408" s="893"/>
      <c r="B408" s="894"/>
      <c r="C408" s="898" t="s">
        <v>262</v>
      </c>
      <c r="D408" s="899"/>
      <c r="E408" s="889"/>
      <c r="F408" s="889"/>
      <c r="G408" s="889"/>
      <c r="H408" s="889"/>
      <c r="I408" s="889"/>
      <c r="R408" s="163"/>
      <c r="S408" s="911" t="str">
        <f>IF(OR('T2 MET'!$A$5="Met Office",'T2 MET'!$A$5="NSA"),"N/A",ROUND('T2 MET'!C37,$D$407))</f>
        <v>N/A</v>
      </c>
      <c r="T408" s="911" t="str">
        <f>IF(OR('T2 MET'!$A$5="Met Office",'T2 MET'!$A$5="NSA"),"N/A",ROUND('T2 MET'!D37,$D$407))</f>
        <v>N/A</v>
      </c>
      <c r="U408" s="911" t="str">
        <f>IF(OR('T2 MET'!$A$5="Met Office",'T2 MET'!$A$5="NSA"),"N/A",ROUND('T2 MET'!E37,$D$407))</f>
        <v>N/A</v>
      </c>
      <c r="V408" s="911" t="str">
        <f>IF(OR('T2 MET'!$A$5="Met Office",'T2 MET'!$A$5="NSA"),"N/A",ROUND('T2 MET'!F37,$D$407))</f>
        <v>N/A</v>
      </c>
      <c r="W408" s="911" t="str">
        <f>IF(OR('T2 MET'!$A$5="Met Office",'T2 MET'!$A$5="NSA"),"N/A",ROUND('T2 MET'!G37,$D$407))</f>
        <v>N/A</v>
      </c>
    </row>
    <row r="409" spans="1:23" s="896" customFormat="1">
      <c r="A409" s="893" t="s">
        <v>165</v>
      </c>
      <c r="B409" s="894" t="s">
        <v>166</v>
      </c>
      <c r="C409" s="895" t="s">
        <v>167</v>
      </c>
      <c r="D409" s="881">
        <v>3</v>
      </c>
      <c r="E409" s="889"/>
      <c r="F409" s="889"/>
      <c r="G409" s="889"/>
      <c r="H409" s="889"/>
      <c r="I409" s="889"/>
      <c r="N409" s="900"/>
      <c r="R409" s="163"/>
      <c r="S409" s="897" t="b">
        <f>ROUND('T2 MET'!C38,$D$409)=ROUND('T1 MET'!K68,$D$409)</f>
        <v>1</v>
      </c>
      <c r="T409" s="897" t="b">
        <f>ROUND('T2 MET'!D38,$D$409)=ROUND('T1 MET'!L68,$D$409)</f>
        <v>1</v>
      </c>
      <c r="U409" s="897" t="b">
        <f>ROUND('T2 MET'!E38,$D$409)=ROUND('T1 MET'!M68,$D$409)</f>
        <v>1</v>
      </c>
      <c r="V409" s="897" t="b">
        <f>ROUND('T2 MET'!F38,$D$409)=ROUND('T1 MET'!N68,$D$409)</f>
        <v>1</v>
      </c>
      <c r="W409" s="897" t="b">
        <f>ROUND('T2 MET'!G38,$D$409)=ROUND('T1 MET'!O68,$D$409)</f>
        <v>1</v>
      </c>
    </row>
    <row r="410" spans="1:23" s="900" customFormat="1" outlineLevel="1">
      <c r="A410" s="893"/>
      <c r="B410" s="894"/>
      <c r="C410" s="898" t="s">
        <v>168</v>
      </c>
      <c r="D410" s="899"/>
      <c r="E410" s="889"/>
      <c r="F410" s="889"/>
      <c r="G410" s="889"/>
      <c r="H410" s="889"/>
      <c r="I410" s="889"/>
      <c r="R410" s="163"/>
      <c r="S410" s="901">
        <f>ROUND('T2 MET'!C38,$D$409)</f>
        <v>12647.945</v>
      </c>
      <c r="T410" s="901">
        <f>ROUND('T2 MET'!D38,$D$409)</f>
        <v>12891</v>
      </c>
      <c r="U410" s="901">
        <f>ROUND('T2 MET'!E38,$D$409)</f>
        <v>13183</v>
      </c>
      <c r="V410" s="901">
        <f>ROUND('T2 MET'!F38,$D$409)</f>
        <v>11715</v>
      </c>
      <c r="W410" s="901">
        <f>ROUND('T2 MET'!G38,$D$409)</f>
        <v>12228</v>
      </c>
    </row>
    <row r="411" spans="1:23" s="900" customFormat="1" outlineLevel="1">
      <c r="A411" s="893"/>
      <c r="B411" s="894"/>
      <c r="C411" s="898" t="s">
        <v>169</v>
      </c>
      <c r="D411" s="899"/>
      <c r="E411" s="889"/>
      <c r="F411" s="889"/>
      <c r="G411" s="889"/>
      <c r="H411" s="889"/>
      <c r="I411" s="889"/>
      <c r="R411" s="163"/>
      <c r="S411" s="901">
        <f>ROUND('T1 MET'!K68,$D$409)</f>
        <v>12647.945</v>
      </c>
      <c r="T411" s="901">
        <f>ROUND('T1 MET'!L68,$D$409)</f>
        <v>12891</v>
      </c>
      <c r="U411" s="901">
        <f>ROUND('T1 MET'!M68,$D$409)</f>
        <v>13183</v>
      </c>
      <c r="V411" s="901">
        <f>ROUND('T1 MET'!N68,$D$409)</f>
        <v>11715</v>
      </c>
      <c r="W411" s="901">
        <f>ROUND('T1 MET'!O68,$D$409)</f>
        <v>12228</v>
      </c>
    </row>
    <row r="412" spans="1:23" s="896" customFormat="1">
      <c r="A412" s="893" t="s">
        <v>170</v>
      </c>
      <c r="B412" s="894">
        <v>4.7</v>
      </c>
      <c r="C412" s="903" t="s">
        <v>171</v>
      </c>
      <c r="D412" s="881">
        <v>3</v>
      </c>
      <c r="E412" s="889"/>
      <c r="F412" s="889"/>
      <c r="G412" s="889"/>
      <c r="H412" s="889"/>
      <c r="I412" s="889"/>
      <c r="J412" s="889"/>
      <c r="K412" s="889"/>
      <c r="L412" s="889"/>
      <c r="M412" s="889"/>
      <c r="N412" s="889"/>
      <c r="R412" s="163"/>
    </row>
    <row r="413" spans="1:23" s="900" customFormat="1" outlineLevel="1">
      <c r="A413" s="893"/>
      <c r="B413" s="894"/>
      <c r="C413" s="904" t="s">
        <v>172</v>
      </c>
      <c r="D413" s="905"/>
      <c r="E413" s="889"/>
      <c r="F413" s="889"/>
      <c r="G413" s="889"/>
      <c r="H413" s="889"/>
      <c r="I413" s="889"/>
      <c r="J413" s="889"/>
      <c r="K413" s="889"/>
      <c r="L413" s="889"/>
      <c r="M413" s="889"/>
      <c r="N413" s="889"/>
      <c r="R413" s="163"/>
    </row>
    <row r="414" spans="1:23" s="900" customFormat="1" outlineLevel="1">
      <c r="A414" s="893"/>
      <c r="B414" s="894"/>
      <c r="C414" s="904" t="s">
        <v>173</v>
      </c>
      <c r="D414" s="905"/>
      <c r="E414" s="889"/>
      <c r="F414" s="889"/>
      <c r="G414" s="889"/>
      <c r="H414" s="889"/>
      <c r="I414" s="889"/>
      <c r="J414" s="889"/>
      <c r="K414" s="889"/>
      <c r="L414" s="889"/>
      <c r="M414" s="889"/>
      <c r="N414" s="889"/>
      <c r="R414" s="163"/>
    </row>
    <row r="415" spans="1:23" s="896" customFormat="1">
      <c r="A415" s="893" t="s">
        <v>174</v>
      </c>
      <c r="B415" s="894">
        <v>4.8</v>
      </c>
      <c r="C415" s="903" t="s">
        <v>175</v>
      </c>
      <c r="D415" s="881">
        <v>3</v>
      </c>
      <c r="E415" s="889"/>
      <c r="F415" s="889"/>
      <c r="G415" s="889"/>
      <c r="H415" s="889"/>
      <c r="I415" s="889"/>
      <c r="J415" s="889"/>
      <c r="K415" s="889"/>
      <c r="L415" s="889"/>
      <c r="M415" s="889"/>
      <c r="N415" s="889"/>
      <c r="R415" s="163"/>
    </row>
    <row r="416" spans="1:23" s="900" customFormat="1" outlineLevel="1">
      <c r="A416" s="893"/>
      <c r="B416" s="894"/>
      <c r="C416" s="904" t="s">
        <v>176</v>
      </c>
      <c r="D416" s="905"/>
      <c r="E416" s="889"/>
      <c r="F416" s="889"/>
      <c r="G416" s="889"/>
      <c r="H416" s="889"/>
      <c r="I416" s="889"/>
      <c r="J416" s="889"/>
      <c r="K416" s="889"/>
      <c r="L416" s="889"/>
      <c r="M416" s="889"/>
      <c r="N416" s="889"/>
      <c r="R416" s="163"/>
    </row>
    <row r="417" spans="1:18" s="900" customFormat="1" outlineLevel="1">
      <c r="A417" s="893"/>
      <c r="B417" s="894"/>
      <c r="C417" s="904" t="s">
        <v>177</v>
      </c>
      <c r="D417" s="905"/>
      <c r="E417" s="889"/>
      <c r="F417" s="889"/>
      <c r="G417" s="889"/>
      <c r="H417" s="889"/>
      <c r="I417" s="889"/>
      <c r="J417" s="889"/>
      <c r="K417" s="889"/>
      <c r="L417" s="889"/>
      <c r="M417" s="889"/>
      <c r="N417" s="889"/>
      <c r="R417" s="163"/>
    </row>
    <row r="418" spans="1:18" s="896" customFormat="1">
      <c r="A418" s="893" t="s">
        <v>178</v>
      </c>
      <c r="B418" s="894" t="s">
        <v>179</v>
      </c>
      <c r="C418" s="903" t="s">
        <v>180</v>
      </c>
      <c r="D418" s="881">
        <v>3</v>
      </c>
      <c r="E418" s="889"/>
      <c r="F418" s="889"/>
      <c r="G418" s="889"/>
      <c r="H418" s="889"/>
      <c r="I418" s="889"/>
      <c r="J418" s="889"/>
      <c r="K418" s="889"/>
      <c r="L418" s="889"/>
      <c r="M418" s="889"/>
      <c r="N418" s="889"/>
      <c r="R418" s="163"/>
    </row>
    <row r="419" spans="1:18" s="900" customFormat="1" outlineLevel="1">
      <c r="A419" s="893"/>
      <c r="B419" s="894"/>
      <c r="C419" s="904" t="s">
        <v>181</v>
      </c>
      <c r="D419" s="899"/>
      <c r="E419" s="889"/>
      <c r="F419" s="889"/>
      <c r="G419" s="889"/>
      <c r="H419" s="889"/>
      <c r="I419" s="889"/>
      <c r="J419" s="889"/>
      <c r="K419" s="889"/>
      <c r="L419" s="889"/>
      <c r="M419" s="889"/>
      <c r="N419" s="889"/>
      <c r="R419" s="163"/>
    </row>
    <row r="420" spans="1:18" s="900" customFormat="1" outlineLevel="1">
      <c r="A420" s="893"/>
      <c r="B420" s="894"/>
      <c r="C420" s="904" t="s">
        <v>182</v>
      </c>
      <c r="D420" s="899"/>
      <c r="E420" s="889"/>
      <c r="F420" s="889"/>
      <c r="G420" s="889"/>
      <c r="H420" s="889"/>
      <c r="I420" s="889"/>
      <c r="J420" s="889"/>
      <c r="K420" s="889"/>
      <c r="L420" s="889"/>
      <c r="M420" s="889"/>
      <c r="N420" s="889"/>
      <c r="R420" s="163"/>
    </row>
    <row r="421" spans="1:18" s="896" customFormat="1">
      <c r="A421" s="893" t="s">
        <v>183</v>
      </c>
      <c r="B421" s="894" t="s">
        <v>34</v>
      </c>
      <c r="C421" s="895" t="s">
        <v>184</v>
      </c>
      <c r="D421" s="881">
        <v>3</v>
      </c>
      <c r="E421" s="889"/>
      <c r="F421" s="889"/>
      <c r="G421" s="889"/>
      <c r="H421" s="889"/>
      <c r="I421" s="889"/>
      <c r="J421" s="889"/>
      <c r="K421" s="889"/>
      <c r="L421" s="889"/>
      <c r="M421" s="889"/>
      <c r="N421" s="889"/>
      <c r="R421" s="163"/>
    </row>
    <row r="422" spans="1:18" s="900" customFormat="1" outlineLevel="1">
      <c r="A422" s="893"/>
      <c r="B422" s="894"/>
      <c r="C422" s="898" t="s">
        <v>185</v>
      </c>
      <c r="D422" s="899"/>
      <c r="E422" s="889"/>
      <c r="F422" s="889"/>
      <c r="G422" s="889"/>
      <c r="H422" s="889"/>
      <c r="I422" s="889"/>
      <c r="J422" s="889"/>
      <c r="K422" s="889"/>
      <c r="L422" s="889"/>
      <c r="M422" s="889"/>
      <c r="N422" s="889"/>
      <c r="R422" s="163"/>
    </row>
    <row r="423" spans="1:18" s="900" customFormat="1" outlineLevel="1">
      <c r="A423" s="893"/>
      <c r="B423" s="894"/>
      <c r="C423" s="898" t="s">
        <v>186</v>
      </c>
      <c r="D423" s="899"/>
      <c r="E423" s="889"/>
      <c r="F423" s="889"/>
      <c r="G423" s="889"/>
      <c r="H423" s="889"/>
      <c r="I423" s="889"/>
      <c r="J423" s="889"/>
      <c r="K423" s="889"/>
      <c r="L423" s="889"/>
      <c r="M423" s="889"/>
      <c r="N423" s="889"/>
      <c r="R423" s="163"/>
    </row>
    <row r="424" spans="1:18" s="896" customFormat="1">
      <c r="A424" s="893" t="s">
        <v>183</v>
      </c>
      <c r="B424" s="894" t="s">
        <v>38</v>
      </c>
      <c r="C424" s="895" t="s">
        <v>187</v>
      </c>
      <c r="D424" s="881">
        <v>3</v>
      </c>
      <c r="E424" s="889"/>
      <c r="F424" s="889"/>
      <c r="G424" s="889"/>
      <c r="H424" s="889"/>
      <c r="I424" s="889"/>
      <c r="J424" s="889"/>
      <c r="K424" s="889"/>
      <c r="L424" s="889"/>
      <c r="M424" s="889"/>
      <c r="N424" s="889"/>
      <c r="R424" s="163"/>
    </row>
    <row r="425" spans="1:18" s="900" customFormat="1" outlineLevel="1">
      <c r="A425" s="893"/>
      <c r="B425" s="894"/>
      <c r="C425" s="898" t="s">
        <v>185</v>
      </c>
      <c r="D425" s="899"/>
      <c r="E425" s="889"/>
      <c r="F425" s="889"/>
      <c r="G425" s="889"/>
      <c r="H425" s="889"/>
      <c r="I425" s="889"/>
      <c r="J425" s="889"/>
      <c r="K425" s="889"/>
      <c r="L425" s="889"/>
      <c r="M425" s="889"/>
      <c r="N425" s="889"/>
      <c r="R425" s="163"/>
    </row>
    <row r="426" spans="1:18" s="900" customFormat="1" outlineLevel="1">
      <c r="A426" s="893"/>
      <c r="B426" s="894"/>
      <c r="C426" s="898" t="s">
        <v>186</v>
      </c>
      <c r="D426" s="899"/>
      <c r="E426" s="889"/>
      <c r="F426" s="889"/>
      <c r="G426" s="889"/>
      <c r="H426" s="889"/>
      <c r="I426" s="889"/>
      <c r="J426" s="889"/>
      <c r="K426" s="889"/>
      <c r="L426" s="889"/>
      <c r="M426" s="889"/>
      <c r="N426" s="889"/>
      <c r="R426" s="163"/>
    </row>
    <row r="427" spans="1:18" s="896" customFormat="1">
      <c r="A427" s="893" t="s">
        <v>183</v>
      </c>
      <c r="B427" s="894" t="s">
        <v>58</v>
      </c>
      <c r="C427" s="895" t="s">
        <v>188</v>
      </c>
      <c r="D427" s="881">
        <v>3</v>
      </c>
      <c r="E427" s="889"/>
      <c r="F427" s="889"/>
      <c r="G427" s="889"/>
      <c r="H427" s="889"/>
      <c r="I427" s="889"/>
      <c r="J427" s="889"/>
      <c r="K427" s="889"/>
      <c r="L427" s="889"/>
      <c r="M427" s="889"/>
      <c r="N427" s="889"/>
      <c r="R427" s="163"/>
    </row>
    <row r="428" spans="1:18" s="900" customFormat="1" outlineLevel="1">
      <c r="A428" s="893"/>
      <c r="B428" s="894"/>
      <c r="C428" s="898" t="s">
        <v>189</v>
      </c>
      <c r="D428" s="899"/>
      <c r="E428" s="889"/>
      <c r="F428" s="889"/>
      <c r="G428" s="889"/>
      <c r="H428" s="889"/>
      <c r="I428" s="889"/>
      <c r="J428" s="889"/>
      <c r="K428" s="889"/>
      <c r="L428" s="889"/>
      <c r="M428" s="889"/>
      <c r="N428" s="889"/>
      <c r="R428" s="163"/>
    </row>
    <row r="429" spans="1:18" s="900" customFormat="1" outlineLevel="1">
      <c r="A429" s="893"/>
      <c r="B429" s="894"/>
      <c r="C429" s="898" t="s">
        <v>190</v>
      </c>
      <c r="D429" s="899"/>
      <c r="E429" s="889"/>
      <c r="F429" s="889"/>
      <c r="G429" s="889"/>
      <c r="H429" s="889"/>
      <c r="I429" s="889"/>
      <c r="J429" s="889"/>
      <c r="K429" s="889"/>
      <c r="L429" s="889"/>
      <c r="M429" s="889"/>
      <c r="N429" s="889"/>
      <c r="R429" s="163"/>
    </row>
    <row r="430" spans="1:18" s="896" customFormat="1">
      <c r="A430" s="893" t="s">
        <v>191</v>
      </c>
      <c r="B430" s="894" t="s">
        <v>192</v>
      </c>
      <c r="C430" s="895" t="s">
        <v>193</v>
      </c>
      <c r="D430" s="881">
        <v>3</v>
      </c>
      <c r="E430" s="889"/>
      <c r="F430" s="889"/>
      <c r="G430" s="889"/>
      <c r="H430" s="889"/>
      <c r="I430" s="889"/>
      <c r="J430" s="889"/>
      <c r="K430" s="889"/>
      <c r="L430" s="889"/>
      <c r="M430" s="889"/>
      <c r="N430" s="889"/>
      <c r="R430" s="163"/>
    </row>
    <row r="431" spans="1:18" s="900" customFormat="1" outlineLevel="1">
      <c r="A431" s="893"/>
      <c r="B431" s="894"/>
      <c r="C431" s="898" t="s">
        <v>194</v>
      </c>
      <c r="D431" s="899"/>
      <c r="E431" s="889"/>
      <c r="F431" s="889"/>
      <c r="G431" s="889"/>
      <c r="H431" s="889"/>
      <c r="I431" s="889"/>
      <c r="J431" s="889"/>
      <c r="K431" s="889"/>
      <c r="L431" s="889"/>
      <c r="M431" s="889"/>
      <c r="N431" s="889"/>
      <c r="R431" s="163"/>
    </row>
    <row r="432" spans="1:18" s="900" customFormat="1" outlineLevel="1">
      <c r="A432" s="893"/>
      <c r="B432" s="894"/>
      <c r="C432" s="883" t="s">
        <v>195</v>
      </c>
      <c r="D432" s="899"/>
      <c r="E432" s="889"/>
      <c r="F432" s="889"/>
      <c r="G432" s="889"/>
      <c r="H432" s="889"/>
      <c r="I432" s="889"/>
      <c r="J432" s="889"/>
      <c r="K432" s="889"/>
      <c r="L432" s="889"/>
      <c r="M432" s="889"/>
      <c r="N432" s="889"/>
      <c r="R432" s="163"/>
    </row>
    <row r="433" spans="1:23" s="896" customFormat="1">
      <c r="A433" s="893" t="s">
        <v>196</v>
      </c>
      <c r="B433" s="894" t="s">
        <v>197</v>
      </c>
      <c r="C433" s="895" t="s">
        <v>198</v>
      </c>
      <c r="D433" s="881">
        <v>3</v>
      </c>
      <c r="E433" s="889"/>
      <c r="F433" s="889"/>
      <c r="G433" s="889"/>
      <c r="H433" s="889"/>
      <c r="I433" s="889"/>
      <c r="J433" s="889"/>
      <c r="K433" s="889"/>
      <c r="L433" s="889"/>
      <c r="M433" s="889"/>
      <c r="N433" s="889"/>
      <c r="R433" s="163"/>
    </row>
    <row r="434" spans="1:23" s="900" customFormat="1" outlineLevel="1">
      <c r="A434" s="893"/>
      <c r="B434" s="894"/>
      <c r="C434" s="898" t="s">
        <v>199</v>
      </c>
      <c r="D434" s="899"/>
      <c r="E434" s="889"/>
      <c r="F434" s="889"/>
      <c r="G434" s="889"/>
      <c r="H434" s="889"/>
      <c r="I434" s="889"/>
      <c r="J434" s="889"/>
      <c r="K434" s="889"/>
      <c r="L434" s="889"/>
      <c r="M434" s="889"/>
      <c r="N434" s="889"/>
      <c r="R434" s="163"/>
    </row>
    <row r="435" spans="1:23" s="900" customFormat="1" outlineLevel="1">
      <c r="A435" s="893"/>
      <c r="B435" s="894"/>
      <c r="C435" s="883" t="s">
        <v>200</v>
      </c>
      <c r="D435" s="899"/>
      <c r="E435" s="889"/>
      <c r="F435" s="889"/>
      <c r="G435" s="889"/>
      <c r="H435" s="889"/>
      <c r="I435" s="889"/>
      <c r="J435" s="889"/>
      <c r="K435" s="889"/>
      <c r="L435" s="889"/>
      <c r="M435" s="889"/>
      <c r="N435" s="889"/>
      <c r="R435" s="163"/>
    </row>
    <row r="436" spans="1:23" s="896" customFormat="1">
      <c r="A436" s="893" t="s">
        <v>133</v>
      </c>
      <c r="B436" s="894" t="s">
        <v>201</v>
      </c>
      <c r="C436" s="895" t="s">
        <v>202</v>
      </c>
      <c r="D436" s="881">
        <v>3</v>
      </c>
      <c r="E436" s="889"/>
      <c r="F436" s="889"/>
      <c r="G436" s="889"/>
      <c r="H436" s="889"/>
      <c r="I436" s="889"/>
      <c r="R436" s="163"/>
      <c r="S436" s="897" t="b">
        <f>ROUND('T2 MET'!C81,$D$436)=ROUND('T2 MET'!C12,$D$436)</f>
        <v>1</v>
      </c>
      <c r="T436" s="897" t="b">
        <f>ROUND('T2 MET'!D81,$D$436)=ROUND('T2 MET'!D12,$D$436)</f>
        <v>1</v>
      </c>
      <c r="U436" s="897" t="b">
        <f>ROUND('T2 MET'!E81,$D$436)=ROUND('T2 MET'!E12,$D$436)</f>
        <v>1</v>
      </c>
      <c r="V436" s="897" t="b">
        <f>ROUND('T2 MET'!F81,$D$436)=ROUND('T2 MET'!F12,$D$436)</f>
        <v>1</v>
      </c>
      <c r="W436" s="897" t="b">
        <f>ROUND('T2 MET'!G81,$D$436)=ROUND('T2 MET'!G12,$D$436)</f>
        <v>1</v>
      </c>
    </row>
    <row r="437" spans="1:23" s="900" customFormat="1" outlineLevel="1">
      <c r="A437" s="893"/>
      <c r="B437" s="894"/>
      <c r="C437" s="898" t="s">
        <v>203</v>
      </c>
      <c r="D437" s="899"/>
      <c r="E437" s="889"/>
      <c r="F437" s="889"/>
      <c r="G437" s="889"/>
      <c r="H437" s="889"/>
      <c r="I437" s="889"/>
      <c r="R437" s="163"/>
      <c r="S437" s="901">
        <f>ROUND('T2 MET'!C81,$D$436)</f>
        <v>30937.955000000002</v>
      </c>
      <c r="T437" s="901">
        <f>ROUND('T2 MET'!D81,$D$436)</f>
        <v>30193.923999999999</v>
      </c>
      <c r="U437" s="901">
        <f>ROUND('T2 MET'!E81,$D$436)</f>
        <v>31631.805</v>
      </c>
      <c r="V437" s="901">
        <f>ROUND('T2 MET'!F81,$D$436)</f>
        <v>33079.186999999998</v>
      </c>
      <c r="W437" s="901">
        <f>ROUND('T2 MET'!G81,$D$436)</f>
        <v>38640.665999999997</v>
      </c>
    </row>
    <row r="438" spans="1:23" s="900" customFormat="1" outlineLevel="1">
      <c r="A438" s="893"/>
      <c r="B438" s="894"/>
      <c r="C438" s="898" t="s">
        <v>204</v>
      </c>
      <c r="D438" s="899"/>
      <c r="E438" s="889"/>
      <c r="F438" s="889"/>
      <c r="G438" s="889"/>
      <c r="H438" s="889"/>
      <c r="I438" s="889"/>
      <c r="R438" s="163"/>
      <c r="S438" s="901">
        <f>ROUND('T2 MET'!C12,$D$436)</f>
        <v>30937.955000000002</v>
      </c>
      <c r="T438" s="901">
        <f>ROUND('T2 MET'!D12,$D$436)</f>
        <v>30193.923999999999</v>
      </c>
      <c r="U438" s="901">
        <f>ROUND('T2 MET'!E12,$D$436)</f>
        <v>31631.805</v>
      </c>
      <c r="V438" s="901">
        <f>ROUND('T2 MET'!F12,$D$436)</f>
        <v>33079.186999999998</v>
      </c>
      <c r="W438" s="901">
        <f>ROUND('T2 MET'!G12,$D$436)</f>
        <v>38640.665999999997</v>
      </c>
    </row>
    <row r="439" spans="1:23">
      <c r="A439" s="893" t="s">
        <v>205</v>
      </c>
      <c r="B439" s="894" t="s">
        <v>206</v>
      </c>
      <c r="C439" s="906" t="s">
        <v>207</v>
      </c>
      <c r="D439" s="881">
        <v>3</v>
      </c>
      <c r="E439" s="889"/>
      <c r="F439" s="889"/>
      <c r="G439" s="889"/>
      <c r="H439" s="889"/>
      <c r="I439" s="889"/>
      <c r="J439" s="163"/>
      <c r="K439" s="163"/>
      <c r="L439" s="163"/>
      <c r="S439" s="897" t="b">
        <f>ROUND('T2 MET'!C82,$D$439)=ROUND('T3 MET'!E17,$D$439)</f>
        <v>0</v>
      </c>
      <c r="T439" s="897" t="b">
        <f>ROUND('T2 MET'!D82,$D$439)=ROUND('T3 MET'!F17,$D$439)</f>
        <v>0</v>
      </c>
      <c r="U439" s="897" t="b">
        <f>ROUND('T2 MET'!E82,$D$439)=ROUND('T3 MET'!G17,$D$439)</f>
        <v>0</v>
      </c>
      <c r="V439" s="897" t="b">
        <f>ROUND('T2 MET'!F82,$D$439)=ROUND('T3 MET'!H17,$D$439)</f>
        <v>0</v>
      </c>
      <c r="W439" s="897" t="b">
        <f>ROUND('T2 MET'!G82,$D$439)=ROUND('T3 MET'!I17,$D$439)</f>
        <v>1</v>
      </c>
    </row>
    <row r="440" spans="1:23" outlineLevel="1">
      <c r="A440" s="894"/>
      <c r="B440" s="894"/>
      <c r="C440" s="907" t="s">
        <v>208</v>
      </c>
      <c r="D440" s="908"/>
      <c r="E440" s="889"/>
      <c r="F440" s="889"/>
      <c r="G440" s="889"/>
      <c r="H440" s="889"/>
      <c r="I440" s="889"/>
      <c r="J440" s="163"/>
      <c r="K440" s="163"/>
      <c r="L440" s="163"/>
      <c r="S440" s="901">
        <f>ROUND('T2 MET'!C82,$D$439)</f>
        <v>-610</v>
      </c>
      <c r="T440" s="901">
        <f>ROUND('T2 MET'!D82,$D$439)</f>
        <v>-658.94399999999996</v>
      </c>
      <c r="U440" s="901">
        <f>ROUND('T2 MET'!E82,$D$439)</f>
        <v>-336.85</v>
      </c>
      <c r="V440" s="901">
        <f>ROUND('T2 MET'!F82,$D$439)</f>
        <v>-153.071</v>
      </c>
      <c r="W440" s="901">
        <f>ROUND('T2 MET'!G82,$D$439)</f>
        <v>0</v>
      </c>
    </row>
    <row r="441" spans="1:23" outlineLevel="1">
      <c r="A441" s="894"/>
      <c r="B441" s="894"/>
      <c r="C441" s="907" t="s">
        <v>209</v>
      </c>
      <c r="D441" s="908"/>
      <c r="E441" s="889"/>
      <c r="F441" s="889"/>
      <c r="G441" s="889"/>
      <c r="H441" s="889"/>
      <c r="I441" s="889"/>
      <c r="J441" s="163"/>
      <c r="K441" s="163"/>
      <c r="L441" s="163"/>
      <c r="S441" s="901">
        <f>ROUND('T3 MET'!E17,$D$439)</f>
        <v>0</v>
      </c>
      <c r="T441" s="901">
        <f>ROUND('T3 MET'!F17,$D$439)</f>
        <v>0</v>
      </c>
      <c r="U441" s="901">
        <f>ROUND('T3 MET'!G17,$D$439)</f>
        <v>0</v>
      </c>
      <c r="V441" s="901">
        <f>ROUND('T3 MET'!H17,$D$439)</f>
        <v>0</v>
      </c>
      <c r="W441" s="901">
        <f>ROUND('T3 MET'!I17,$D$439)</f>
        <v>0</v>
      </c>
    </row>
    <row r="442" spans="1:23">
      <c r="A442" s="894" t="s">
        <v>210</v>
      </c>
      <c r="B442" s="894" t="s">
        <v>211</v>
      </c>
      <c r="C442" s="906" t="s">
        <v>212</v>
      </c>
      <c r="D442" s="881">
        <v>3</v>
      </c>
      <c r="E442" s="889"/>
      <c r="F442" s="889"/>
      <c r="G442" s="889"/>
      <c r="H442" s="889"/>
      <c r="I442" s="889"/>
      <c r="J442" s="163"/>
      <c r="K442" s="163"/>
      <c r="L442" s="163"/>
      <c r="S442" s="897" t="b">
        <f>ROUND('T2 MET'!C83,$D$442)=ROUND('T3 MET'!E28,$D$442)</f>
        <v>1</v>
      </c>
      <c r="T442" s="897" t="b">
        <f>ROUND('T2 MET'!D83,$D$442)=ROUND('T3 MET'!F28,$D$442)</f>
        <v>1</v>
      </c>
      <c r="U442" s="897" t="b">
        <f>ROUND('T2 MET'!E83,$D$442)=ROUND('T3 MET'!G28,$D$442)</f>
        <v>1</v>
      </c>
      <c r="V442" s="897" t="b">
        <f>ROUND('T2 MET'!F83,$D$442)=ROUND('T3 MET'!H28,$D$442)</f>
        <v>1</v>
      </c>
      <c r="W442" s="897" t="b">
        <f>ROUND('T2 MET'!G83,$D$442)=ROUND('T3 MET'!I28,$D$442)</f>
        <v>1</v>
      </c>
    </row>
    <row r="443" spans="1:23" outlineLevel="1">
      <c r="A443" s="894"/>
      <c r="B443" s="894"/>
      <c r="C443" s="907" t="s">
        <v>208</v>
      </c>
      <c r="D443" s="908"/>
      <c r="E443" s="889"/>
      <c r="F443" s="889"/>
      <c r="G443" s="889"/>
      <c r="H443" s="889"/>
      <c r="I443" s="889"/>
      <c r="J443" s="163"/>
      <c r="K443" s="163"/>
      <c r="L443" s="163"/>
      <c r="S443" s="901">
        <f>ROUND('T2 MET'!C83,$D$442)</f>
        <v>0</v>
      </c>
      <c r="T443" s="901">
        <f>ROUND('T2 MET'!D83,$D$442)</f>
        <v>0</v>
      </c>
      <c r="U443" s="901">
        <f>ROUND('T2 MET'!E83,$D$442)</f>
        <v>0</v>
      </c>
      <c r="V443" s="901">
        <f>ROUND('T2 MET'!F83,$D$442)</f>
        <v>0</v>
      </c>
      <c r="W443" s="901">
        <f>ROUND('T2 MET'!G83,$D$442)</f>
        <v>0</v>
      </c>
    </row>
    <row r="444" spans="1:23" outlineLevel="1">
      <c r="A444" s="894"/>
      <c r="B444" s="894"/>
      <c r="C444" s="907" t="s">
        <v>209</v>
      </c>
      <c r="D444" s="908"/>
      <c r="E444" s="889"/>
      <c r="F444" s="889"/>
      <c r="G444" s="889"/>
      <c r="H444" s="889"/>
      <c r="I444" s="889"/>
      <c r="J444" s="163"/>
      <c r="K444" s="163"/>
      <c r="L444" s="163"/>
      <c r="S444" s="901">
        <f>ROUND('T3 MET'!E28,$D$442)</f>
        <v>0</v>
      </c>
      <c r="T444" s="901">
        <f>ROUND('T3 MET'!F28,$D$442)</f>
        <v>0</v>
      </c>
      <c r="U444" s="901">
        <f>ROUND('T3 MET'!G28,$D$442)</f>
        <v>0</v>
      </c>
      <c r="V444" s="901">
        <f>ROUND('T3 MET'!H28,$D$442)</f>
        <v>0</v>
      </c>
      <c r="W444" s="901">
        <f>ROUND('T3 MET'!I28,$D$442)</f>
        <v>0</v>
      </c>
    </row>
    <row r="445" spans="1:23">
      <c r="A445" s="894" t="s">
        <v>213</v>
      </c>
      <c r="B445" s="894" t="s">
        <v>214</v>
      </c>
      <c r="C445" s="906" t="s">
        <v>215</v>
      </c>
      <c r="D445" s="881">
        <v>3</v>
      </c>
      <c r="E445" s="889"/>
      <c r="F445" s="889"/>
      <c r="G445" s="889"/>
      <c r="H445" s="889"/>
      <c r="I445" s="889"/>
      <c r="J445" s="163"/>
      <c r="K445" s="163"/>
      <c r="L445" s="163"/>
      <c r="S445" s="897" t="b">
        <f>ROUND('T2 MET'!C84,$D$445)=ROUND('T3 MET'!E35+'T3 MET'!E42+'T3 MET'!E49+'T3 MET'!E56+'T3 MET'!E63+'T3 MET'!E70+'T3 MET'!E75,$D$445)</f>
        <v>1</v>
      </c>
      <c r="T445" s="897" t="b">
        <f>ROUND('T2 MET'!D84,$D$445)=ROUND('T3 MET'!F35+'T3 MET'!F42+'T3 MET'!F49+'T3 MET'!F56+'T3 MET'!F63+'T3 MET'!F70+'T3 MET'!F75,$D$445)</f>
        <v>1</v>
      </c>
      <c r="U445" s="897" t="b">
        <f>ROUND('T2 MET'!E84,$D$445)=ROUND('T3 MET'!G35+'T3 MET'!G42+'T3 MET'!G49+'T3 MET'!G56+'T3 MET'!G63+'T3 MET'!G70+'T3 MET'!G75,$D$445)</f>
        <v>1</v>
      </c>
      <c r="V445" s="897" t="b">
        <f>ROUND('T2 MET'!F84,$D$445)=ROUND('T3 MET'!H35+'T3 MET'!H42+'T3 MET'!H49+'T3 MET'!H56+'T3 MET'!H63+'T3 MET'!H70+'T3 MET'!H75,$D$445)</f>
        <v>1</v>
      </c>
      <c r="W445" s="897" t="b">
        <f>ROUND('T2 MET'!G84,$D$445)=ROUND('T3 MET'!I35+'T3 MET'!I42+'T3 MET'!I49+'T3 MET'!I56+'T3 MET'!I63+'T3 MET'!I70+'T3 MET'!I75,$D$445)</f>
        <v>1</v>
      </c>
    </row>
    <row r="446" spans="1:23" outlineLevel="1">
      <c r="A446" s="894"/>
      <c r="B446" s="894"/>
      <c r="C446" s="907" t="s">
        <v>208</v>
      </c>
      <c r="D446" s="908"/>
      <c r="E446" s="889"/>
      <c r="F446" s="889"/>
      <c r="G446" s="889"/>
      <c r="H446" s="889"/>
      <c r="I446" s="889"/>
      <c r="J446" s="163"/>
      <c r="K446" s="163"/>
      <c r="L446" s="163"/>
      <c r="S446" s="901">
        <f>ROUND('T2 MET'!C84,$D$445)</f>
        <v>0</v>
      </c>
      <c r="T446" s="901">
        <f>ROUND('T2 MET'!D84,$D$445)</f>
        <v>0</v>
      </c>
      <c r="U446" s="901">
        <f>ROUND('T2 MET'!E84,$D$445)</f>
        <v>0</v>
      </c>
      <c r="V446" s="901">
        <f>ROUND('T2 MET'!F84,$D$445)</f>
        <v>0</v>
      </c>
      <c r="W446" s="901">
        <f>ROUND('T2 MET'!G84,$D$445)</f>
        <v>0</v>
      </c>
    </row>
    <row r="447" spans="1:23" outlineLevel="1">
      <c r="A447" s="894"/>
      <c r="B447" s="894"/>
      <c r="C447" s="907" t="s">
        <v>209</v>
      </c>
      <c r="D447" s="908"/>
      <c r="E447" s="889"/>
      <c r="F447" s="889"/>
      <c r="G447" s="889"/>
      <c r="H447" s="889"/>
      <c r="I447" s="889"/>
      <c r="J447" s="163"/>
      <c r="K447" s="163"/>
      <c r="L447" s="163"/>
      <c r="S447" s="901">
        <f>ROUND('T3 MET'!E35+'T3 MET'!E42+'T3 MET'!E49+'T3 MET'!E56+'T3 MET'!E63+'T3 MET'!E70+'T3 MET'!E75,$D$445)</f>
        <v>0</v>
      </c>
      <c r="T447" s="901">
        <f>ROUND('T3 MET'!F35+'T3 MET'!F42+'T3 MET'!F49+'T3 MET'!F56+'T3 MET'!F63+'T3 MET'!F70+'T3 MET'!F75,$D$445)</f>
        <v>0</v>
      </c>
      <c r="U447" s="901">
        <f>ROUND('T3 MET'!G35+'T3 MET'!G42+'T3 MET'!G49+'T3 MET'!G56+'T3 MET'!G63+'T3 MET'!G70+'T3 MET'!G75,$D$445)</f>
        <v>0</v>
      </c>
      <c r="V447" s="901">
        <f>ROUND('T3 MET'!H35+'T3 MET'!H42+'T3 MET'!H49+'T3 MET'!H56+'T3 MET'!H63+'T3 MET'!H70+'T3 MET'!H75,$D$445)</f>
        <v>0</v>
      </c>
      <c r="W447" s="901">
        <f>ROUND('T3 MET'!I35+'T3 MET'!I42+'T3 MET'!I49+'T3 MET'!I56+'T3 MET'!I63+'T3 MET'!I70+'T3 MET'!I75,$D$445)</f>
        <v>0</v>
      </c>
    </row>
    <row r="448" spans="1:23">
      <c r="A448" s="894" t="s">
        <v>216</v>
      </c>
      <c r="B448" s="894" t="s">
        <v>217</v>
      </c>
      <c r="C448" s="906" t="s">
        <v>218</v>
      </c>
      <c r="D448" s="881">
        <v>3</v>
      </c>
      <c r="E448" s="889"/>
      <c r="F448" s="889"/>
      <c r="G448" s="889"/>
      <c r="H448" s="889"/>
      <c r="I448" s="889"/>
      <c r="J448" s="163"/>
      <c r="K448" s="163"/>
      <c r="L448" s="163"/>
      <c r="S448" s="897" t="b">
        <f>ROUND('T2 MET'!C85,$D$448)=ROUND('T3 MET'!E86,$D$448)</f>
        <v>1</v>
      </c>
      <c r="T448" s="897" t="b">
        <f>ROUND('T2 MET'!D85,$D$448)=ROUND('T3 MET'!F86,$D$448)</f>
        <v>1</v>
      </c>
      <c r="U448" s="897" t="b">
        <f>ROUND('T2 MET'!E85,$D$448)=ROUND('T3 MET'!G86,$D$448)</f>
        <v>1</v>
      </c>
      <c r="V448" s="897" t="b">
        <f>ROUND('T2 MET'!F85,$D$448)=ROUND('T3 MET'!H86,$D$448)</f>
        <v>1</v>
      </c>
      <c r="W448" s="897" t="b">
        <f>ROUND('T2 MET'!G85,$D$448)=ROUND('T3 MET'!I86,$D$448)</f>
        <v>1</v>
      </c>
    </row>
    <row r="449" spans="1:23" outlineLevel="1">
      <c r="A449" s="894"/>
      <c r="B449" s="894"/>
      <c r="C449" s="907" t="s">
        <v>208</v>
      </c>
      <c r="D449" s="908"/>
      <c r="E449" s="889"/>
      <c r="F449" s="889"/>
      <c r="G449" s="889"/>
      <c r="H449" s="889"/>
      <c r="I449" s="889"/>
      <c r="J449" s="163"/>
      <c r="K449" s="163"/>
      <c r="L449" s="163"/>
      <c r="S449" s="901">
        <f>ROUND('T2 MET'!C85,$D$448)</f>
        <v>0</v>
      </c>
      <c r="T449" s="901">
        <f>ROUND('T2 MET'!D85,$D$448)</f>
        <v>0</v>
      </c>
      <c r="U449" s="901">
        <f>ROUND('T2 MET'!E85,$D$448)</f>
        <v>0</v>
      </c>
      <c r="V449" s="901">
        <f>ROUND('T2 MET'!F85,$D$448)</f>
        <v>0</v>
      </c>
      <c r="W449" s="901">
        <f>ROUND('T2 MET'!G85,$D$448)</f>
        <v>0</v>
      </c>
    </row>
    <row r="450" spans="1:23" outlineLevel="1">
      <c r="A450" s="894"/>
      <c r="B450" s="894"/>
      <c r="C450" s="907" t="s">
        <v>209</v>
      </c>
      <c r="D450" s="908"/>
      <c r="E450" s="889"/>
      <c r="F450" s="889"/>
      <c r="G450" s="889"/>
      <c r="H450" s="889"/>
      <c r="I450" s="889"/>
      <c r="J450" s="163"/>
      <c r="K450" s="163"/>
      <c r="L450" s="163"/>
      <c r="S450" s="901">
        <f>ROUND('T3 MET'!E86,$D$448)</f>
        <v>0</v>
      </c>
      <c r="T450" s="901">
        <f>ROUND('T3 MET'!F86,$D$448)</f>
        <v>0</v>
      </c>
      <c r="U450" s="901">
        <f>ROUND('T3 MET'!G86,$D$448)</f>
        <v>0</v>
      </c>
      <c r="V450" s="901">
        <f>ROUND('T3 MET'!H86,$D$448)</f>
        <v>0</v>
      </c>
      <c r="W450" s="901">
        <f>ROUND('T3 MET'!I86,$D$448)</f>
        <v>0</v>
      </c>
    </row>
    <row r="451" spans="1:23">
      <c r="A451" s="894" t="s">
        <v>219</v>
      </c>
      <c r="B451" s="894" t="s">
        <v>220</v>
      </c>
      <c r="C451" s="906" t="s">
        <v>221</v>
      </c>
      <c r="D451" s="881">
        <v>3</v>
      </c>
      <c r="E451" s="889"/>
      <c r="F451" s="889"/>
      <c r="G451" s="889"/>
      <c r="H451" s="889"/>
      <c r="I451" s="889"/>
      <c r="J451" s="163"/>
      <c r="K451" s="163"/>
      <c r="L451" s="163"/>
      <c r="S451" s="897" t="b">
        <f>ROUND('T2 MET'!C86,$D$451)=ROUND('T3 MET'!E97,$D$451)</f>
        <v>1</v>
      </c>
      <c r="T451" s="897" t="b">
        <f>ROUND('T2 MET'!D86,$D$451)=ROUND('T3 MET'!F97,$D$451)</f>
        <v>1</v>
      </c>
      <c r="U451" s="897" t="b">
        <f>ROUND('T2 MET'!E86,$D$451)=ROUND('T3 MET'!G97,$D$451)</f>
        <v>1</v>
      </c>
      <c r="V451" s="897" t="b">
        <f>ROUND('T2 MET'!F86,$D$451)=ROUND('T3 MET'!H97,$D$451)</f>
        <v>1</v>
      </c>
      <c r="W451" s="897" t="b">
        <f>ROUND('T2 MET'!G86,$D$451)=ROUND('T3 MET'!I97,$D$451)</f>
        <v>1</v>
      </c>
    </row>
    <row r="452" spans="1:23" outlineLevel="1">
      <c r="A452" s="894"/>
      <c r="B452" s="894"/>
      <c r="C452" s="907" t="s">
        <v>208</v>
      </c>
      <c r="D452" s="908"/>
      <c r="E452" s="889"/>
      <c r="F452" s="889"/>
      <c r="G452" s="889"/>
      <c r="H452" s="889"/>
      <c r="I452" s="889"/>
      <c r="J452" s="163"/>
      <c r="K452" s="163"/>
      <c r="L452" s="163"/>
      <c r="S452" s="901">
        <f>ROUND('T2 MET'!C86,$D$451)</f>
        <v>0</v>
      </c>
      <c r="T452" s="901">
        <f>ROUND('T2 MET'!D86,$D$451)</f>
        <v>0</v>
      </c>
      <c r="U452" s="901">
        <f>ROUND('T2 MET'!E86,$D$451)</f>
        <v>0</v>
      </c>
      <c r="V452" s="901">
        <f>ROUND('T2 MET'!F86,$D$451)</f>
        <v>0</v>
      </c>
      <c r="W452" s="901">
        <f>ROUND('T2 MET'!G86,$D$451)</f>
        <v>0</v>
      </c>
    </row>
    <row r="453" spans="1:23" outlineLevel="1">
      <c r="A453" s="894"/>
      <c r="B453" s="894"/>
      <c r="C453" s="907" t="s">
        <v>209</v>
      </c>
      <c r="D453" s="908"/>
      <c r="E453" s="889"/>
      <c r="F453" s="889"/>
      <c r="G453" s="889"/>
      <c r="H453" s="889"/>
      <c r="I453" s="889"/>
      <c r="J453" s="163"/>
      <c r="K453" s="163"/>
      <c r="L453" s="163"/>
      <c r="S453" s="901">
        <f>ROUND('T3 MET'!E97,$D$451)</f>
        <v>0</v>
      </c>
      <c r="T453" s="901">
        <f>ROUND('T3 MET'!F97,$D$451)</f>
        <v>0</v>
      </c>
      <c r="U453" s="901">
        <f>ROUND('T3 MET'!G97,$D$451)</f>
        <v>0</v>
      </c>
      <c r="V453" s="901">
        <f>ROUND('T3 MET'!H97,$D$451)</f>
        <v>0</v>
      </c>
      <c r="W453" s="901">
        <f>ROUND('T3 MET'!I97,$D$451)</f>
        <v>0</v>
      </c>
    </row>
    <row r="454" spans="1:23">
      <c r="A454" s="894" t="s">
        <v>222</v>
      </c>
      <c r="B454" s="894" t="s">
        <v>223</v>
      </c>
      <c r="C454" s="906" t="s">
        <v>224</v>
      </c>
      <c r="D454" s="881">
        <v>3</v>
      </c>
      <c r="E454" s="889"/>
      <c r="F454" s="889"/>
      <c r="G454" s="889"/>
      <c r="H454" s="889"/>
      <c r="I454" s="889"/>
      <c r="J454" s="163"/>
      <c r="K454" s="163"/>
      <c r="L454" s="163"/>
      <c r="S454" s="897" t="b">
        <f>ROUND('T2 MET'!C87,$D$454)=ROUND('T3 MET'!E114,$D$454)</f>
        <v>0</v>
      </c>
      <c r="T454" s="897" t="b">
        <f>ROUND('T2 MET'!D87,$D$454)=ROUND('T3 MET'!F114,$D$454)</f>
        <v>0</v>
      </c>
      <c r="U454" s="897" t="b">
        <f>ROUND('T2 MET'!E87,$D$454)=ROUND('T3 MET'!G114,$D$454)</f>
        <v>0</v>
      </c>
      <c r="V454" s="897" t="b">
        <f>ROUND('T2 MET'!F87,$D$454)=ROUND('T3 MET'!H114,$D$454)</f>
        <v>0</v>
      </c>
      <c r="W454" s="897" t="b">
        <f>ROUND('T2 MET'!G87,$D$454)=ROUND('T3 MET'!I114,$D$454)</f>
        <v>1</v>
      </c>
    </row>
    <row r="455" spans="1:23" outlineLevel="1">
      <c r="A455" s="894"/>
      <c r="B455" s="894"/>
      <c r="C455" s="907" t="s">
        <v>208</v>
      </c>
      <c r="D455" s="908"/>
      <c r="E455" s="889"/>
      <c r="F455" s="889"/>
      <c r="G455" s="889"/>
      <c r="H455" s="889"/>
      <c r="I455" s="889"/>
      <c r="J455" s="163"/>
      <c r="K455" s="163"/>
      <c r="L455" s="163"/>
      <c r="S455" s="901">
        <f>ROUND('T2 MET'!C87,$D$454)</f>
        <v>-3366</v>
      </c>
      <c r="T455" s="901">
        <f>ROUND('T2 MET'!D87,$D$454)</f>
        <v>-3558.183</v>
      </c>
      <c r="U455" s="901">
        <f>ROUND('T2 MET'!E87,$D$454)</f>
        <v>16091.902</v>
      </c>
      <c r="V455" s="901">
        <f>ROUND('T2 MET'!F87,$D$454)</f>
        <v>15104.584000000001</v>
      </c>
      <c r="W455" s="901">
        <f>ROUND('T2 MET'!G87,$D$454)</f>
        <v>0</v>
      </c>
    </row>
    <row r="456" spans="1:23" outlineLevel="1">
      <c r="A456" s="894"/>
      <c r="B456" s="894"/>
      <c r="C456" s="907" t="s">
        <v>209</v>
      </c>
      <c r="D456" s="908"/>
      <c r="E456" s="889"/>
      <c r="F456" s="889"/>
      <c r="G456" s="889"/>
      <c r="H456" s="889"/>
      <c r="I456" s="889"/>
      <c r="J456" s="163"/>
      <c r="K456" s="163"/>
      <c r="L456" s="163"/>
      <c r="S456" s="901">
        <f>ROUND('T3 MET'!E114,$D$454)</f>
        <v>0</v>
      </c>
      <c r="T456" s="901">
        <f>ROUND('T3 MET'!F114,$D$454)</f>
        <v>0</v>
      </c>
      <c r="U456" s="901">
        <f>ROUND('T3 MET'!G114,$D$454)</f>
        <v>0</v>
      </c>
      <c r="V456" s="901">
        <f>ROUND('T3 MET'!H114,$D$454)</f>
        <v>0</v>
      </c>
      <c r="W456" s="901">
        <f>ROUND('T3 MET'!I114,$D$454)</f>
        <v>0</v>
      </c>
    </row>
    <row r="457" spans="1:23">
      <c r="A457" s="894" t="s">
        <v>225</v>
      </c>
      <c r="B457" s="894" t="s">
        <v>226</v>
      </c>
      <c r="C457" s="906" t="s">
        <v>227</v>
      </c>
      <c r="D457" s="881">
        <v>3</v>
      </c>
      <c r="E457" s="889"/>
      <c r="F457" s="889"/>
      <c r="G457" s="889"/>
      <c r="H457" s="889"/>
      <c r="I457" s="889"/>
      <c r="J457" s="163"/>
      <c r="K457" s="163"/>
      <c r="L457" s="163"/>
      <c r="S457" s="897" t="b">
        <f>ROUND('T2 MET'!C88,$D$457)=ROUND('T3 MET'!E125+'T3 MET'!E136+'T3 MET'!E147+'T3 MET'!E158,$D$457)</f>
        <v>1</v>
      </c>
      <c r="T457" s="897" t="b">
        <f>ROUND('T2 MET'!D88,$D$457)=ROUND('T3 MET'!F125+'T3 MET'!F136+'T3 MET'!F147+'T3 MET'!F158,$D$457)</f>
        <v>1</v>
      </c>
      <c r="U457" s="897" t="b">
        <f>ROUND('T2 MET'!E88,$D$457)=ROUND('T3 MET'!G125+'T3 MET'!G136+'T3 MET'!G147+'T3 MET'!G158,$D$457)</f>
        <v>0</v>
      </c>
      <c r="V457" s="897" t="b">
        <f>ROUND('T2 MET'!F88,$D$457)=ROUND('T3 MET'!H125+'T3 MET'!H136+'T3 MET'!H147+'T3 MET'!H158,$D$457)</f>
        <v>0</v>
      </c>
      <c r="W457" s="897" t="b">
        <f>ROUND('T2 MET'!G88,$D$457)=ROUND('T3 MET'!I125+'T3 MET'!I136+'T3 MET'!I147+'T3 MET'!I158,$D$457)</f>
        <v>1</v>
      </c>
    </row>
    <row r="458" spans="1:23" outlineLevel="1">
      <c r="A458" s="894"/>
      <c r="B458" s="894"/>
      <c r="C458" s="907" t="s">
        <v>208</v>
      </c>
      <c r="D458" s="908"/>
      <c r="E458" s="889"/>
      <c r="F458" s="889"/>
      <c r="G458" s="889"/>
      <c r="H458" s="889"/>
      <c r="I458" s="889"/>
      <c r="J458" s="163"/>
      <c r="K458" s="163"/>
      <c r="L458" s="163"/>
      <c r="S458" s="901">
        <f>ROUND('T2 MET'!C88,$D$457)</f>
        <v>0</v>
      </c>
      <c r="T458" s="901">
        <f>ROUND('T2 MET'!D88,$D$457)</f>
        <v>0</v>
      </c>
      <c r="U458" s="901">
        <f>ROUND('T2 MET'!E88,$D$457)</f>
        <v>0</v>
      </c>
      <c r="V458" s="901">
        <f>ROUND('T2 MET'!F88,$D$457)</f>
        <v>0</v>
      </c>
      <c r="W458" s="901">
        <f>ROUND('T2 MET'!G88,$D$457)</f>
        <v>0</v>
      </c>
    </row>
    <row r="459" spans="1:23" outlineLevel="1">
      <c r="A459" s="894"/>
      <c r="B459" s="894"/>
      <c r="C459" s="907" t="s">
        <v>209</v>
      </c>
      <c r="D459" s="908"/>
      <c r="E459" s="889"/>
      <c r="F459" s="889"/>
      <c r="G459" s="889"/>
      <c r="H459" s="889"/>
      <c r="I459" s="889"/>
      <c r="J459" s="163"/>
      <c r="K459" s="163"/>
      <c r="L459" s="163"/>
      <c r="S459" s="901">
        <f>ROUND('T3 MET'!E125+'T3 MET'!E136+'T3 MET'!E147+'T3 MET'!E158,$D$457)</f>
        <v>0</v>
      </c>
      <c r="T459" s="901">
        <f>ROUND('T3 MET'!F125+'T3 MET'!F136+'T3 MET'!F147+'T3 MET'!F158,$D$457)</f>
        <v>0</v>
      </c>
      <c r="U459" s="901">
        <f>ROUND('T3 MET'!G125+'T3 MET'!G136+'T3 MET'!G147+'T3 MET'!G158,$D$457)</f>
        <v>-2373.0250000000001</v>
      </c>
      <c r="V459" s="901">
        <f>ROUND('T3 MET'!H125+'T3 MET'!H136+'T3 MET'!H147+'T3 MET'!H158,$D$457)</f>
        <v>17556.692999999999</v>
      </c>
      <c r="W459" s="901">
        <f>ROUND('T3 MET'!I125+'T3 MET'!I136+'T3 MET'!I147+'T3 MET'!I158,$D$457)</f>
        <v>0</v>
      </c>
    </row>
    <row r="460" spans="1:23">
      <c r="A460" s="894" t="s">
        <v>228</v>
      </c>
      <c r="B460" s="894" t="s">
        <v>229</v>
      </c>
      <c r="C460" s="906" t="s">
        <v>230</v>
      </c>
      <c r="D460" s="881">
        <v>3</v>
      </c>
      <c r="E460" s="889"/>
      <c r="F460" s="889"/>
      <c r="G460" s="889"/>
      <c r="H460" s="889"/>
      <c r="I460" s="889"/>
      <c r="J460" s="163"/>
      <c r="K460" s="163"/>
      <c r="L460" s="163"/>
      <c r="S460" s="897" t="b">
        <f>ROUND('T2 MET'!C89,$D$460)=ROUND('T3 MET'!E172,$D$460)</f>
        <v>1</v>
      </c>
      <c r="T460" s="897" t="b">
        <f>ROUND('T2 MET'!D89,$D$460)=ROUND('T3 MET'!F172,$D$460)</f>
        <v>1</v>
      </c>
      <c r="U460" s="897" t="b">
        <f>ROUND('T2 MET'!E89,$D$460)=ROUND('T3 MET'!G172,$D$460)</f>
        <v>1</v>
      </c>
      <c r="V460" s="897" t="b">
        <f>ROUND('T2 MET'!F89,$D$460)=ROUND('T3 MET'!H172,$D$460)</f>
        <v>1</v>
      </c>
      <c r="W460" s="897" t="b">
        <f>ROUND('T2 MET'!G89,$D$460)=ROUND('T3 MET'!I172,$D$460)</f>
        <v>1</v>
      </c>
    </row>
    <row r="461" spans="1:23" outlineLevel="1">
      <c r="A461" s="894"/>
      <c r="B461" s="894"/>
      <c r="C461" s="907" t="s">
        <v>208</v>
      </c>
      <c r="D461" s="908"/>
      <c r="E461" s="889"/>
      <c r="F461" s="889"/>
      <c r="G461" s="889"/>
      <c r="H461" s="889"/>
      <c r="I461" s="889"/>
      <c r="J461" s="163"/>
      <c r="K461" s="163"/>
      <c r="L461" s="163"/>
      <c r="S461" s="901">
        <f>ROUND('T2 MET'!C89,$D$460)</f>
        <v>0</v>
      </c>
      <c r="T461" s="901">
        <f>ROUND('T2 MET'!D89,$D$460)</f>
        <v>0</v>
      </c>
      <c r="U461" s="901">
        <f>ROUND('T2 MET'!E89,$D$460)</f>
        <v>0</v>
      </c>
      <c r="V461" s="901">
        <f>ROUND('T2 MET'!F89,$D$460)</f>
        <v>0</v>
      </c>
      <c r="W461" s="901">
        <f>ROUND('T2 MET'!G89,$D$460)</f>
        <v>0</v>
      </c>
    </row>
    <row r="462" spans="1:23" outlineLevel="1">
      <c r="A462" s="894"/>
      <c r="B462" s="894"/>
      <c r="C462" s="907" t="s">
        <v>209</v>
      </c>
      <c r="D462" s="908"/>
      <c r="E462" s="889"/>
      <c r="F462" s="889"/>
      <c r="G462" s="889"/>
      <c r="H462" s="889"/>
      <c r="I462" s="889"/>
      <c r="J462" s="163"/>
      <c r="K462" s="163"/>
      <c r="L462" s="163"/>
      <c r="S462" s="901">
        <f>ROUND('T3 MET'!E172,$D$460)</f>
        <v>0</v>
      </c>
      <c r="T462" s="901">
        <f>ROUND('T3 MET'!F172,$D$460)</f>
        <v>0</v>
      </c>
      <c r="U462" s="901">
        <f>ROUND('T3 MET'!G172,$D$460)</f>
        <v>0</v>
      </c>
      <c r="V462" s="901">
        <f>ROUND('T3 MET'!H172,$D$460)</f>
        <v>0</v>
      </c>
      <c r="W462" s="901">
        <f>ROUND('T3 MET'!I172,$D$460)</f>
        <v>0</v>
      </c>
    </row>
    <row r="463" spans="1:23">
      <c r="A463" s="894" t="s">
        <v>231</v>
      </c>
      <c r="B463" s="894" t="s">
        <v>232</v>
      </c>
      <c r="C463" s="906" t="s">
        <v>233</v>
      </c>
      <c r="D463" s="881">
        <v>3</v>
      </c>
      <c r="E463" s="889"/>
      <c r="F463" s="889"/>
      <c r="G463" s="889"/>
      <c r="H463" s="889"/>
      <c r="I463" s="889"/>
      <c r="J463" s="163"/>
      <c r="K463" s="163"/>
      <c r="L463" s="163"/>
      <c r="S463" s="897" t="b">
        <f>ROUND('T2 MET'!C90,$D$463)=ROUND('T3 MET'!E165,$D$463)</f>
        <v>1</v>
      </c>
      <c r="T463" s="897" t="b">
        <f>ROUND('T2 MET'!D90,$D$463)=ROUND('T3 MET'!F165,$D$463)</f>
        <v>1</v>
      </c>
      <c r="U463" s="897" t="b">
        <f>ROUND('T2 MET'!E90,$D$463)=ROUND('T3 MET'!G165,$D$463)</f>
        <v>1</v>
      </c>
      <c r="V463" s="897" t="b">
        <f>ROUND('T2 MET'!F90,$D$463)=ROUND('T3 MET'!H165,$D$463)</f>
        <v>1</v>
      </c>
      <c r="W463" s="897" t="b">
        <f>ROUND('T2 MET'!G90,$D$463)=ROUND('T3 MET'!I165,$D$463)</f>
        <v>1</v>
      </c>
    </row>
    <row r="464" spans="1:23" outlineLevel="1">
      <c r="A464" s="894"/>
      <c r="B464" s="894"/>
      <c r="C464" s="907" t="s">
        <v>208</v>
      </c>
      <c r="D464" s="908"/>
      <c r="E464" s="889"/>
      <c r="F464" s="889"/>
      <c r="G464" s="889"/>
      <c r="H464" s="889"/>
      <c r="I464" s="889"/>
      <c r="J464" s="163"/>
      <c r="K464" s="163"/>
      <c r="L464" s="163"/>
      <c r="S464" s="901">
        <f>ROUND('T2 MET'!C90,$D$463)</f>
        <v>0</v>
      </c>
      <c r="T464" s="901">
        <f>ROUND('T2 MET'!D90,$D$463)</f>
        <v>0</v>
      </c>
      <c r="U464" s="901">
        <f>ROUND('T2 MET'!E90,$D$463)</f>
        <v>0</v>
      </c>
      <c r="V464" s="901">
        <f>ROUND('T2 MET'!F90,$D$463)</f>
        <v>0</v>
      </c>
      <c r="W464" s="901">
        <f>ROUND('T2 MET'!G90,$D$463)</f>
        <v>0</v>
      </c>
    </row>
    <row r="465" spans="1:26" outlineLevel="1">
      <c r="A465" s="894"/>
      <c r="B465" s="894"/>
      <c r="C465" s="907" t="s">
        <v>209</v>
      </c>
      <c r="D465" s="908"/>
      <c r="E465" s="889"/>
      <c r="F465" s="889"/>
      <c r="G465" s="889"/>
      <c r="H465" s="889"/>
      <c r="I465" s="889"/>
      <c r="J465" s="163"/>
      <c r="K465" s="163"/>
      <c r="L465" s="163"/>
      <c r="S465" s="901">
        <f>ROUND('T3 MET'!E165,$D$463)</f>
        <v>0</v>
      </c>
      <c r="T465" s="901">
        <f>ROUND('T3 MET'!F165,$D$463)</f>
        <v>0</v>
      </c>
      <c r="U465" s="901">
        <f>ROUND('T3 MET'!G165,$D$463)</f>
        <v>0</v>
      </c>
      <c r="V465" s="901">
        <f>ROUND('T3 MET'!H165,$D$463)</f>
        <v>0</v>
      </c>
      <c r="W465" s="901">
        <f>ROUND('T3 MET'!I165,$D$463)</f>
        <v>0</v>
      </c>
    </row>
    <row r="466" spans="1:26" s="909" customFormat="1">
      <c r="A466" s="893" t="s">
        <v>234</v>
      </c>
      <c r="B466" s="894" t="s">
        <v>235</v>
      </c>
      <c r="C466" s="906" t="s">
        <v>236</v>
      </c>
      <c r="D466" s="881">
        <v>3</v>
      </c>
      <c r="E466" s="889"/>
      <c r="F466" s="889"/>
      <c r="G466" s="889"/>
      <c r="H466" s="889"/>
      <c r="I466" s="889"/>
      <c r="R466" s="163"/>
      <c r="S466" s="897" t="b">
        <f>ROUND(SUM('T2 MET'!C82:C90),$D$466)=ROUND('T3 MET'!E175,$D$466)</f>
        <v>0</v>
      </c>
      <c r="T466" s="897" t="b">
        <f>ROUND(SUM('T2 MET'!D82:D90),$D$466)=ROUND('T3 MET'!F175,$D$466)</f>
        <v>0</v>
      </c>
      <c r="U466" s="897" t="b">
        <f>ROUND(SUM('T2 MET'!E82:E90),$D$466)=ROUND('T3 MET'!G175,$D$466)</f>
        <v>0</v>
      </c>
      <c r="V466" s="897" t="b">
        <f>ROUND(SUM('T2 MET'!F82:F90),$D$466)=ROUND('T3 MET'!H175,$D$466)</f>
        <v>0</v>
      </c>
      <c r="W466" s="897" t="b">
        <f>ROUND(SUM('T2 MET'!G82:G90),$D$466)=ROUND('T3 MET'!I175,$D$466)</f>
        <v>1</v>
      </c>
      <c r="X466" s="889"/>
      <c r="Y466" s="889"/>
      <c r="Z466" s="889"/>
    </row>
    <row r="467" spans="1:26" outlineLevel="1">
      <c r="A467" s="894"/>
      <c r="B467" s="894"/>
      <c r="C467" s="907" t="s">
        <v>237</v>
      </c>
      <c r="D467" s="908"/>
      <c r="E467" s="889"/>
      <c r="F467" s="889"/>
      <c r="G467" s="889"/>
      <c r="H467" s="889"/>
      <c r="I467" s="889"/>
      <c r="J467" s="163"/>
      <c r="K467" s="163"/>
      <c r="L467" s="163"/>
      <c r="S467" s="901">
        <f>ROUND(SUM('T2 MET'!C82:C90),$D$466)</f>
        <v>-3976</v>
      </c>
      <c r="T467" s="901">
        <f>ROUND(SUM('T2 MET'!D82:D90),$D$466)</f>
        <v>-4217.1270000000004</v>
      </c>
      <c r="U467" s="901">
        <f>ROUND(SUM('T2 MET'!E82:E90),$D$466)</f>
        <v>15755.052</v>
      </c>
      <c r="V467" s="901">
        <f>ROUND(SUM('T2 MET'!F82:F90),$D$466)</f>
        <v>14951.512000000001</v>
      </c>
      <c r="W467" s="901">
        <f>ROUND(SUM('T2 MET'!G82:G90),$D$466)</f>
        <v>0</v>
      </c>
      <c r="X467" s="889"/>
      <c r="Y467" s="889"/>
      <c r="Z467" s="889"/>
    </row>
    <row r="468" spans="1:26" outlineLevel="1">
      <c r="A468" s="894"/>
      <c r="B468" s="894"/>
      <c r="C468" s="907" t="s">
        <v>238</v>
      </c>
      <c r="D468" s="908"/>
      <c r="E468" s="889"/>
      <c r="F468" s="889"/>
      <c r="G468" s="889"/>
      <c r="H468" s="889"/>
      <c r="I468" s="889"/>
      <c r="J468" s="163"/>
      <c r="K468" s="163"/>
      <c r="L468" s="163"/>
      <c r="S468" s="901">
        <f>ROUND('T3 MET'!E175,$D$466)</f>
        <v>0</v>
      </c>
      <c r="T468" s="901">
        <f>ROUND('T3 MET'!F175,$D$466)</f>
        <v>0</v>
      </c>
      <c r="U468" s="901">
        <f>ROUND('T3 MET'!G175,$D$466)</f>
        <v>0</v>
      </c>
      <c r="V468" s="901">
        <f>ROUND('T3 MET'!H175,$D$466)</f>
        <v>0</v>
      </c>
      <c r="W468" s="901">
        <f>ROUND('T3 MET'!I175,$D$466)</f>
        <v>0</v>
      </c>
      <c r="X468" s="889"/>
      <c r="Y468" s="889"/>
      <c r="Z468" s="889"/>
    </row>
    <row r="469" spans="1:26" s="896" customFormat="1">
      <c r="A469" s="893" t="s">
        <v>239</v>
      </c>
      <c r="B469" s="894" t="s">
        <v>240</v>
      </c>
      <c r="C469" s="895" t="s">
        <v>241</v>
      </c>
      <c r="D469" s="881">
        <v>3</v>
      </c>
      <c r="E469" s="889"/>
      <c r="F469" s="889"/>
      <c r="G469" s="889"/>
      <c r="H469" s="889"/>
      <c r="I469" s="889"/>
      <c r="R469" s="163"/>
      <c r="S469" s="897" t="b">
        <f>ROUND('T2 MET'!C91,$D$469)=ROUND(SUM('T2 MET'!C81:C90),$D$469)</f>
        <v>1</v>
      </c>
      <c r="T469" s="897" t="b">
        <f>ROUND('T2 MET'!D91,$D$469)=ROUND(SUM('T2 MET'!D81:D90),$D$469)</f>
        <v>1</v>
      </c>
      <c r="U469" s="897" t="b">
        <f>ROUND('T2 MET'!E91,$D$469)=ROUND(SUM('T2 MET'!E81:E90),$D$469)</f>
        <v>1</v>
      </c>
      <c r="V469" s="897" t="b">
        <f>ROUND('T2 MET'!F91,$D$469)=ROUND(SUM('T2 MET'!F81:F90),$D$469)</f>
        <v>1</v>
      </c>
      <c r="W469" s="897" t="b">
        <f>ROUND('T2 MET'!G91,$D$469)=ROUND(SUM('T2 MET'!G81:G90),$D$469)</f>
        <v>1</v>
      </c>
    </row>
    <row r="470" spans="1:26" s="900" customFormat="1" outlineLevel="1">
      <c r="A470" s="893"/>
      <c r="B470" s="894"/>
      <c r="C470" s="898" t="s">
        <v>242</v>
      </c>
      <c r="D470" s="899"/>
      <c r="E470" s="889"/>
      <c r="F470" s="889"/>
      <c r="G470" s="889"/>
      <c r="H470" s="889"/>
      <c r="I470" s="889"/>
      <c r="R470" s="163"/>
      <c r="S470" s="901">
        <f>ROUND('T2 MET'!C91,$D$469)</f>
        <v>26961.955000000002</v>
      </c>
      <c r="T470" s="901">
        <f>ROUND('T2 MET'!D91,$D$469)</f>
        <v>25976.796999999999</v>
      </c>
      <c r="U470" s="901">
        <f>ROUND('T2 MET'!E91,$D$469)</f>
        <v>47386.857000000004</v>
      </c>
      <c r="V470" s="901">
        <f>ROUND('T2 MET'!F91,$D$469)</f>
        <v>48030.7</v>
      </c>
      <c r="W470" s="901">
        <f>ROUND('T2 MET'!G91,$D$469)</f>
        <v>38640.665999999997</v>
      </c>
    </row>
    <row r="471" spans="1:26" s="900" customFormat="1" outlineLevel="1">
      <c r="A471" s="893"/>
      <c r="B471" s="894"/>
      <c r="C471" s="883" t="s">
        <v>243</v>
      </c>
      <c r="D471" s="899"/>
      <c r="E471" s="889"/>
      <c r="F471" s="889"/>
      <c r="G471" s="889"/>
      <c r="H471" s="889"/>
      <c r="I471" s="889"/>
      <c r="R471" s="163"/>
      <c r="S471" s="901">
        <f>ROUND(SUM('T2 MET'!C81:C90),$D$469)</f>
        <v>26961.955000000002</v>
      </c>
      <c r="T471" s="901">
        <f>ROUND(SUM('T2 MET'!D81:D90),$D$469)</f>
        <v>25976.796999999999</v>
      </c>
      <c r="U471" s="901">
        <f>ROUND(SUM('T2 MET'!E81:E90),$D$469)</f>
        <v>47386.857000000004</v>
      </c>
      <c r="V471" s="901">
        <f>ROUND(SUM('T2 MET'!F81:F90),$D$469)</f>
        <v>48030.7</v>
      </c>
      <c r="W471" s="901">
        <f>ROUND(SUM('T2 MET'!G81:G90),$D$469)</f>
        <v>38640.665999999997</v>
      </c>
    </row>
    <row r="472" spans="1:26" s="896" customFormat="1">
      <c r="A472" s="893" t="s">
        <v>244</v>
      </c>
      <c r="B472" s="894" t="s">
        <v>245</v>
      </c>
      <c r="C472" s="895" t="s">
        <v>246</v>
      </c>
      <c r="D472" s="881">
        <v>3</v>
      </c>
      <c r="E472" s="889"/>
      <c r="F472" s="889"/>
      <c r="G472" s="889"/>
      <c r="H472" s="889"/>
      <c r="I472" s="889"/>
      <c r="R472" s="163"/>
      <c r="S472" s="897" t="b">
        <f>ROUND('T2 MET'!C92,$D$472)=ROUND('T2 MET'!C38,$D$472)</f>
        <v>1</v>
      </c>
      <c r="T472" s="897" t="b">
        <f>ROUND('T2 MET'!D92,$D$472)=ROUND('T2 MET'!D38,$D$472)</f>
        <v>1</v>
      </c>
      <c r="U472" s="897" t="b">
        <f>ROUND('T2 MET'!E92,$D$472)=ROUND('T2 MET'!E38,$D$472)</f>
        <v>1</v>
      </c>
      <c r="V472" s="897" t="b">
        <f>ROUND('T2 MET'!F92,$D$472)=ROUND('T2 MET'!F38,$D$472)</f>
        <v>1</v>
      </c>
      <c r="W472" s="897" t="b">
        <f>ROUND('T2 MET'!G92,$D$472)=ROUND('T2 MET'!G38,$D$472)</f>
        <v>1</v>
      </c>
    </row>
    <row r="473" spans="1:26" s="900" customFormat="1" outlineLevel="1">
      <c r="A473" s="893"/>
      <c r="B473" s="894"/>
      <c r="C473" s="898" t="s">
        <v>247</v>
      </c>
      <c r="D473" s="899"/>
      <c r="E473" s="889"/>
      <c r="F473" s="889"/>
      <c r="G473" s="889"/>
      <c r="H473" s="889"/>
      <c r="I473" s="889"/>
      <c r="R473" s="163"/>
      <c r="S473" s="901">
        <f>ROUND('T2 MET'!C92,$D$472)</f>
        <v>12647.945</v>
      </c>
      <c r="T473" s="901">
        <f>ROUND('T2 MET'!D92,$D$472)</f>
        <v>12891</v>
      </c>
      <c r="U473" s="901">
        <f>ROUND('T2 MET'!E92,$D$472)</f>
        <v>13183</v>
      </c>
      <c r="V473" s="901">
        <f>ROUND('T2 MET'!F92,$D$472)</f>
        <v>11715</v>
      </c>
      <c r="W473" s="901">
        <f>ROUND('T2 MET'!G92,$D$472)</f>
        <v>12228</v>
      </c>
    </row>
    <row r="474" spans="1:26" s="900" customFormat="1" outlineLevel="1">
      <c r="A474" s="893"/>
      <c r="B474" s="894"/>
      <c r="C474" s="898" t="s">
        <v>248</v>
      </c>
      <c r="D474" s="899"/>
      <c r="E474" s="889"/>
      <c r="F474" s="889"/>
      <c r="G474" s="889"/>
      <c r="H474" s="889"/>
      <c r="I474" s="889"/>
      <c r="R474" s="163"/>
      <c r="S474" s="901">
        <f>ROUND('T2 MET'!C38,$D$472)</f>
        <v>12647.945</v>
      </c>
      <c r="T474" s="901">
        <f>ROUND('T2 MET'!D38,$D$472)</f>
        <v>12891</v>
      </c>
      <c r="U474" s="901">
        <f>ROUND('T2 MET'!E38,$D$472)</f>
        <v>13183</v>
      </c>
      <c r="V474" s="901">
        <f>ROUND('T2 MET'!F38,$D$472)</f>
        <v>11715</v>
      </c>
      <c r="W474" s="901">
        <f>ROUND('T2 MET'!G38,$D$472)</f>
        <v>12228</v>
      </c>
    </row>
    <row r="475" spans="1:26" s="896" customFormat="1">
      <c r="A475" s="893" t="s">
        <v>249</v>
      </c>
      <c r="B475" s="894" t="s">
        <v>250</v>
      </c>
      <c r="C475" s="895" t="s">
        <v>251</v>
      </c>
      <c r="D475" s="881">
        <v>2</v>
      </c>
      <c r="E475" s="889"/>
      <c r="F475" s="889"/>
      <c r="G475" s="889"/>
      <c r="H475" s="889"/>
      <c r="I475" s="889"/>
      <c r="R475" s="163"/>
      <c r="S475" s="910" t="b">
        <f>ROUND('T2 MET'!C93,$D$475)=ROUND('T2 MET'!C91/'T2 MET'!C92,$D$475)</f>
        <v>1</v>
      </c>
      <c r="T475" s="910" t="b">
        <f>ROUND('T2 MET'!D93,$D$475)=ROUND('T2 MET'!D91/'T2 MET'!D92,$D$475)</f>
        <v>1</v>
      </c>
      <c r="U475" s="910" t="b">
        <f>ROUND('T2 MET'!E93,$D$475)=ROUND('T2 MET'!E91/'T2 MET'!E92,$D$475)</f>
        <v>1</v>
      </c>
      <c r="V475" s="910" t="b">
        <f>ROUND('T2 MET'!F93,$D$475)=ROUND('T2 MET'!F91/'T2 MET'!F92,$D$475)</f>
        <v>1</v>
      </c>
      <c r="W475" s="910" t="b">
        <f>ROUND('T2 MET'!G93,$D$475)=ROUND('T2 MET'!G91/'T2 MET'!G92,$D$475)</f>
        <v>1</v>
      </c>
    </row>
    <row r="476" spans="1:26" s="900" customFormat="1" outlineLevel="1">
      <c r="A476" s="893"/>
      <c r="B476" s="894"/>
      <c r="C476" s="898" t="s">
        <v>252</v>
      </c>
      <c r="D476" s="899"/>
      <c r="E476" s="889"/>
      <c r="F476" s="889"/>
      <c r="G476" s="889"/>
      <c r="H476" s="889"/>
      <c r="I476" s="889"/>
      <c r="R476" s="163"/>
      <c r="S476" s="902">
        <f>ROUND('T2 MET'!C93,$D$475)</f>
        <v>2.13</v>
      </c>
      <c r="T476" s="902">
        <f>ROUND('T2 MET'!D93,$D$475)</f>
        <v>2.02</v>
      </c>
      <c r="U476" s="902">
        <f>ROUND('T2 MET'!E93,$D$475)</f>
        <v>3.59</v>
      </c>
      <c r="V476" s="902">
        <f>ROUND('T2 MET'!F93,$D$475)</f>
        <v>4.0999999999999996</v>
      </c>
      <c r="W476" s="902">
        <f>ROUND('T2 MET'!G93,$D$475)</f>
        <v>3.16</v>
      </c>
    </row>
    <row r="477" spans="1:26" s="900" customFormat="1" outlineLevel="1">
      <c r="A477" s="893"/>
      <c r="B477" s="894"/>
      <c r="C477" s="883" t="s">
        <v>253</v>
      </c>
      <c r="D477" s="899"/>
      <c r="E477" s="889"/>
      <c r="F477" s="889"/>
      <c r="G477" s="889"/>
      <c r="H477" s="889"/>
      <c r="I477" s="889"/>
      <c r="R477" s="163"/>
      <c r="S477" s="902">
        <f>ROUND('T2 MET'!C91/'T2 MET'!C92,$D$475)</f>
        <v>2.13</v>
      </c>
      <c r="T477" s="902">
        <f>ROUND('T2 MET'!D91/'T2 MET'!D92,$D$475)</f>
        <v>2.02</v>
      </c>
      <c r="U477" s="902">
        <f>ROUND('T2 MET'!E91/'T2 MET'!E92,$D$475)</f>
        <v>3.59</v>
      </c>
      <c r="V477" s="902">
        <f>ROUND('T2 MET'!F91/'T2 MET'!F92,$D$475)</f>
        <v>4.0999999999999996</v>
      </c>
      <c r="W477" s="902">
        <f>ROUND('T2 MET'!G91/'T2 MET'!G92,$D$475)</f>
        <v>3.16</v>
      </c>
    </row>
    <row r="478" spans="1:26" s="896" customFormat="1">
      <c r="A478" s="893" t="s">
        <v>254</v>
      </c>
      <c r="B478" s="894" t="s">
        <v>255</v>
      </c>
      <c r="C478" s="895" t="s">
        <v>256</v>
      </c>
      <c r="D478" s="881">
        <v>2</v>
      </c>
      <c r="E478" s="889"/>
      <c r="F478" s="889"/>
      <c r="G478" s="889"/>
      <c r="H478" s="889"/>
      <c r="I478" s="889"/>
      <c r="R478" s="163"/>
      <c r="S478" s="910" t="b">
        <f>ROUND('T2 MET'!C96,$D$478)=ROUND('T2 MET'!C93-'T2 MET'!C94,$D$478)</f>
        <v>1</v>
      </c>
      <c r="T478" s="910" t="b">
        <f>ROUND('T2 MET'!D96,$D$478)=ROUND('T2 MET'!D93-'T2 MET'!D94,$D$478)</f>
        <v>1</v>
      </c>
      <c r="U478" s="910" t="b">
        <f>ROUND('T2 MET'!E96,$D$478)=ROUND('T2 MET'!E93-'T2 MET'!E94,$D$478)</f>
        <v>1</v>
      </c>
      <c r="V478" s="910" t="b">
        <f>ROUND('T2 MET'!F96,$D$478)=ROUND('T2 MET'!F93-'T2 MET'!F94,$D$478)</f>
        <v>1</v>
      </c>
      <c r="W478" s="910" t="b">
        <f>ROUND('T2 MET'!G96,$D$478)=ROUND('T2 MET'!G93-'T2 MET'!G94,$D$478)</f>
        <v>1</v>
      </c>
    </row>
    <row r="479" spans="1:26" s="900" customFormat="1" outlineLevel="1">
      <c r="A479" s="893"/>
      <c r="B479" s="894"/>
      <c r="C479" s="898" t="s">
        <v>257</v>
      </c>
      <c r="D479" s="899"/>
      <c r="E479" s="889"/>
      <c r="F479" s="889"/>
      <c r="G479" s="889"/>
      <c r="H479" s="889"/>
      <c r="I479" s="889"/>
      <c r="R479" s="163"/>
      <c r="S479" s="902">
        <f>ROUND('T2 MET'!C96,$D$478)</f>
        <v>2.13</v>
      </c>
      <c r="T479" s="902">
        <f>ROUND('T2 MET'!D96,$D$478)</f>
        <v>2.02</v>
      </c>
      <c r="U479" s="902">
        <f>ROUND('T2 MET'!E96,$D$478)</f>
        <v>3.59</v>
      </c>
      <c r="V479" s="902">
        <f>ROUND('T2 MET'!F96,$D$478)</f>
        <v>4.0999999999999996</v>
      </c>
      <c r="W479" s="902">
        <f>ROUND('T2 MET'!G96,$D$478)</f>
        <v>3.16</v>
      </c>
    </row>
    <row r="480" spans="1:26" s="900" customFormat="1" outlineLevel="1">
      <c r="A480" s="893"/>
      <c r="B480" s="894"/>
      <c r="C480" s="898" t="s">
        <v>258</v>
      </c>
      <c r="D480" s="899"/>
      <c r="E480" s="889"/>
      <c r="F480" s="889"/>
      <c r="G480" s="889"/>
      <c r="H480" s="889"/>
      <c r="I480" s="889"/>
      <c r="R480" s="163"/>
      <c r="S480" s="902">
        <f>ROUND('T2 MET'!C93-'T2 MET'!C94,$D$478)</f>
        <v>2.13</v>
      </c>
      <c r="T480" s="902">
        <f>ROUND('T2 MET'!D93-'T2 MET'!D94,$D$478)</f>
        <v>2.02</v>
      </c>
      <c r="U480" s="902">
        <f>ROUND('T2 MET'!E93-'T2 MET'!E94,$D$478)</f>
        <v>3.59</v>
      </c>
      <c r="V480" s="902">
        <f>ROUND('T2 MET'!F93-'T2 MET'!F94,$D$478)</f>
        <v>4.0999999999999996</v>
      </c>
      <c r="W480" s="902">
        <f>ROUND('T2 MET'!G93-'T2 MET'!G94,$D$478)</f>
        <v>3.16</v>
      </c>
    </row>
    <row r="481" spans="1:23" s="892" customFormat="1" ht="18.75">
      <c r="A481" s="173" t="s">
        <v>13</v>
      </c>
      <c r="B481" s="174" t="s">
        <v>14</v>
      </c>
      <c r="C481" s="175" t="s">
        <v>275</v>
      </c>
      <c r="D481" s="890"/>
      <c r="E481" s="891"/>
      <c r="F481" s="891"/>
      <c r="G481" s="891"/>
      <c r="H481" s="891"/>
      <c r="I481" s="891"/>
      <c r="J481" s="891"/>
      <c r="K481" s="891"/>
      <c r="L481" s="891"/>
      <c r="M481" s="891"/>
      <c r="N481" s="891"/>
      <c r="O481" s="891"/>
      <c r="P481" s="891"/>
      <c r="Q481" s="891"/>
      <c r="R481" s="163"/>
      <c r="S481" s="891"/>
      <c r="T481" s="891"/>
      <c r="U481" s="891"/>
      <c r="V481" s="891"/>
      <c r="W481" s="891"/>
    </row>
    <row r="482" spans="1:23" s="896" customFormat="1">
      <c r="A482" s="893" t="s">
        <v>129</v>
      </c>
      <c r="B482" s="894" t="s">
        <v>54</v>
      </c>
      <c r="C482" s="895" t="s">
        <v>130</v>
      </c>
      <c r="D482" s="881">
        <v>3</v>
      </c>
      <c r="E482" s="889"/>
      <c r="F482" s="889"/>
      <c r="G482" s="889"/>
      <c r="H482" s="889"/>
      <c r="I482" s="889"/>
      <c r="R482" s="163"/>
      <c r="S482" s="897" t="b">
        <f>ROUND('T2 NSA'!C12,$D$482)=ROUND('T1 NSA'!K61,$D$482)</f>
        <v>1</v>
      </c>
      <c r="T482" s="897" t="b">
        <f>ROUND('T2 NSA'!D12,$D$482)=ROUND('T1 NSA'!L61,$D$482)</f>
        <v>1</v>
      </c>
      <c r="U482" s="897" t="b">
        <f>ROUND('T2 NSA'!E12,$D$482)=ROUND('T1 NSA'!M61,$D$482)</f>
        <v>1</v>
      </c>
      <c r="V482" s="897" t="b">
        <f>ROUND('T2 NSA'!F12,$D$482)=ROUND('T1 NSA'!N61,$D$482)</f>
        <v>1</v>
      </c>
      <c r="W482" s="897" t="b">
        <f>ROUND('T2 NSA'!G12,$D$482)=ROUND('T1 NSA'!O61,$D$482)</f>
        <v>1</v>
      </c>
    </row>
    <row r="483" spans="1:23" s="900" customFormat="1" outlineLevel="1">
      <c r="A483" s="893"/>
      <c r="B483" s="894"/>
      <c r="C483" s="898" t="s">
        <v>131</v>
      </c>
      <c r="D483" s="899"/>
      <c r="E483" s="889"/>
      <c r="F483" s="889"/>
      <c r="G483" s="889"/>
      <c r="H483" s="889"/>
      <c r="I483" s="889"/>
      <c r="R483" s="163"/>
      <c r="S483" s="901">
        <f>ROUND('T2 NSA'!C12,$D$482)</f>
        <v>69525.566999999995</v>
      </c>
      <c r="T483" s="901">
        <f>ROUND('T2 NSA'!D12,$D$482)</f>
        <v>70562.278000000006</v>
      </c>
      <c r="U483" s="901">
        <f>ROUND('T2 NSA'!E12,$D$482)</f>
        <v>70564.365999999995</v>
      </c>
      <c r="V483" s="901">
        <f>ROUND('T2 NSA'!F12,$D$482)</f>
        <v>76714.453999999998</v>
      </c>
      <c r="W483" s="901">
        <f>ROUND('T2 NSA'!G12,$D$482)</f>
        <v>76912.335999999996</v>
      </c>
    </row>
    <row r="484" spans="1:23" s="900" customFormat="1" outlineLevel="1">
      <c r="A484" s="893"/>
      <c r="B484" s="894"/>
      <c r="C484" s="898" t="s">
        <v>132</v>
      </c>
      <c r="D484" s="899"/>
      <c r="E484" s="889"/>
      <c r="F484" s="889"/>
      <c r="G484" s="889"/>
      <c r="H484" s="889"/>
      <c r="I484" s="889"/>
      <c r="R484" s="163"/>
      <c r="S484" s="901">
        <f>ROUND('T1 NSA'!K61,$D$482)</f>
        <v>69525.566999999995</v>
      </c>
      <c r="T484" s="901">
        <f>ROUND('T1 NSA'!L61,$D$482)</f>
        <v>70562.278000000006</v>
      </c>
      <c r="U484" s="901">
        <f>ROUND('T1 NSA'!M61,$D$482)</f>
        <v>70564.365999999995</v>
      </c>
      <c r="V484" s="901">
        <f>ROUND('T1 NSA'!N61,$D$482)</f>
        <v>76714.453999999998</v>
      </c>
      <c r="W484" s="901">
        <f>ROUND('T1 NSA'!O61,$D$482)</f>
        <v>76912.335999999996</v>
      </c>
    </row>
    <row r="485" spans="1:23" s="896" customFormat="1">
      <c r="A485" s="893" t="s">
        <v>133</v>
      </c>
      <c r="B485" s="894" t="s">
        <v>52</v>
      </c>
      <c r="C485" s="895" t="s">
        <v>134</v>
      </c>
      <c r="D485" s="881">
        <v>3</v>
      </c>
      <c r="E485" s="889"/>
      <c r="F485" s="889"/>
      <c r="G485" s="889"/>
      <c r="H485" s="889"/>
      <c r="I485" s="889"/>
      <c r="R485" s="163"/>
      <c r="S485" s="897" t="str">
        <f>IF('T2 NSA'!$A$5="UK CAA + DfT Eurocontrol","N/A",ROUND('T2 NSA'!C15,$D$485)=ROUND('T1 NSA'!K61-'T1 NSA'!K15-'T1 NSA'!K16,$D$485))</f>
        <v>N/A</v>
      </c>
      <c r="T485" s="897" t="str">
        <f>IF('T2 NSA'!$A$5="UK CAA + DfT Eurocontrol","N/A",ROUND('T2 NSA'!D15,$D$485)=ROUND('T1 NSA'!L61-'T1 NSA'!L15-'T1 NSA'!L16,$D$485))</f>
        <v>N/A</v>
      </c>
      <c r="U485" s="897" t="str">
        <f>IF('T2 NSA'!$A$5="UK CAA + DfT Eurocontrol","N/A",ROUND('T2 NSA'!E15,$D$485)=ROUND('T1 NSA'!M61-'T1 NSA'!M15-'T1 NSA'!M16,$D$485))</f>
        <v>N/A</v>
      </c>
      <c r="V485" s="897" t="str">
        <f>IF('T2 NSA'!$A$5="UK CAA + DfT Eurocontrol","N/A",ROUND('T2 NSA'!F15,$D$485)=ROUND('T1 NSA'!N61-'T1 NSA'!N15-'T1 NSA'!N16,$D$485))</f>
        <v>N/A</v>
      </c>
      <c r="W485" s="897" t="str">
        <f>IF('T2 NSA'!$A$5="UK CAA + DfT Eurocontrol","N/A",ROUND('T2 NSA'!G15,$D$485)=ROUND('T1 NSA'!O61-'T1 NSA'!O15-'T1 NSA'!O16,$D$485))</f>
        <v>N/A</v>
      </c>
    </row>
    <row r="486" spans="1:23" s="900" customFormat="1" outlineLevel="1">
      <c r="A486" s="893"/>
      <c r="B486" s="894"/>
      <c r="C486" s="898" t="s">
        <v>135</v>
      </c>
      <c r="D486" s="899"/>
      <c r="E486" s="889"/>
      <c r="F486" s="889"/>
      <c r="G486" s="889"/>
      <c r="H486" s="889"/>
      <c r="I486" s="889"/>
      <c r="R486" s="163"/>
      <c r="S486" s="901" t="str">
        <f>IF('T2 NSA'!$A$5="UK CAA + DfT Eurocontrol","N/A",ROUND('T2 NSA'!C15,$D$485))</f>
        <v>N/A</v>
      </c>
      <c r="T486" s="901" t="str">
        <f>IF('T2 NSA'!$A$5="UK CAA + DfT Eurocontrol","N/A",ROUND('T2 NSA'!D15,$D$485))</f>
        <v>N/A</v>
      </c>
      <c r="U486" s="901" t="str">
        <f>IF('T2 NSA'!$A$5="UK CAA + DfT Eurocontrol","N/A",ROUND('T2 NSA'!E15,$D$485))</f>
        <v>N/A</v>
      </c>
      <c r="V486" s="901" t="str">
        <f>IF('T2 NSA'!$A$5="UK CAA + DfT Eurocontrol","N/A",ROUND('T2 NSA'!F15,$D$485))</f>
        <v>N/A</v>
      </c>
      <c r="W486" s="901" t="str">
        <f>IF('T2 NSA'!$A$5="UK CAA + DfT Eurocontrol","N/A",ROUND('T2 NSA'!G15,$D$485))</f>
        <v>N/A</v>
      </c>
    </row>
    <row r="487" spans="1:23" s="900" customFormat="1" outlineLevel="1">
      <c r="A487" s="893"/>
      <c r="B487" s="894"/>
      <c r="C487" s="898" t="s">
        <v>136</v>
      </c>
      <c r="D487" s="899"/>
      <c r="E487" s="889"/>
      <c r="F487" s="889"/>
      <c r="G487" s="889"/>
      <c r="H487" s="889"/>
      <c r="I487" s="889"/>
      <c r="R487" s="163"/>
      <c r="S487" s="901" t="str">
        <f>IF('T2 NSA'!$A$5="UK CAA + DfT Eurocontrol","N/A",ROUND('T1 NSA'!K61-'T1 NSA'!K15-'T1 NSA'!K16,$D$485))</f>
        <v>N/A</v>
      </c>
      <c r="T487" s="901" t="str">
        <f>IF('T2 NSA'!$A$5="UK CAA + DfT Eurocontrol","N/A",ROUND('T1 NSA'!L61-'T1 NSA'!L15-'T1 NSA'!L16,$D$485))</f>
        <v>N/A</v>
      </c>
      <c r="U487" s="901" t="str">
        <f>IF('T2 NSA'!$A$5="UK CAA + DfT Eurocontrol","N/A",ROUND('T1 NSA'!M61-'T1 NSA'!M15-'T1 NSA'!M16,$D$485))</f>
        <v>N/A</v>
      </c>
      <c r="V487" s="901" t="str">
        <f>IF('T2 NSA'!$A$5="UK CAA + DfT Eurocontrol","N/A",ROUND('T1 NSA'!N61-'T1 NSA'!N15-'T1 NSA'!N16,$D$485))</f>
        <v>N/A</v>
      </c>
      <c r="W487" s="901" t="str">
        <f>IF('T2 NSA'!$A$5="UK CAA + DfT Eurocontrol","N/A",ROUND('T1 NSA'!O61-'T1 NSA'!O15-'T1 NSA'!O16,$D$485))</f>
        <v>N/A</v>
      </c>
    </row>
    <row r="488" spans="1:23" s="896" customFormat="1">
      <c r="A488" s="893" t="s">
        <v>137</v>
      </c>
      <c r="B488" s="894" t="s">
        <v>138</v>
      </c>
      <c r="C488" s="895" t="s">
        <v>139</v>
      </c>
      <c r="D488" s="899"/>
      <c r="E488" s="889"/>
      <c r="F488" s="889"/>
      <c r="G488" s="889"/>
      <c r="H488" s="889"/>
      <c r="I488" s="889"/>
      <c r="R488" s="163"/>
      <c r="S488" s="897" t="str">
        <f>IF('T2 NSA'!$A$5="UK CAA + DfT Eurocontrol","N/A",'T2 NSA'!C16='T1 NSA'!K65)</f>
        <v>N/A</v>
      </c>
      <c r="T488" s="897" t="str">
        <f>IF('T2 NSA'!$A$5="UK CAA + DfT Eurocontrol","N/A",'T2 NSA'!D16='T1 NSA'!L65)</f>
        <v>N/A</v>
      </c>
      <c r="U488" s="897" t="str">
        <f>IF('T2 NSA'!$A$5="UK CAA + DfT Eurocontrol","N/A",'T2 NSA'!E16='T1 NSA'!M65)</f>
        <v>N/A</v>
      </c>
      <c r="V488" s="897" t="str">
        <f>IF('T2 NSA'!$A$5="UK CAA + DfT Eurocontrol","N/A",'T2 NSA'!F16='T1 NSA'!N65)</f>
        <v>N/A</v>
      </c>
      <c r="W488" s="897" t="str">
        <f>IF('T2 NSA'!$A$5="UK CAA + DfT Eurocontrol","N/A",'T2 NSA'!G16='T1 NSA'!O65)</f>
        <v>N/A</v>
      </c>
    </row>
    <row r="489" spans="1:23" s="900" customFormat="1" outlineLevel="1">
      <c r="A489" s="893"/>
      <c r="B489" s="894"/>
      <c r="C489" s="898" t="s">
        <v>140</v>
      </c>
      <c r="D489" s="899"/>
      <c r="E489" s="889"/>
      <c r="F489" s="889"/>
      <c r="G489" s="889"/>
      <c r="H489" s="889"/>
      <c r="I489" s="889"/>
      <c r="R489" s="163"/>
      <c r="S489" s="902" t="str">
        <f>IF('T2 NSA'!$A$5="UK CAA + DfT Eurocontrol","N/A",'T2 NSA'!C16)</f>
        <v>N/A</v>
      </c>
      <c r="T489" s="902" t="str">
        <f>IF('T2 NSA'!$A$5="UK CAA + DfT Eurocontrol","N/A",'T2 NSA'!D16)</f>
        <v>N/A</v>
      </c>
      <c r="U489" s="902" t="str">
        <f>IF('T2 NSA'!$A$5="UK CAA + DfT Eurocontrol","N/A",'T2 NSA'!E16)</f>
        <v>N/A</v>
      </c>
      <c r="V489" s="902" t="str">
        <f>IF('T2 NSA'!$A$5="UK CAA + DfT Eurocontrol","N/A",'T2 NSA'!F16)</f>
        <v>N/A</v>
      </c>
      <c r="W489" s="902" t="str">
        <f>IF('T2 NSA'!$A$5="UK CAA + DfT Eurocontrol","N/A",'T2 NSA'!G16)</f>
        <v>N/A</v>
      </c>
    </row>
    <row r="490" spans="1:23" s="900" customFormat="1" outlineLevel="1">
      <c r="A490" s="893"/>
      <c r="B490" s="894"/>
      <c r="C490" s="898" t="s">
        <v>141</v>
      </c>
      <c r="D490" s="899"/>
      <c r="E490" s="889"/>
      <c r="F490" s="889"/>
      <c r="G490" s="889"/>
      <c r="H490" s="889"/>
      <c r="I490" s="889"/>
      <c r="R490" s="163"/>
      <c r="S490" s="902" t="str">
        <f>IF('T2 NSA'!$A$5="UK CAA + DfT Eurocontrol","N/A",'T1 NSA'!K65)</f>
        <v>N/A</v>
      </c>
      <c r="T490" s="902" t="str">
        <f>IF('T2 NSA'!$A$5="UK CAA + DfT Eurocontrol","N/A",'T1 NSA'!L65)</f>
        <v>N/A</v>
      </c>
      <c r="U490" s="902" t="str">
        <f>IF('T2 NSA'!$A$5="UK CAA + DfT Eurocontrol","N/A",'T1 NSA'!M65)</f>
        <v>N/A</v>
      </c>
      <c r="V490" s="902" t="str">
        <f>IF('T2 NSA'!$A$5="UK CAA + DfT Eurocontrol","N/A",'T1 NSA'!N65)</f>
        <v>N/A</v>
      </c>
      <c r="W490" s="902" t="str">
        <f>IF('T2 NSA'!$A$5="UK CAA + DfT Eurocontrol","N/A",'T1 NSA'!O65)</f>
        <v>N/A</v>
      </c>
    </row>
    <row r="491" spans="1:23" s="896" customFormat="1">
      <c r="A491" s="893" t="s">
        <v>142</v>
      </c>
      <c r="B491" s="894" t="s">
        <v>143</v>
      </c>
      <c r="C491" s="895" t="s">
        <v>144</v>
      </c>
      <c r="D491" s="899"/>
      <c r="E491" s="889"/>
      <c r="F491" s="889"/>
      <c r="G491" s="889"/>
      <c r="H491" s="889"/>
      <c r="I491" s="889"/>
      <c r="J491" s="889"/>
      <c r="K491" s="889"/>
      <c r="L491" s="889"/>
      <c r="M491" s="889"/>
      <c r="N491" s="889"/>
      <c r="O491" s="889"/>
      <c r="R491" s="163"/>
    </row>
    <row r="492" spans="1:23" s="900" customFormat="1" outlineLevel="1">
      <c r="A492" s="893"/>
      <c r="B492" s="894"/>
      <c r="C492" s="898" t="s">
        <v>145</v>
      </c>
      <c r="D492" s="899"/>
      <c r="E492" s="889"/>
      <c r="F492" s="889"/>
      <c r="G492" s="889"/>
      <c r="H492" s="889"/>
      <c r="I492" s="889"/>
      <c r="J492" s="889"/>
      <c r="K492" s="889"/>
      <c r="L492" s="889"/>
      <c r="M492" s="889"/>
      <c r="N492" s="889"/>
      <c r="O492" s="889"/>
      <c r="R492" s="163"/>
    </row>
    <row r="493" spans="1:23" s="900" customFormat="1" outlineLevel="1">
      <c r="A493" s="893"/>
      <c r="B493" s="894"/>
      <c r="C493" s="898" t="s">
        <v>146</v>
      </c>
      <c r="D493" s="899"/>
      <c r="E493" s="889"/>
      <c r="F493" s="889"/>
      <c r="G493" s="889"/>
      <c r="H493" s="889"/>
      <c r="I493" s="889"/>
      <c r="J493" s="889"/>
      <c r="K493" s="889"/>
      <c r="L493" s="889"/>
      <c r="M493" s="889"/>
      <c r="N493" s="889"/>
      <c r="O493" s="889"/>
      <c r="R493" s="163"/>
    </row>
    <row r="494" spans="1:23" s="896" customFormat="1">
      <c r="A494" s="893" t="s">
        <v>147</v>
      </c>
      <c r="B494" s="894" t="s">
        <v>148</v>
      </c>
      <c r="C494" s="895" t="s">
        <v>149</v>
      </c>
      <c r="D494" s="899"/>
      <c r="E494" s="889"/>
      <c r="F494" s="889"/>
      <c r="G494" s="889"/>
      <c r="H494" s="889"/>
      <c r="I494" s="889"/>
      <c r="J494" s="889"/>
      <c r="K494" s="889"/>
      <c r="L494" s="889"/>
      <c r="M494" s="889"/>
      <c r="N494" s="889"/>
      <c r="O494" s="889"/>
      <c r="R494" s="163"/>
    </row>
    <row r="495" spans="1:23" s="900" customFormat="1" outlineLevel="1">
      <c r="A495" s="893"/>
      <c r="B495" s="894"/>
      <c r="C495" s="898" t="s">
        <v>150</v>
      </c>
      <c r="D495" s="899"/>
      <c r="E495" s="889"/>
      <c r="F495" s="889"/>
      <c r="G495" s="889"/>
      <c r="H495" s="889"/>
      <c r="I495" s="889"/>
      <c r="J495" s="889"/>
      <c r="K495" s="889"/>
      <c r="L495" s="889"/>
      <c r="M495" s="889"/>
      <c r="N495" s="889"/>
      <c r="O495" s="889"/>
      <c r="R495" s="163"/>
    </row>
    <row r="496" spans="1:23" s="900" customFormat="1" outlineLevel="1">
      <c r="A496" s="893"/>
      <c r="B496" s="894"/>
      <c r="C496" s="898" t="s">
        <v>151</v>
      </c>
      <c r="D496" s="899"/>
      <c r="E496" s="889"/>
      <c r="F496" s="889"/>
      <c r="G496" s="889"/>
      <c r="H496" s="889"/>
      <c r="I496" s="889"/>
      <c r="J496" s="889"/>
      <c r="K496" s="889"/>
      <c r="L496" s="889"/>
      <c r="M496" s="889"/>
      <c r="N496" s="889"/>
      <c r="O496" s="889"/>
      <c r="R496" s="163"/>
    </row>
    <row r="497" spans="1:23" s="896" customFormat="1">
      <c r="A497" s="893" t="s">
        <v>152</v>
      </c>
      <c r="B497" s="894">
        <v>2.5</v>
      </c>
      <c r="C497" s="903" t="s">
        <v>153</v>
      </c>
      <c r="D497" s="881">
        <v>3</v>
      </c>
      <c r="E497" s="889"/>
      <c r="F497" s="889"/>
      <c r="G497" s="889"/>
      <c r="H497" s="889"/>
      <c r="I497" s="889"/>
      <c r="J497" s="889"/>
      <c r="K497" s="889"/>
      <c r="L497" s="889"/>
      <c r="M497" s="889"/>
      <c r="N497" s="889"/>
      <c r="R497" s="163"/>
    </row>
    <row r="498" spans="1:23" s="900" customFormat="1" outlineLevel="1">
      <c r="A498" s="893"/>
      <c r="B498" s="894"/>
      <c r="C498" s="904" t="s">
        <v>154</v>
      </c>
      <c r="D498" s="905"/>
      <c r="E498" s="889"/>
      <c r="G498" s="889"/>
      <c r="H498" s="889"/>
      <c r="I498" s="889"/>
      <c r="J498" s="889"/>
      <c r="K498" s="889"/>
      <c r="L498" s="889"/>
      <c r="M498" s="889"/>
      <c r="N498" s="889"/>
      <c r="R498" s="163"/>
    </row>
    <row r="499" spans="1:23" s="900" customFormat="1" outlineLevel="1">
      <c r="A499" s="893"/>
      <c r="B499" s="894"/>
      <c r="C499" s="904" t="s">
        <v>155</v>
      </c>
      <c r="D499" s="905"/>
      <c r="E499" s="889"/>
      <c r="F499" s="889"/>
      <c r="G499" s="889"/>
      <c r="H499" s="889"/>
      <c r="I499" s="889"/>
      <c r="J499" s="889"/>
      <c r="K499" s="889"/>
      <c r="L499" s="889"/>
      <c r="M499" s="889"/>
      <c r="N499" s="889"/>
      <c r="R499" s="163"/>
    </row>
    <row r="500" spans="1:23" s="896" customFormat="1">
      <c r="A500" s="893" t="s">
        <v>156</v>
      </c>
      <c r="B500" s="894" t="s">
        <v>81</v>
      </c>
      <c r="C500" s="895" t="s">
        <v>157</v>
      </c>
      <c r="D500" s="881">
        <v>3</v>
      </c>
      <c r="E500" s="889"/>
      <c r="F500" s="889"/>
      <c r="G500" s="889"/>
      <c r="H500" s="889"/>
      <c r="I500" s="889"/>
      <c r="J500" s="889"/>
      <c r="K500" s="889"/>
      <c r="L500" s="889"/>
      <c r="M500" s="889"/>
      <c r="N500" s="889"/>
      <c r="R500" s="163"/>
    </row>
    <row r="501" spans="1:23" s="900" customFormat="1" outlineLevel="1">
      <c r="A501" s="893"/>
      <c r="B501" s="894"/>
      <c r="C501" s="898" t="s">
        <v>158</v>
      </c>
      <c r="D501" s="899"/>
      <c r="E501" s="889"/>
      <c r="F501" s="889"/>
      <c r="G501" s="889"/>
      <c r="H501" s="889"/>
      <c r="I501" s="889"/>
      <c r="J501" s="889"/>
      <c r="K501" s="889"/>
      <c r="L501" s="889"/>
      <c r="M501" s="889"/>
      <c r="N501" s="889"/>
      <c r="R501" s="163"/>
    </row>
    <row r="502" spans="1:23" s="900" customFormat="1" outlineLevel="1">
      <c r="A502" s="893"/>
      <c r="B502" s="894"/>
      <c r="C502" s="883" t="s">
        <v>159</v>
      </c>
      <c r="D502" s="899"/>
      <c r="E502" s="889"/>
      <c r="F502" s="889"/>
      <c r="G502" s="889"/>
      <c r="H502" s="889"/>
      <c r="I502" s="889"/>
      <c r="J502" s="889"/>
      <c r="K502" s="889"/>
      <c r="L502" s="889"/>
      <c r="M502" s="889"/>
      <c r="N502" s="889"/>
      <c r="R502" s="163"/>
    </row>
    <row r="503" spans="1:23" s="896" customFormat="1">
      <c r="A503" s="893" t="s">
        <v>160</v>
      </c>
      <c r="B503" s="894" t="s">
        <v>161</v>
      </c>
      <c r="C503" s="895" t="s">
        <v>162</v>
      </c>
      <c r="D503" s="881">
        <v>3</v>
      </c>
      <c r="E503" s="889"/>
      <c r="F503" s="889"/>
      <c r="G503" s="889"/>
      <c r="H503" s="889"/>
      <c r="I503" s="889"/>
      <c r="R503" s="163"/>
      <c r="S503" s="897" t="str">
        <f>IF(OR('T2 NSA'!$A$5="MET",'T2 NSA'!$A$5="UK CAA + DfT Eurocontrol"),"N/A",ROUND('T2 NSA'!C33,$D$503)=ROUND('T1 NSA'!K61-'T1 NSA'!K28,$D$503))</f>
        <v>N/A</v>
      </c>
      <c r="T503" s="897" t="str">
        <f>IF(OR('T2 NSA'!$A$5="MET",'T2 NSA'!$A$5="UK CAA + DfT Eurocontrol"),"N/A",ROUND('T2 NSA'!D33,$D$503)=ROUND('T1 NSA'!L61-'T1 NSA'!L28,$D$503))</f>
        <v>N/A</v>
      </c>
      <c r="U503" s="897" t="str">
        <f>IF(OR('T2 NSA'!$A$5="MET",'T2 NSA'!$A$5="UK CAA + DfT Eurocontrol"),"N/A",ROUND('T2 NSA'!E33,$D$503)=ROUND('T1 NSA'!M61-'T1 NSA'!M28,$D$503))</f>
        <v>N/A</v>
      </c>
      <c r="V503" s="897" t="str">
        <f>IF(OR('T2 NSA'!$A$5="MET",'T2 NSA'!$A$5="UK CAA + DfT Eurocontrol"),"N/A",ROUND('T2 NSA'!F33,$D$503)=ROUND('T1 NSA'!N61-'T1 NSA'!N28,$D$503))</f>
        <v>N/A</v>
      </c>
      <c r="W503" s="897" t="str">
        <f>IF(OR('T2 NSA'!$A$5="MET",'T2 NSA'!$A$5="UK CAA + DfT Eurocontrol"),"N/A",ROUND('T2 NSA'!G33,$D$503)=ROUND('T1 NSA'!O61-'T1 NSA'!O28,$D$503))</f>
        <v>N/A</v>
      </c>
    </row>
    <row r="504" spans="1:23" s="900" customFormat="1" outlineLevel="1">
      <c r="A504" s="893"/>
      <c r="B504" s="894"/>
      <c r="C504" s="898" t="s">
        <v>163</v>
      </c>
      <c r="D504" s="899"/>
      <c r="E504" s="889"/>
      <c r="F504" s="889"/>
      <c r="G504" s="889"/>
      <c r="H504" s="889"/>
      <c r="I504" s="889"/>
      <c r="R504" s="163"/>
      <c r="S504" s="901" t="str">
        <f>IF(OR('T2 NSA'!$A$5="MET",'T2 NSA'!$A$5="UK CAA + DfT Eurocontrol"),"N/A",ROUND('T2 NSA'!C33,$D$503))</f>
        <v>N/A</v>
      </c>
      <c r="T504" s="901" t="str">
        <f>IF(OR('T2 NSA'!$A$5="MET",'T2 NSA'!$A$5="UK CAA + DfT Eurocontrol"),"N/A",ROUND('T2 NSA'!D33,$D$503))</f>
        <v>N/A</v>
      </c>
      <c r="U504" s="901" t="str">
        <f>IF(OR('T2 NSA'!$A$5="MET",'T2 NSA'!$A$5="UK CAA + DfT Eurocontrol"),"N/A",ROUND('T2 NSA'!E33,$D$503))</f>
        <v>N/A</v>
      </c>
      <c r="V504" s="901" t="str">
        <f>IF(OR('T2 NSA'!$A$5="MET",'T2 NSA'!$A$5="UK CAA + DfT Eurocontrol"),"N/A",ROUND('T2 NSA'!F33,$D$503))</f>
        <v>N/A</v>
      </c>
      <c r="W504" s="901" t="str">
        <f>IF(OR('T2 NSA'!$A$5="MET",'T2 NSA'!$A$5="UK CAA + DfT Eurocontrol"),"N/A",ROUND('T2 NSA'!G33,$D$503))</f>
        <v>N/A</v>
      </c>
    </row>
    <row r="505" spans="1:23" s="900" customFormat="1" outlineLevel="1">
      <c r="A505" s="893"/>
      <c r="B505" s="894"/>
      <c r="C505" s="898" t="s">
        <v>164</v>
      </c>
      <c r="D505" s="899"/>
      <c r="E505" s="889"/>
      <c r="F505" s="889"/>
      <c r="G505" s="889"/>
      <c r="H505" s="889"/>
      <c r="I505" s="889"/>
      <c r="R505" s="163"/>
      <c r="S505" s="901" t="str">
        <f>IF(OR('T2 NSA'!$A$5="MET",'T2 NSA'!$A$5="UK CAA + DfT Eurocontrol"),"N/A",ROUND('T1 NSA'!K61-'T1 NSA'!K28,$D$503))</f>
        <v>N/A</v>
      </c>
      <c r="T505" s="901" t="str">
        <f>IF(OR('T2 NSA'!$A$5="MET",'T2 NSA'!$A$5="UK CAA + DfT Eurocontrol"),"N/A",ROUND('T1 NSA'!L61-'T1 NSA'!L28,$D$503))</f>
        <v>N/A</v>
      </c>
      <c r="U505" s="901" t="str">
        <f>IF(OR('T2 NSA'!$A$5="MET",'T2 NSA'!$A$5="UK CAA + DfT Eurocontrol"),"N/A",ROUND('T1 NSA'!M61-'T1 NSA'!M28,$D$503))</f>
        <v>N/A</v>
      </c>
      <c r="V505" s="901" t="str">
        <f>IF(OR('T2 NSA'!$A$5="MET",'T2 NSA'!$A$5="UK CAA + DfT Eurocontrol"),"N/A",ROUND('T1 NSA'!N61-'T1 NSA'!N28,$D$503))</f>
        <v>N/A</v>
      </c>
      <c r="W505" s="901" t="str">
        <f>IF(OR('T2 NSA'!$A$5="MET",'T2 NSA'!$A$5="UK CAA + DfT Eurocontrol"),"N/A",ROUND('T1 NSA'!O61-'T1 NSA'!O28,$D$503))</f>
        <v>N/A</v>
      </c>
    </row>
    <row r="506" spans="1:23" s="896" customFormat="1">
      <c r="A506" s="893" t="s">
        <v>260</v>
      </c>
      <c r="B506" s="894" t="s">
        <v>17</v>
      </c>
      <c r="C506" s="895" t="s">
        <v>261</v>
      </c>
      <c r="D506" s="881">
        <v>2</v>
      </c>
      <c r="E506" s="889"/>
      <c r="F506" s="889"/>
      <c r="G506" s="889"/>
      <c r="H506" s="889"/>
      <c r="I506" s="889"/>
      <c r="N506" s="900"/>
      <c r="R506" s="163"/>
      <c r="S506" s="897" t="str">
        <f>IF(OR('T2 NSA'!$A$5="MET",'T2 NSA'!$A$5="UK CAA + DfT Eurocontrol"),"N/A",ROUND('T2 NSA'!C34,$D$506)=2%)</f>
        <v>N/A</v>
      </c>
      <c r="T506" s="897" t="str">
        <f>IF(OR('T2 NSA'!$A$5="MET",'T2 NSA'!$A$5="UK CAA + DfT Eurocontrol"),"N/A",ROUND('T2 NSA'!D34,$D$506)=2%)</f>
        <v>N/A</v>
      </c>
      <c r="U506" s="897" t="str">
        <f>IF(OR('T2 NSA'!$A$5="MET",'T2 NSA'!$A$5="UK CAA + DfT Eurocontrol"),"N/A",ROUND('T2 NSA'!E34,$D$506)=2%)</f>
        <v>N/A</v>
      </c>
      <c r="V506" s="897" t="str">
        <f>IF(OR('T2 NSA'!$A$5="MET",'T2 NSA'!$A$5="UK CAA + DfT Eurocontrol"),"N/A",ROUND('T2 NSA'!F34,$D$506)=2%)</f>
        <v>N/A</v>
      </c>
      <c r="W506" s="897" t="str">
        <f>IF(OR('T2 NSA'!$A$5="MET",'T2 NSA'!$A$5="UK CAA + DfT Eurocontrol"),"N/A",ROUND('T2 NSA'!G34,$D$506)=2%)</f>
        <v>N/A</v>
      </c>
    </row>
    <row r="507" spans="1:23" s="900" customFormat="1" outlineLevel="1">
      <c r="A507" s="893"/>
      <c r="B507" s="894"/>
      <c r="C507" s="898" t="s">
        <v>262</v>
      </c>
      <c r="D507" s="899"/>
      <c r="E507" s="889"/>
      <c r="F507" s="889"/>
      <c r="G507" s="889"/>
      <c r="H507" s="889"/>
      <c r="I507" s="889"/>
      <c r="R507" s="163"/>
      <c r="S507" s="911" t="str">
        <f>IF(OR('T2 NSA'!$A$5="MET",'T2 NSA'!$A$5="UK CAA + DfT Eurocontrol"),"N/A",ROUND('T2 NSA'!C34,$D$506))</f>
        <v>N/A</v>
      </c>
      <c r="T507" s="911" t="str">
        <f>IF(OR('T2 NSA'!$A$5="MET",'T2 NSA'!$A$5="UK CAA + DfT Eurocontrol"),"N/A",ROUND('T2 NSA'!D34,$D$506))</f>
        <v>N/A</v>
      </c>
      <c r="U507" s="911" t="str">
        <f>IF(OR('T2 NSA'!$A$5="MET",'T2 NSA'!$A$5="UK CAA + DfT Eurocontrol"),"N/A",ROUND('T2 NSA'!E34,$D$506))</f>
        <v>N/A</v>
      </c>
      <c r="V507" s="911" t="str">
        <f>IF(OR('T2 NSA'!$A$5="MET",'T2 NSA'!$A$5="UK CAA + DfT Eurocontrol"),"N/A",ROUND('T2 NSA'!F34,$D$506))</f>
        <v>N/A</v>
      </c>
      <c r="W507" s="911" t="str">
        <f>IF(OR('T2 NSA'!$A$5="MET",'T2 NSA'!$A$5="UK CAA + DfT Eurocontrol"),"N/A",ROUND('T2 NSA'!G34,$D$506))</f>
        <v>N/A</v>
      </c>
    </row>
    <row r="508" spans="1:23" s="896" customFormat="1">
      <c r="A508" s="893" t="s">
        <v>263</v>
      </c>
      <c r="B508" s="894" t="s">
        <v>264</v>
      </c>
      <c r="C508" s="895" t="s">
        <v>265</v>
      </c>
      <c r="D508" s="881">
        <v>2</v>
      </c>
      <c r="E508" s="889"/>
      <c r="F508" s="889"/>
      <c r="G508" s="889"/>
      <c r="H508" s="889"/>
      <c r="I508" s="889"/>
      <c r="N508" s="900"/>
      <c r="R508" s="163"/>
      <c r="S508" s="897" t="str">
        <f>IF(OR('T2 NSA'!$A$5="MET",'T2 NSA'!$A$5="UK CAA + DfT Eurocontrol"),"N/A",ROUND('T2 NSA'!C35,$D$508)=70%)</f>
        <v>N/A</v>
      </c>
      <c r="T508" s="897" t="str">
        <f>IF(OR('T2 NSA'!$A$5="MET",'T2 NSA'!$A$5="UK CAA + DfT Eurocontrol"),"N/A",ROUND('T2 NSA'!D35,$D$508)=70%)</f>
        <v>N/A</v>
      </c>
      <c r="U508" s="897" t="str">
        <f>IF(OR('T2 NSA'!$A$5="MET",'T2 NSA'!$A$5="UK CAA + DfT Eurocontrol"),"N/A",ROUND('T2 NSA'!E35,$D$508)=70%)</f>
        <v>N/A</v>
      </c>
      <c r="V508" s="897" t="str">
        <f>IF(OR('T2 NSA'!$A$5="MET",'T2 NSA'!$A$5="UK CAA + DfT Eurocontrol"),"N/A",ROUND('T2 NSA'!F35,$D$508)=70%)</f>
        <v>N/A</v>
      </c>
      <c r="W508" s="897" t="str">
        <f>IF(OR('T2 NSA'!$A$5="MET",'T2 NSA'!$A$5="UK CAA + DfT Eurocontrol"),"N/A",ROUND('T2 NSA'!G35,$D$508)=70%)</f>
        <v>N/A</v>
      </c>
    </row>
    <row r="509" spans="1:23" s="900" customFormat="1" outlineLevel="1">
      <c r="A509" s="893"/>
      <c r="B509" s="894"/>
      <c r="C509" s="898" t="s">
        <v>266</v>
      </c>
      <c r="D509" s="899"/>
      <c r="E509" s="889"/>
      <c r="F509" s="889"/>
      <c r="G509" s="889"/>
      <c r="H509" s="889"/>
      <c r="I509" s="889"/>
      <c r="R509" s="163"/>
      <c r="S509" s="911" t="str">
        <f>IF(OR('T2 NSA'!$A$5="MET",'T2 NSA'!$A$5="UK CAA + DfT Eurocontrol"),"N/A",ROUND('T2 NSA'!C35,$D$508))</f>
        <v>N/A</v>
      </c>
      <c r="T509" s="911" t="str">
        <f>IF(OR('T2 NSA'!$A$5="MET",'T2 NSA'!$A$5="UK CAA + DfT Eurocontrol"),"N/A",ROUND('T2 NSA'!D35,$D$508))</f>
        <v>N/A</v>
      </c>
      <c r="U509" s="911" t="str">
        <f>IF(OR('T2 NSA'!$A$5="MET",'T2 NSA'!$A$5="UK CAA + DfT Eurocontrol"),"N/A",ROUND('T2 NSA'!E35,$D$508))</f>
        <v>N/A</v>
      </c>
      <c r="V509" s="911" t="str">
        <f>IF(OR('T2 NSA'!$A$5="MET",'T2 NSA'!$A$5="UK CAA + DfT Eurocontrol"),"N/A",ROUND('T2 NSA'!F35,$D$508))</f>
        <v>N/A</v>
      </c>
      <c r="W509" s="911" t="str">
        <f>IF(OR('T2 NSA'!$A$5="MET",'T2 NSA'!$A$5="UK CAA + DfT Eurocontrol"),"N/A",ROUND('T2 NSA'!G35,$D$508))</f>
        <v>N/A</v>
      </c>
    </row>
    <row r="510" spans="1:23" s="896" customFormat="1">
      <c r="A510" s="893" t="s">
        <v>267</v>
      </c>
      <c r="B510" s="894" t="s">
        <v>268</v>
      </c>
      <c r="C510" s="895" t="s">
        <v>269</v>
      </c>
      <c r="D510" s="881">
        <v>2</v>
      </c>
      <c r="E510" s="889"/>
      <c r="F510" s="889"/>
      <c r="G510" s="889"/>
      <c r="H510" s="889"/>
      <c r="I510" s="889"/>
      <c r="N510" s="900"/>
      <c r="R510" s="163"/>
      <c r="S510" s="897" t="str">
        <f>IF(OR('T2 NSA'!$A$5="MET",'T2 NSA'!$A$5="UK CAA + DfT Eurocontrol"),"N/A",ROUND('T2 NSA'!C36,$D$510)=70%)</f>
        <v>N/A</v>
      </c>
      <c r="T510" s="897" t="str">
        <f>IF(OR('T2 NSA'!$A$5="MET",'T2 NSA'!$A$5="UK CAA + DfT Eurocontrol"),"N/A",ROUND('T2 NSA'!D36,$D$510)=70%)</f>
        <v>N/A</v>
      </c>
      <c r="U510" s="897" t="str">
        <f>IF(OR('T2 NSA'!$A$5="MET",'T2 NSA'!$A$5="UK CAA + DfT Eurocontrol"),"N/A",ROUND('T2 NSA'!E36,$D$510)=70%)</f>
        <v>N/A</v>
      </c>
      <c r="V510" s="897" t="str">
        <f>IF(OR('T2 NSA'!$A$5="MET",'T2 NSA'!$A$5="UK CAA + DfT Eurocontrol"),"N/A",ROUND('T2 NSA'!F36,$D$510)=70%)</f>
        <v>N/A</v>
      </c>
      <c r="W510" s="897" t="str">
        <f>IF(OR('T2 NSA'!$A$5="MET",'T2 NSA'!$A$5="UK CAA + DfT Eurocontrol"),"N/A",ROUND('T2 NSA'!G36,$D$510)=70%)</f>
        <v>N/A</v>
      </c>
    </row>
    <row r="511" spans="1:23" s="900" customFormat="1" outlineLevel="1">
      <c r="A511" s="893"/>
      <c r="B511" s="894"/>
      <c r="C511" s="898" t="s">
        <v>270</v>
      </c>
      <c r="D511" s="899"/>
      <c r="E511" s="889"/>
      <c r="F511" s="889"/>
      <c r="G511" s="889"/>
      <c r="H511" s="889"/>
      <c r="I511" s="889"/>
      <c r="R511" s="163"/>
      <c r="S511" s="911" t="str">
        <f>IF(OR('T2 NSA'!$A$5="MET",'T2 NSA'!$A$5="UK CAA + DfT Eurocontrol"),"N/A",ROUND('T2 NSA'!C36,$D$510))</f>
        <v>N/A</v>
      </c>
      <c r="T511" s="911" t="str">
        <f>IF(OR('T2 NSA'!$A$5="MET",'T2 NSA'!$A$5="UK CAA + DfT Eurocontrol"),"N/A",ROUND('T2 NSA'!D36,$D$510))</f>
        <v>N/A</v>
      </c>
      <c r="U511" s="911" t="str">
        <f>IF(OR('T2 NSA'!$A$5="MET",'T2 NSA'!$A$5="UK CAA + DfT Eurocontrol"),"N/A",ROUND('T2 NSA'!E36,$D$510))</f>
        <v>N/A</v>
      </c>
      <c r="V511" s="911" t="str">
        <f>IF(OR('T2 NSA'!$A$5="MET",'T2 NSA'!$A$5="UK CAA + DfT Eurocontrol"),"N/A",ROUND('T2 NSA'!F36,$D$510))</f>
        <v>N/A</v>
      </c>
      <c r="W511" s="911" t="str">
        <f>IF(OR('T2 NSA'!$A$5="MET",'T2 NSA'!$A$5="UK CAA + DfT Eurocontrol"),"N/A",ROUND('T2 NSA'!G36,$D$510))</f>
        <v>N/A</v>
      </c>
    </row>
    <row r="512" spans="1:23" s="896" customFormat="1">
      <c r="A512" s="893" t="s">
        <v>271</v>
      </c>
      <c r="B512" s="894" t="s">
        <v>272</v>
      </c>
      <c r="C512" s="895" t="s">
        <v>273</v>
      </c>
      <c r="D512" s="881">
        <v>2</v>
      </c>
      <c r="E512" s="889"/>
      <c r="F512" s="889"/>
      <c r="G512" s="889"/>
      <c r="H512" s="889"/>
      <c r="I512" s="889"/>
      <c r="N512" s="900"/>
      <c r="R512" s="163"/>
      <c r="S512" s="897" t="str">
        <f>IF(OR('T2 NSA'!$A$5="MET",'T2 NSA'!$A$5="UK CAA + DfT Eurocontrol"),"N/A",ROUND('T2 NSA'!C37,$D$512)=10%)</f>
        <v>N/A</v>
      </c>
      <c r="T512" s="897" t="str">
        <f>IF(OR('T2 NSA'!$A$5="MET",'T2 NSA'!$A$5="UK CAA + DfT Eurocontrol"),"N/A",ROUND('T2 NSA'!D37,$D$512)=10%)</f>
        <v>N/A</v>
      </c>
      <c r="U512" s="897" t="str">
        <f>IF(OR('T2 NSA'!$A$5="MET",'T2 NSA'!$A$5="UK CAA + DfT Eurocontrol"),"N/A",ROUND('T2 NSA'!E37,$D$512)=10%)</f>
        <v>N/A</v>
      </c>
      <c r="V512" s="897" t="str">
        <f>IF(OR('T2 NSA'!$A$5="MET",'T2 NSA'!$A$5="UK CAA + DfT Eurocontrol"),"N/A",ROUND('T2 NSA'!F37,$D$512)=10%)</f>
        <v>N/A</v>
      </c>
      <c r="W512" s="897" t="str">
        <f>IF(OR('T2 NSA'!$A$5="MET",'T2 NSA'!$A$5="UK CAA + DfT Eurocontrol"),"N/A",ROUND('T2 NSA'!G37,$D$512)=10%)</f>
        <v>N/A</v>
      </c>
    </row>
    <row r="513" spans="1:23" s="900" customFormat="1" outlineLevel="1">
      <c r="A513" s="893"/>
      <c r="B513" s="894"/>
      <c r="C513" s="898" t="s">
        <v>262</v>
      </c>
      <c r="D513" s="899"/>
      <c r="E513" s="889"/>
      <c r="F513" s="889"/>
      <c r="G513" s="889"/>
      <c r="H513" s="889"/>
      <c r="I513" s="889"/>
      <c r="R513" s="163"/>
      <c r="S513" s="911" t="str">
        <f>IF(OR('T2 NSA'!$A$5="MET",'T2 NSA'!$A$5="UK CAA + DfT Eurocontrol"),"N/A",ROUND('T2 NSA'!C37,$D$512))</f>
        <v>N/A</v>
      </c>
      <c r="T513" s="911" t="str">
        <f>IF(OR('T2 NSA'!$A$5="MET",'T2 NSA'!$A$5="UK CAA + DfT Eurocontrol"),"N/A",ROUND('T2 NSA'!D37,$D$512))</f>
        <v>N/A</v>
      </c>
      <c r="U513" s="911" t="str">
        <f>IF(OR('T2 NSA'!$A$5="MET",'T2 NSA'!$A$5="UK CAA + DfT Eurocontrol"),"N/A",ROUND('T2 NSA'!E37,$D$512))</f>
        <v>N/A</v>
      </c>
      <c r="V513" s="911" t="str">
        <f>IF(OR('T2 NSA'!$A$5="MET",'T2 NSA'!$A$5="UK CAA + DfT Eurocontrol"),"N/A",ROUND('T2 NSA'!F37,$D$512))</f>
        <v>N/A</v>
      </c>
      <c r="W513" s="911" t="str">
        <f>IF(OR('T2 NSA'!$A$5="MET",'T2 NSA'!$A$5="UK CAA + DfT Eurocontrol"),"N/A",ROUND('T2 NSA'!G37,$D$512))</f>
        <v>N/A</v>
      </c>
    </row>
    <row r="514" spans="1:23" s="896" customFormat="1">
      <c r="A514" s="893" t="s">
        <v>165</v>
      </c>
      <c r="B514" s="894" t="s">
        <v>166</v>
      </c>
      <c r="C514" s="895" t="s">
        <v>167</v>
      </c>
      <c r="D514" s="881">
        <v>3</v>
      </c>
      <c r="E514" s="889"/>
      <c r="F514" s="889"/>
      <c r="G514" s="889"/>
      <c r="H514" s="889"/>
      <c r="I514" s="889"/>
      <c r="N514" s="900"/>
      <c r="R514" s="163"/>
      <c r="S514" s="897" t="b">
        <f>ROUND('T2 NSA'!C38,$D$514)=ROUND('T1 NSA'!K68,$D$514)</f>
        <v>1</v>
      </c>
      <c r="T514" s="897" t="b">
        <f>ROUND('T2 NSA'!D38,$D$514)=ROUND('T1 NSA'!L68,$D$514)</f>
        <v>1</v>
      </c>
      <c r="U514" s="897" t="b">
        <f>ROUND('T2 NSA'!E38,$D$514)=ROUND('T1 NSA'!M68,$D$514)</f>
        <v>1</v>
      </c>
      <c r="V514" s="897" t="b">
        <f>ROUND('T2 NSA'!F38,$D$514)=ROUND('T1 NSA'!N68,$D$514)</f>
        <v>1</v>
      </c>
      <c r="W514" s="897" t="b">
        <f>ROUND('T2 NSA'!G38,$D$514)=ROUND('T1 NSA'!O68,$D$514)</f>
        <v>1</v>
      </c>
    </row>
    <row r="515" spans="1:23" s="900" customFormat="1" outlineLevel="1">
      <c r="A515" s="893"/>
      <c r="B515" s="894"/>
      <c r="C515" s="898" t="s">
        <v>168</v>
      </c>
      <c r="D515" s="899"/>
      <c r="E515" s="889"/>
      <c r="F515" s="889"/>
      <c r="G515" s="889"/>
      <c r="H515" s="889"/>
      <c r="I515" s="889"/>
      <c r="R515" s="163"/>
      <c r="S515" s="901">
        <f>ROUND('T2 NSA'!C38,$D$514)</f>
        <v>12647.945</v>
      </c>
      <c r="T515" s="901">
        <f>ROUND('T2 NSA'!D38,$D$514)</f>
        <v>12891</v>
      </c>
      <c r="U515" s="901">
        <f>ROUND('T2 NSA'!E38,$D$514)</f>
        <v>13183</v>
      </c>
      <c r="V515" s="901">
        <f>ROUND('T2 NSA'!F38,$D$514)</f>
        <v>11715</v>
      </c>
      <c r="W515" s="901">
        <f>ROUND('T2 NSA'!G38,$D$514)</f>
        <v>12228</v>
      </c>
    </row>
    <row r="516" spans="1:23" s="900" customFormat="1" outlineLevel="1">
      <c r="A516" s="893"/>
      <c r="B516" s="894"/>
      <c r="C516" s="898" t="s">
        <v>169</v>
      </c>
      <c r="D516" s="899"/>
      <c r="E516" s="889"/>
      <c r="F516" s="889"/>
      <c r="G516" s="889"/>
      <c r="H516" s="889"/>
      <c r="I516" s="889"/>
      <c r="R516" s="163"/>
      <c r="S516" s="901">
        <f>ROUND('T1 NSA'!K68,$D$514)</f>
        <v>12647.945</v>
      </c>
      <c r="T516" s="901">
        <f>ROUND('T1 NSA'!L68,$D$514)</f>
        <v>12891</v>
      </c>
      <c r="U516" s="901">
        <f>ROUND('T1 NSA'!M68,$D$514)</f>
        <v>13183</v>
      </c>
      <c r="V516" s="901">
        <f>ROUND('T1 NSA'!N68,$D$514)</f>
        <v>11715</v>
      </c>
      <c r="W516" s="901">
        <f>ROUND('T1 NSA'!O68,$D$514)</f>
        <v>12228</v>
      </c>
    </row>
    <row r="517" spans="1:23" s="896" customFormat="1">
      <c r="A517" s="893" t="s">
        <v>170</v>
      </c>
      <c r="B517" s="894">
        <v>4.7</v>
      </c>
      <c r="C517" s="903" t="s">
        <v>171</v>
      </c>
      <c r="D517" s="881">
        <v>3</v>
      </c>
      <c r="E517" s="889"/>
      <c r="F517" s="889"/>
      <c r="G517" s="889"/>
      <c r="H517" s="889"/>
      <c r="I517" s="889"/>
      <c r="J517" s="889"/>
      <c r="K517" s="889"/>
      <c r="L517" s="889"/>
      <c r="M517" s="889"/>
      <c r="N517" s="889"/>
      <c r="R517" s="163"/>
    </row>
    <row r="518" spans="1:23" s="900" customFormat="1" outlineLevel="1">
      <c r="A518" s="893"/>
      <c r="B518" s="894"/>
      <c r="C518" s="904" t="s">
        <v>172</v>
      </c>
      <c r="D518" s="905"/>
      <c r="E518" s="889"/>
      <c r="F518" s="889"/>
      <c r="G518" s="889"/>
      <c r="H518" s="889"/>
      <c r="I518" s="889"/>
      <c r="J518" s="889"/>
      <c r="K518" s="889"/>
      <c r="L518" s="889"/>
      <c r="M518" s="889"/>
      <c r="N518" s="889"/>
      <c r="R518" s="163"/>
    </row>
    <row r="519" spans="1:23" s="900" customFormat="1" outlineLevel="1">
      <c r="A519" s="893"/>
      <c r="B519" s="894"/>
      <c r="C519" s="904" t="s">
        <v>173</v>
      </c>
      <c r="D519" s="905"/>
      <c r="E519" s="889"/>
      <c r="F519" s="889"/>
      <c r="G519" s="889"/>
      <c r="H519" s="889"/>
      <c r="I519" s="889"/>
      <c r="J519" s="889"/>
      <c r="K519" s="889"/>
      <c r="L519" s="889"/>
      <c r="M519" s="889"/>
      <c r="N519" s="889"/>
      <c r="R519" s="163"/>
    </row>
    <row r="520" spans="1:23" s="896" customFormat="1">
      <c r="A520" s="893" t="s">
        <v>174</v>
      </c>
      <c r="B520" s="894">
        <v>4.8</v>
      </c>
      <c r="C520" s="903" t="s">
        <v>175</v>
      </c>
      <c r="D520" s="881">
        <v>3</v>
      </c>
      <c r="E520" s="889"/>
      <c r="F520" s="889"/>
      <c r="G520" s="889"/>
      <c r="H520" s="889"/>
      <c r="I520" s="889"/>
      <c r="J520" s="889"/>
      <c r="K520" s="889"/>
      <c r="L520" s="889"/>
      <c r="M520" s="889"/>
      <c r="N520" s="889"/>
      <c r="R520" s="163"/>
    </row>
    <row r="521" spans="1:23" s="900" customFormat="1" outlineLevel="1">
      <c r="A521" s="893"/>
      <c r="B521" s="894"/>
      <c r="C521" s="904" t="s">
        <v>176</v>
      </c>
      <c r="D521" s="905"/>
      <c r="E521" s="889"/>
      <c r="F521" s="889"/>
      <c r="G521" s="889"/>
      <c r="H521" s="889"/>
      <c r="I521" s="889"/>
      <c r="J521" s="889"/>
      <c r="K521" s="889"/>
      <c r="L521" s="889"/>
      <c r="M521" s="889"/>
      <c r="N521" s="889"/>
      <c r="R521" s="163"/>
    </row>
    <row r="522" spans="1:23" s="900" customFormat="1" outlineLevel="1">
      <c r="A522" s="893"/>
      <c r="B522" s="894"/>
      <c r="C522" s="904" t="s">
        <v>177</v>
      </c>
      <c r="D522" s="905"/>
      <c r="E522" s="889"/>
      <c r="F522" s="889"/>
      <c r="G522" s="889"/>
      <c r="H522" s="889"/>
      <c r="I522" s="889"/>
      <c r="J522" s="889"/>
      <c r="K522" s="889"/>
      <c r="L522" s="889"/>
      <c r="M522" s="889"/>
      <c r="N522" s="889"/>
      <c r="R522" s="163"/>
    </row>
    <row r="523" spans="1:23" s="896" customFormat="1">
      <c r="A523" s="893" t="s">
        <v>178</v>
      </c>
      <c r="B523" s="894" t="s">
        <v>179</v>
      </c>
      <c r="C523" s="903" t="s">
        <v>180</v>
      </c>
      <c r="D523" s="881">
        <v>3</v>
      </c>
      <c r="E523" s="889"/>
      <c r="F523" s="889"/>
      <c r="G523" s="889"/>
      <c r="H523" s="889"/>
      <c r="I523" s="889"/>
      <c r="J523" s="889"/>
      <c r="K523" s="889"/>
      <c r="L523" s="889"/>
      <c r="M523" s="889"/>
      <c r="N523" s="889"/>
      <c r="R523" s="163"/>
    </row>
    <row r="524" spans="1:23" s="900" customFormat="1" outlineLevel="1">
      <c r="A524" s="893"/>
      <c r="B524" s="894"/>
      <c r="C524" s="904" t="s">
        <v>181</v>
      </c>
      <c r="D524" s="899"/>
      <c r="E524" s="889"/>
      <c r="F524" s="889"/>
      <c r="G524" s="889"/>
      <c r="H524" s="889"/>
      <c r="I524" s="889"/>
      <c r="J524" s="889"/>
      <c r="K524" s="889"/>
      <c r="L524" s="889"/>
      <c r="M524" s="889"/>
      <c r="N524" s="889"/>
      <c r="R524" s="163"/>
    </row>
    <row r="525" spans="1:23" s="900" customFormat="1" outlineLevel="1">
      <c r="A525" s="893"/>
      <c r="B525" s="894"/>
      <c r="C525" s="904" t="s">
        <v>182</v>
      </c>
      <c r="D525" s="899"/>
      <c r="E525" s="889"/>
      <c r="F525" s="889"/>
      <c r="G525" s="889"/>
      <c r="H525" s="889"/>
      <c r="I525" s="889"/>
      <c r="J525" s="889"/>
      <c r="K525" s="889"/>
      <c r="L525" s="889"/>
      <c r="M525" s="889"/>
      <c r="N525" s="889"/>
      <c r="R525" s="163"/>
    </row>
    <row r="526" spans="1:23" s="896" customFormat="1">
      <c r="A526" s="893" t="s">
        <v>183</v>
      </c>
      <c r="B526" s="894" t="s">
        <v>34</v>
      </c>
      <c r="C526" s="895" t="s">
        <v>184</v>
      </c>
      <c r="D526" s="881">
        <v>3</v>
      </c>
      <c r="E526" s="889"/>
      <c r="F526" s="889"/>
      <c r="G526" s="889"/>
      <c r="H526" s="889"/>
      <c r="I526" s="889"/>
      <c r="J526" s="889"/>
      <c r="K526" s="889"/>
      <c r="L526" s="889"/>
      <c r="M526" s="889"/>
      <c r="N526" s="889"/>
      <c r="R526" s="163"/>
    </row>
    <row r="527" spans="1:23" s="900" customFormat="1" outlineLevel="1">
      <c r="A527" s="893"/>
      <c r="B527" s="894"/>
      <c r="C527" s="898" t="s">
        <v>185</v>
      </c>
      <c r="D527" s="899"/>
      <c r="E527" s="889"/>
      <c r="F527" s="889"/>
      <c r="G527" s="889"/>
      <c r="H527" s="889"/>
      <c r="I527" s="889"/>
      <c r="J527" s="889"/>
      <c r="K527" s="889"/>
      <c r="L527" s="889"/>
      <c r="M527" s="889"/>
      <c r="N527" s="889"/>
      <c r="R527" s="163"/>
    </row>
    <row r="528" spans="1:23" s="900" customFormat="1" outlineLevel="1">
      <c r="A528" s="893"/>
      <c r="B528" s="894"/>
      <c r="C528" s="898" t="s">
        <v>186</v>
      </c>
      <c r="D528" s="899"/>
      <c r="E528" s="889"/>
      <c r="F528" s="889"/>
      <c r="G528" s="889"/>
      <c r="H528" s="889"/>
      <c r="I528" s="889"/>
      <c r="J528" s="889"/>
      <c r="K528" s="889"/>
      <c r="L528" s="889"/>
      <c r="M528" s="889"/>
      <c r="N528" s="889"/>
      <c r="R528" s="163"/>
    </row>
    <row r="529" spans="1:23" s="896" customFormat="1">
      <c r="A529" s="893" t="s">
        <v>183</v>
      </c>
      <c r="B529" s="894" t="s">
        <v>38</v>
      </c>
      <c r="C529" s="895" t="s">
        <v>187</v>
      </c>
      <c r="D529" s="881">
        <v>3</v>
      </c>
      <c r="E529" s="889"/>
      <c r="F529" s="889"/>
      <c r="G529" s="889"/>
      <c r="H529" s="889"/>
      <c r="I529" s="889"/>
      <c r="J529" s="889"/>
      <c r="K529" s="889"/>
      <c r="L529" s="889"/>
      <c r="M529" s="889"/>
      <c r="N529" s="889"/>
      <c r="R529" s="163"/>
    </row>
    <row r="530" spans="1:23" s="900" customFormat="1" outlineLevel="1">
      <c r="A530" s="893"/>
      <c r="B530" s="894"/>
      <c r="C530" s="898" t="s">
        <v>185</v>
      </c>
      <c r="D530" s="899"/>
      <c r="E530" s="889"/>
      <c r="F530" s="889"/>
      <c r="G530" s="889"/>
      <c r="H530" s="889"/>
      <c r="I530" s="889"/>
      <c r="J530" s="889"/>
      <c r="K530" s="889"/>
      <c r="L530" s="889"/>
      <c r="M530" s="889"/>
      <c r="N530" s="889"/>
      <c r="R530" s="163"/>
    </row>
    <row r="531" spans="1:23" s="900" customFormat="1" outlineLevel="1">
      <c r="A531" s="893"/>
      <c r="B531" s="894"/>
      <c r="C531" s="898" t="s">
        <v>186</v>
      </c>
      <c r="D531" s="899"/>
      <c r="E531" s="889"/>
      <c r="F531" s="889"/>
      <c r="G531" s="889"/>
      <c r="H531" s="889"/>
      <c r="I531" s="889"/>
      <c r="J531" s="889"/>
      <c r="K531" s="889"/>
      <c r="L531" s="889"/>
      <c r="M531" s="889"/>
      <c r="N531" s="889"/>
      <c r="R531" s="163"/>
    </row>
    <row r="532" spans="1:23" s="896" customFormat="1">
      <c r="A532" s="893" t="s">
        <v>183</v>
      </c>
      <c r="B532" s="894" t="s">
        <v>58</v>
      </c>
      <c r="C532" s="895" t="s">
        <v>188</v>
      </c>
      <c r="D532" s="881">
        <v>3</v>
      </c>
      <c r="E532" s="889"/>
      <c r="F532" s="889"/>
      <c r="G532" s="889"/>
      <c r="H532" s="889"/>
      <c r="I532" s="889"/>
      <c r="J532" s="889"/>
      <c r="K532" s="889"/>
      <c r="L532" s="889"/>
      <c r="M532" s="889"/>
      <c r="N532" s="889"/>
      <c r="R532" s="163"/>
    </row>
    <row r="533" spans="1:23" s="900" customFormat="1" outlineLevel="1">
      <c r="A533" s="893"/>
      <c r="B533" s="894"/>
      <c r="C533" s="898" t="s">
        <v>189</v>
      </c>
      <c r="D533" s="899"/>
      <c r="E533" s="889"/>
      <c r="F533" s="889"/>
      <c r="G533" s="889"/>
      <c r="H533" s="889"/>
      <c r="I533" s="889"/>
      <c r="J533" s="889"/>
      <c r="K533" s="889"/>
      <c r="L533" s="889"/>
      <c r="M533" s="889"/>
      <c r="N533" s="889"/>
      <c r="R533" s="163"/>
    </row>
    <row r="534" spans="1:23" s="900" customFormat="1" outlineLevel="1">
      <c r="A534" s="893"/>
      <c r="B534" s="894"/>
      <c r="C534" s="898" t="s">
        <v>190</v>
      </c>
      <c r="D534" s="899"/>
      <c r="E534" s="889"/>
      <c r="F534" s="889"/>
      <c r="G534" s="889"/>
      <c r="H534" s="889"/>
      <c r="I534" s="889"/>
      <c r="J534" s="889"/>
      <c r="K534" s="889"/>
      <c r="L534" s="889"/>
      <c r="M534" s="889"/>
      <c r="N534" s="889"/>
      <c r="R534" s="163"/>
    </row>
    <row r="535" spans="1:23" s="896" customFormat="1">
      <c r="A535" s="893" t="s">
        <v>191</v>
      </c>
      <c r="B535" s="894" t="s">
        <v>192</v>
      </c>
      <c r="C535" s="895" t="s">
        <v>193</v>
      </c>
      <c r="D535" s="881">
        <v>3</v>
      </c>
      <c r="E535" s="889"/>
      <c r="F535" s="889"/>
      <c r="G535" s="889"/>
      <c r="H535" s="889"/>
      <c r="I535" s="889"/>
      <c r="J535" s="889"/>
      <c r="K535" s="889"/>
      <c r="L535" s="889"/>
      <c r="M535" s="889"/>
      <c r="N535" s="889"/>
      <c r="R535" s="163"/>
    </row>
    <row r="536" spans="1:23" s="900" customFormat="1" outlineLevel="1">
      <c r="A536" s="893"/>
      <c r="B536" s="894"/>
      <c r="C536" s="898" t="s">
        <v>194</v>
      </c>
      <c r="D536" s="899"/>
      <c r="E536" s="889"/>
      <c r="F536" s="889"/>
      <c r="G536" s="889"/>
      <c r="H536" s="889"/>
      <c r="I536" s="889"/>
      <c r="J536" s="889"/>
      <c r="K536" s="889"/>
      <c r="L536" s="889"/>
      <c r="M536" s="889"/>
      <c r="N536" s="889"/>
      <c r="R536" s="163"/>
    </row>
    <row r="537" spans="1:23" s="900" customFormat="1" outlineLevel="1">
      <c r="A537" s="893"/>
      <c r="B537" s="894"/>
      <c r="C537" s="883" t="s">
        <v>195</v>
      </c>
      <c r="D537" s="899"/>
      <c r="E537" s="889"/>
      <c r="F537" s="889"/>
      <c r="G537" s="889"/>
      <c r="H537" s="889"/>
      <c r="I537" s="889"/>
      <c r="J537" s="889"/>
      <c r="K537" s="889"/>
      <c r="L537" s="889"/>
      <c r="M537" s="889"/>
      <c r="N537" s="889"/>
      <c r="R537" s="163"/>
    </row>
    <row r="538" spans="1:23" s="896" customFormat="1">
      <c r="A538" s="893" t="s">
        <v>196</v>
      </c>
      <c r="B538" s="894" t="s">
        <v>197</v>
      </c>
      <c r="C538" s="895" t="s">
        <v>198</v>
      </c>
      <c r="D538" s="881">
        <v>3</v>
      </c>
      <c r="E538" s="889"/>
      <c r="F538" s="889"/>
      <c r="G538" s="889"/>
      <c r="H538" s="889"/>
      <c r="I538" s="889"/>
      <c r="J538" s="889"/>
      <c r="K538" s="889"/>
      <c r="L538" s="889"/>
      <c r="M538" s="889"/>
      <c r="N538" s="889"/>
      <c r="R538" s="163"/>
    </row>
    <row r="539" spans="1:23" s="900" customFormat="1" outlineLevel="1">
      <c r="A539" s="893"/>
      <c r="B539" s="894"/>
      <c r="C539" s="898" t="s">
        <v>199</v>
      </c>
      <c r="D539" s="899"/>
      <c r="E539" s="889"/>
      <c r="F539" s="889"/>
      <c r="G539" s="889"/>
      <c r="H539" s="889"/>
      <c r="I539" s="889"/>
      <c r="J539" s="889"/>
      <c r="K539" s="889"/>
      <c r="L539" s="889"/>
      <c r="M539" s="889"/>
      <c r="N539" s="889"/>
      <c r="R539" s="163"/>
    </row>
    <row r="540" spans="1:23" s="900" customFormat="1" outlineLevel="1">
      <c r="A540" s="893"/>
      <c r="B540" s="894"/>
      <c r="C540" s="883" t="s">
        <v>200</v>
      </c>
      <c r="D540" s="899"/>
      <c r="E540" s="889"/>
      <c r="F540" s="889"/>
      <c r="G540" s="889"/>
      <c r="H540" s="889"/>
      <c r="I540" s="889"/>
      <c r="J540" s="889"/>
      <c r="K540" s="889"/>
      <c r="L540" s="889"/>
      <c r="M540" s="889"/>
      <c r="N540" s="889"/>
      <c r="R540" s="163"/>
    </row>
    <row r="541" spans="1:23" s="896" customFormat="1">
      <c r="A541" s="893" t="s">
        <v>133</v>
      </c>
      <c r="B541" s="894" t="s">
        <v>201</v>
      </c>
      <c r="C541" s="895" t="s">
        <v>202</v>
      </c>
      <c r="D541" s="881">
        <v>3</v>
      </c>
      <c r="E541" s="889"/>
      <c r="F541" s="889"/>
      <c r="G541" s="889"/>
      <c r="H541" s="889"/>
      <c r="I541" s="889"/>
      <c r="R541" s="163"/>
      <c r="S541" s="897" t="b">
        <f>ROUND('T2 NSA'!C81,$D$541)=ROUND('T2 NSA'!C12,$D$541)</f>
        <v>1</v>
      </c>
      <c r="T541" s="897" t="b">
        <f>ROUND('T2 NSA'!D81,$D$541)=ROUND('T2 NSA'!D12,$D$541)</f>
        <v>1</v>
      </c>
      <c r="U541" s="897" t="b">
        <f>ROUND('T2 NSA'!E81,$D$541)=ROUND('T2 NSA'!E12,$D$541)</f>
        <v>1</v>
      </c>
      <c r="V541" s="897" t="b">
        <f>ROUND('T2 NSA'!F81,$D$541)=ROUND('T2 NSA'!F12,$D$541)</f>
        <v>1</v>
      </c>
      <c r="W541" s="897" t="b">
        <f>ROUND('T2 NSA'!G81,$D$541)=ROUND('T2 NSA'!G12,$D$541)</f>
        <v>1</v>
      </c>
    </row>
    <row r="542" spans="1:23" s="900" customFormat="1" outlineLevel="1">
      <c r="A542" s="893"/>
      <c r="B542" s="894"/>
      <c r="C542" s="898" t="s">
        <v>203</v>
      </c>
      <c r="D542" s="899"/>
      <c r="E542" s="889"/>
      <c r="F542" s="889"/>
      <c r="G542" s="889"/>
      <c r="H542" s="889"/>
      <c r="I542" s="889"/>
      <c r="R542" s="163"/>
      <c r="S542" s="901">
        <f>ROUND('T2 NSA'!C81,$D$541)</f>
        <v>69525.566999999995</v>
      </c>
      <c r="T542" s="901">
        <f>ROUND('T2 NSA'!D81,$D$541)</f>
        <v>70562.278000000006</v>
      </c>
      <c r="U542" s="901">
        <f>ROUND('T2 NSA'!E81,$D$541)</f>
        <v>70564.365999999995</v>
      </c>
      <c r="V542" s="901">
        <f>ROUND('T2 NSA'!F81,$D$541)</f>
        <v>76714.453999999998</v>
      </c>
      <c r="W542" s="901">
        <f>ROUND('T2 NSA'!G81,$D$541)</f>
        <v>76912.335999999996</v>
      </c>
    </row>
    <row r="543" spans="1:23" s="900" customFormat="1" outlineLevel="1">
      <c r="A543" s="893"/>
      <c r="B543" s="894"/>
      <c r="C543" s="898" t="s">
        <v>204</v>
      </c>
      <c r="D543" s="899"/>
      <c r="E543" s="889"/>
      <c r="F543" s="889"/>
      <c r="G543" s="889"/>
      <c r="H543" s="889"/>
      <c r="I543" s="889"/>
      <c r="R543" s="163"/>
      <c r="S543" s="901">
        <f>ROUND('T2 NSA'!C12,$D$541)</f>
        <v>69525.566999999995</v>
      </c>
      <c r="T543" s="901">
        <f>ROUND('T2 NSA'!D12,$D$541)</f>
        <v>70562.278000000006</v>
      </c>
      <c r="U543" s="901">
        <f>ROUND('T2 NSA'!E12,$D$541)</f>
        <v>70564.365999999995</v>
      </c>
      <c r="V543" s="901">
        <f>ROUND('T2 NSA'!F12,$D$541)</f>
        <v>76714.453999999998</v>
      </c>
      <c r="W543" s="901">
        <f>ROUND('T2 NSA'!G12,$D$541)</f>
        <v>76912.335999999996</v>
      </c>
    </row>
    <row r="544" spans="1:23">
      <c r="A544" s="893" t="s">
        <v>205</v>
      </c>
      <c r="B544" s="894" t="s">
        <v>206</v>
      </c>
      <c r="C544" s="906" t="s">
        <v>207</v>
      </c>
      <c r="D544" s="881">
        <v>3</v>
      </c>
      <c r="E544" s="889"/>
      <c r="F544" s="889"/>
      <c r="G544" s="889"/>
      <c r="H544" s="889"/>
      <c r="I544" s="889"/>
      <c r="J544" s="163"/>
      <c r="K544" s="163"/>
      <c r="L544" s="163"/>
      <c r="S544" s="897" t="b">
        <f>ROUND('T2 NSA'!C82,$D$544)=ROUND('T3 NSA'!E17,$D$544)</f>
        <v>0</v>
      </c>
      <c r="T544" s="897" t="b">
        <f>ROUND('T2 NSA'!D82,$D$544)=ROUND('T3 NSA'!F17,$D$544)</f>
        <v>0</v>
      </c>
      <c r="U544" s="897" t="b">
        <f>ROUND('T2 NSA'!E82,$D$544)=ROUND('T3 NSA'!G17,$D$544)</f>
        <v>1</v>
      </c>
      <c r="V544" s="897" t="b">
        <f>ROUND('T2 NSA'!F82,$D$544)=ROUND('T3 NSA'!H17,$D$544)</f>
        <v>1</v>
      </c>
      <c r="W544" s="897" t="b">
        <f>ROUND('T2 NSA'!G82,$D$544)=ROUND('T3 NSA'!I17,$D$544)</f>
        <v>1</v>
      </c>
    </row>
    <row r="545" spans="1:23" outlineLevel="1">
      <c r="A545" s="894"/>
      <c r="B545" s="894"/>
      <c r="C545" s="907" t="s">
        <v>208</v>
      </c>
      <c r="D545" s="908"/>
      <c r="E545" s="889"/>
      <c r="F545" s="889"/>
      <c r="G545" s="889"/>
      <c r="H545" s="889"/>
      <c r="I545" s="889"/>
      <c r="J545" s="163"/>
      <c r="K545" s="163"/>
      <c r="L545" s="163"/>
      <c r="S545" s="901">
        <f>ROUND('T2 NSA'!C82,$D$544)</f>
        <v>-1453</v>
      </c>
      <c r="T545" s="901">
        <f>ROUND('T2 NSA'!D82,$D$544)</f>
        <v>-1608.5</v>
      </c>
      <c r="U545" s="901">
        <f>ROUND('T2 NSA'!E82,$D$544)</f>
        <v>0</v>
      </c>
      <c r="V545" s="901">
        <f>ROUND('T2 NSA'!F82,$D$544)</f>
        <v>0</v>
      </c>
      <c r="W545" s="901">
        <f>ROUND('T2 NSA'!G82,$D$544)</f>
        <v>0</v>
      </c>
    </row>
    <row r="546" spans="1:23" outlineLevel="1">
      <c r="A546" s="894"/>
      <c r="B546" s="894"/>
      <c r="C546" s="907" t="s">
        <v>209</v>
      </c>
      <c r="D546" s="908"/>
      <c r="E546" s="889"/>
      <c r="F546" s="889"/>
      <c r="G546" s="889"/>
      <c r="H546" s="889"/>
      <c r="I546" s="889"/>
      <c r="J546" s="163"/>
      <c r="K546" s="163"/>
      <c r="L546" s="163"/>
      <c r="S546" s="901">
        <f>ROUND('T3 NSA'!E17,$D$544)</f>
        <v>0</v>
      </c>
      <c r="T546" s="901">
        <f>ROUND('T3 NSA'!F17,$D$544)</f>
        <v>0</v>
      </c>
      <c r="U546" s="901">
        <f>ROUND('T3 NSA'!G17,$D$544)</f>
        <v>0</v>
      </c>
      <c r="V546" s="901">
        <f>ROUND('T3 NSA'!H17,$D$544)</f>
        <v>0</v>
      </c>
      <c r="W546" s="901">
        <f>ROUND('T3 NSA'!I17,$D$544)</f>
        <v>0</v>
      </c>
    </row>
    <row r="547" spans="1:23">
      <c r="A547" s="894" t="s">
        <v>210</v>
      </c>
      <c r="B547" s="894" t="s">
        <v>211</v>
      </c>
      <c r="C547" s="906" t="s">
        <v>212</v>
      </c>
      <c r="D547" s="881">
        <v>3</v>
      </c>
      <c r="E547" s="889"/>
      <c r="F547" s="889"/>
      <c r="G547" s="889"/>
      <c r="H547" s="889"/>
      <c r="I547" s="889"/>
      <c r="J547" s="163"/>
      <c r="K547" s="163"/>
      <c r="L547" s="163"/>
      <c r="S547" s="897" t="b">
        <f>ROUND('T2 NSA'!C83,$D$547)=ROUND('T3 NSA'!E28,$D$547)</f>
        <v>1</v>
      </c>
      <c r="T547" s="897" t="b">
        <f>ROUND('T2 NSA'!D83,$D$547)=ROUND('T3 NSA'!F28,$D$547)</f>
        <v>1</v>
      </c>
      <c r="U547" s="897" t="b">
        <f>ROUND('T2 NSA'!E83,$D$547)=ROUND('T3 NSA'!G28,$D$547)</f>
        <v>1</v>
      </c>
      <c r="V547" s="897" t="b">
        <f>ROUND('T2 NSA'!F83,$D$547)=ROUND('T3 NSA'!H28,$D$547)</f>
        <v>1</v>
      </c>
      <c r="W547" s="897" t="b">
        <f>ROUND('T2 NSA'!G83,$D$547)=ROUND('T3 NSA'!I28,$D$547)</f>
        <v>1</v>
      </c>
    </row>
    <row r="548" spans="1:23" outlineLevel="1">
      <c r="A548" s="894"/>
      <c r="B548" s="894"/>
      <c r="C548" s="907" t="s">
        <v>208</v>
      </c>
      <c r="D548" s="908"/>
      <c r="E548" s="889"/>
      <c r="F548" s="889"/>
      <c r="G548" s="889"/>
      <c r="H548" s="889"/>
      <c r="I548" s="889"/>
      <c r="J548" s="163"/>
      <c r="K548" s="163"/>
      <c r="L548" s="163"/>
      <c r="S548" s="901">
        <f>ROUND('T2 NSA'!C83,$D$547)</f>
        <v>0</v>
      </c>
      <c r="T548" s="901">
        <f>ROUND('T2 NSA'!D83,$D$547)</f>
        <v>0</v>
      </c>
      <c r="U548" s="901">
        <f>ROUND('T2 NSA'!E83,$D$547)</f>
        <v>0</v>
      </c>
      <c r="V548" s="901">
        <f>ROUND('T2 NSA'!F83,$D$547)</f>
        <v>0</v>
      </c>
      <c r="W548" s="901">
        <f>ROUND('T2 NSA'!G83,$D$547)</f>
        <v>0</v>
      </c>
    </row>
    <row r="549" spans="1:23" outlineLevel="1">
      <c r="A549" s="894"/>
      <c r="B549" s="894"/>
      <c r="C549" s="907" t="s">
        <v>209</v>
      </c>
      <c r="D549" s="908"/>
      <c r="E549" s="889"/>
      <c r="F549" s="889"/>
      <c r="G549" s="889"/>
      <c r="H549" s="889"/>
      <c r="I549" s="889"/>
      <c r="J549" s="163"/>
      <c r="K549" s="163"/>
      <c r="L549" s="163"/>
      <c r="S549" s="901">
        <f>ROUND('T3 NSA'!E28,$D$547)</f>
        <v>0</v>
      </c>
      <c r="T549" s="901">
        <f>ROUND('T3 NSA'!F28,$D$547)</f>
        <v>0</v>
      </c>
      <c r="U549" s="901">
        <f>ROUND('T3 NSA'!G28,$D$547)</f>
        <v>0</v>
      </c>
      <c r="V549" s="901">
        <f>ROUND('T3 NSA'!H28,$D$547)</f>
        <v>0</v>
      </c>
      <c r="W549" s="901">
        <f>ROUND('T3 NSA'!I28,$D$547)</f>
        <v>0</v>
      </c>
    </row>
    <row r="550" spans="1:23">
      <c r="A550" s="894" t="s">
        <v>213</v>
      </c>
      <c r="B550" s="894" t="s">
        <v>214</v>
      </c>
      <c r="C550" s="906" t="s">
        <v>215</v>
      </c>
      <c r="D550" s="881">
        <v>3</v>
      </c>
      <c r="E550" s="889"/>
      <c r="F550" s="889"/>
      <c r="G550" s="889"/>
      <c r="H550" s="889"/>
      <c r="I550" s="889"/>
      <c r="J550" s="163"/>
      <c r="K550" s="163"/>
      <c r="L550" s="163"/>
      <c r="S550" s="897" t="b">
        <f>ROUND('T2 NSA'!C84,$D$550)=ROUND('T3 NSA'!E35+'T3 NSA'!E42+'T3 NSA'!E49+'T3 NSA'!E56+'T3 NSA'!E63+'T3 NSA'!E70+'T3 NSA'!E75,$D$550)</f>
        <v>1</v>
      </c>
      <c r="T550" s="897" t="b">
        <f>ROUND('T2 NSA'!D84,$D$550)=ROUND('T3 NSA'!F35+'T3 NSA'!F42+'T3 NSA'!F49+'T3 NSA'!F56+'T3 NSA'!F63+'T3 NSA'!F70+'T3 NSA'!F75,$D$550)</f>
        <v>0</v>
      </c>
      <c r="U550" s="897" t="b">
        <f>ROUND('T2 NSA'!E84,$D$550)=ROUND('T3 NSA'!G35+'T3 NSA'!G42+'T3 NSA'!G49+'T3 NSA'!G56+'T3 NSA'!G63+'T3 NSA'!G70+'T3 NSA'!G75,$D$550)</f>
        <v>0</v>
      </c>
      <c r="V550" s="897" t="b">
        <f>ROUND('T2 NSA'!F84,$D$550)=ROUND('T3 NSA'!H35+'T3 NSA'!H42+'T3 NSA'!H49+'T3 NSA'!H56+'T3 NSA'!H63+'T3 NSA'!H70+'T3 NSA'!H75,$D$550)</f>
        <v>0</v>
      </c>
      <c r="W550" s="897" t="b">
        <f>ROUND('T2 NSA'!G84,$D$550)=ROUND('T3 NSA'!I35+'T3 NSA'!I42+'T3 NSA'!I49+'T3 NSA'!I56+'T3 NSA'!I63+'T3 NSA'!I70+'T3 NSA'!I75,$D$550)</f>
        <v>1</v>
      </c>
    </row>
    <row r="551" spans="1:23" outlineLevel="1">
      <c r="A551" s="894"/>
      <c r="B551" s="894"/>
      <c r="C551" s="907" t="s">
        <v>208</v>
      </c>
      <c r="D551" s="908"/>
      <c r="E551" s="889"/>
      <c r="F551" s="889"/>
      <c r="G551" s="889"/>
      <c r="H551" s="889"/>
      <c r="I551" s="889"/>
      <c r="J551" s="163"/>
      <c r="K551" s="163"/>
      <c r="L551" s="163"/>
      <c r="S551" s="901">
        <f>ROUND('T2 NSA'!C84,$D$550)</f>
        <v>0</v>
      </c>
      <c r="T551" s="901">
        <f>ROUND('T2 NSA'!D84,$D$550)</f>
        <v>-5528.924</v>
      </c>
      <c r="U551" s="901">
        <f>ROUND('T2 NSA'!E84,$D$550)</f>
        <v>0</v>
      </c>
      <c r="V551" s="901">
        <f>ROUND('T2 NSA'!F84,$D$550)</f>
        <v>0</v>
      </c>
      <c r="W551" s="901">
        <f>ROUND('T2 NSA'!G84,$D$550)</f>
        <v>0</v>
      </c>
    </row>
    <row r="552" spans="1:23" outlineLevel="1">
      <c r="A552" s="894"/>
      <c r="B552" s="894"/>
      <c r="C552" s="907" t="s">
        <v>209</v>
      </c>
      <c r="D552" s="908"/>
      <c r="E552" s="889"/>
      <c r="F552" s="889"/>
      <c r="G552" s="889"/>
      <c r="H552" s="889"/>
      <c r="I552" s="889"/>
      <c r="J552" s="163"/>
      <c r="K552" s="163"/>
      <c r="L552" s="163"/>
      <c r="S552" s="901">
        <f>ROUND('T3 NSA'!E35+'T3 NSA'!E42+'T3 NSA'!E49+'T3 NSA'!E56+'T3 NSA'!E63+'T3 NSA'!E70+'T3 NSA'!E75,$D$550)</f>
        <v>0</v>
      </c>
      <c r="T552" s="901">
        <f>ROUND('T3 NSA'!F35+'T3 NSA'!F42+'T3 NSA'!F49+'T3 NSA'!F56+'T3 NSA'!F63+'T3 NSA'!F70+'T3 NSA'!F75,$D$550)</f>
        <v>0</v>
      </c>
      <c r="U552" s="901">
        <f>ROUND('T3 NSA'!G35+'T3 NSA'!G42+'T3 NSA'!G49+'T3 NSA'!G56+'T3 NSA'!G63+'T3 NSA'!G70+'T3 NSA'!G75,$D$550)</f>
        <v>-7519.6360000000004</v>
      </c>
      <c r="V552" s="901">
        <f>ROUND('T3 NSA'!H35+'T3 NSA'!H42+'T3 NSA'!H49+'T3 NSA'!H56+'T3 NSA'!H63+'T3 NSA'!H70+'T3 NSA'!H75,$D$550)</f>
        <v>-6609.2650000000003</v>
      </c>
      <c r="W552" s="901">
        <f>ROUND('T3 NSA'!I35+'T3 NSA'!I42+'T3 NSA'!I49+'T3 NSA'!I56+'T3 NSA'!I63+'T3 NSA'!I70+'T3 NSA'!I75,$D$550)</f>
        <v>0</v>
      </c>
    </row>
    <row r="553" spans="1:23">
      <c r="A553" s="894" t="s">
        <v>216</v>
      </c>
      <c r="B553" s="894" t="s">
        <v>217</v>
      </c>
      <c r="C553" s="906" t="s">
        <v>218</v>
      </c>
      <c r="D553" s="881">
        <v>3</v>
      </c>
      <c r="E553" s="889"/>
      <c r="F553" s="889"/>
      <c r="G553" s="889"/>
      <c r="H553" s="889"/>
      <c r="I553" s="889"/>
      <c r="J553" s="163"/>
      <c r="K553" s="163"/>
      <c r="L553" s="163"/>
      <c r="S553" s="897" t="b">
        <f>ROUND('T2 NSA'!C85,$D$553)=ROUND('T3 NSA'!E86,$D$553)</f>
        <v>1</v>
      </c>
      <c r="T553" s="897" t="b">
        <f>ROUND('T2 NSA'!D85,$D$553)=ROUND('T3 NSA'!F86,$D$553)</f>
        <v>1</v>
      </c>
      <c r="U553" s="897" t="b">
        <f>ROUND('T2 NSA'!E85,$D$553)=ROUND('T3 NSA'!G86,$D$553)</f>
        <v>1</v>
      </c>
      <c r="V553" s="897" t="b">
        <f>ROUND('T2 NSA'!F85,$D$553)=ROUND('T3 NSA'!H86,$D$553)</f>
        <v>1</v>
      </c>
      <c r="W553" s="897" t="b">
        <f>ROUND('T2 NSA'!G85,$D$553)=ROUND('T3 NSA'!I86,$D$553)</f>
        <v>1</v>
      </c>
    </row>
    <row r="554" spans="1:23" outlineLevel="1">
      <c r="A554" s="894"/>
      <c r="B554" s="894"/>
      <c r="C554" s="907" t="s">
        <v>208</v>
      </c>
      <c r="D554" s="908"/>
      <c r="E554" s="889"/>
      <c r="F554" s="889"/>
      <c r="G554" s="889"/>
      <c r="H554" s="889"/>
      <c r="I554" s="889"/>
      <c r="J554" s="163"/>
      <c r="K554" s="163"/>
      <c r="L554" s="163"/>
      <c r="S554" s="901">
        <f>ROUND('T2 NSA'!C85,$D$553)</f>
        <v>0</v>
      </c>
      <c r="T554" s="901">
        <f>ROUND('T2 NSA'!D85,$D$553)</f>
        <v>0</v>
      </c>
      <c r="U554" s="901">
        <f>ROUND('T2 NSA'!E85,$D$553)</f>
        <v>0</v>
      </c>
      <c r="V554" s="901">
        <f>ROUND('T2 NSA'!F85,$D$553)</f>
        <v>0</v>
      </c>
      <c r="W554" s="901">
        <f>ROUND('T2 NSA'!G85,$D$553)</f>
        <v>0</v>
      </c>
    </row>
    <row r="555" spans="1:23" outlineLevel="1">
      <c r="A555" s="894"/>
      <c r="B555" s="894"/>
      <c r="C555" s="907" t="s">
        <v>209</v>
      </c>
      <c r="D555" s="908"/>
      <c r="E555" s="889"/>
      <c r="F555" s="889"/>
      <c r="G555" s="889"/>
      <c r="H555" s="889"/>
      <c r="I555" s="889"/>
      <c r="J555" s="163"/>
      <c r="K555" s="163"/>
      <c r="L555" s="163"/>
      <c r="S555" s="901">
        <f>ROUND('T3 NSA'!E86,$D$553)</f>
        <v>0</v>
      </c>
      <c r="T555" s="901">
        <f>ROUND('T3 NSA'!F86,$D$553)</f>
        <v>0</v>
      </c>
      <c r="U555" s="901">
        <f>ROUND('T3 NSA'!G86,$D$553)</f>
        <v>0</v>
      </c>
      <c r="V555" s="901">
        <f>ROUND('T3 NSA'!H86,$D$553)</f>
        <v>0</v>
      </c>
      <c r="W555" s="901">
        <f>ROUND('T3 NSA'!I86,$D$553)</f>
        <v>0</v>
      </c>
    </row>
    <row r="556" spans="1:23">
      <c r="A556" s="894" t="s">
        <v>219</v>
      </c>
      <c r="B556" s="894" t="s">
        <v>220</v>
      </c>
      <c r="C556" s="906" t="s">
        <v>221</v>
      </c>
      <c r="D556" s="881">
        <v>3</v>
      </c>
      <c r="E556" s="889"/>
      <c r="F556" s="889"/>
      <c r="G556" s="889"/>
      <c r="H556" s="889"/>
      <c r="I556" s="889"/>
      <c r="J556" s="163"/>
      <c r="K556" s="163"/>
      <c r="L556" s="163"/>
      <c r="S556" s="897" t="b">
        <f>ROUND('T2 NSA'!C86,$D$556)=ROUND('T3 NSA'!E97,$D$556)</f>
        <v>1</v>
      </c>
      <c r="T556" s="897" t="b">
        <f>ROUND('T2 NSA'!D86,$D$556)=ROUND('T3 NSA'!F97,$D$556)</f>
        <v>1</v>
      </c>
      <c r="U556" s="897" t="b">
        <f>ROUND('T2 NSA'!E86,$D$556)=ROUND('T3 NSA'!G97,$D$556)</f>
        <v>1</v>
      </c>
      <c r="V556" s="897" t="b">
        <f>ROUND('T2 NSA'!F86,$D$556)=ROUND('T3 NSA'!H97,$D$556)</f>
        <v>1</v>
      </c>
      <c r="W556" s="897" t="b">
        <f>ROUND('T2 NSA'!G86,$D$556)=ROUND('T3 NSA'!I97,$D$556)</f>
        <v>1</v>
      </c>
    </row>
    <row r="557" spans="1:23" outlineLevel="1">
      <c r="A557" s="894"/>
      <c r="B557" s="894"/>
      <c r="C557" s="907" t="s">
        <v>208</v>
      </c>
      <c r="D557" s="908"/>
      <c r="E557" s="889"/>
      <c r="F557" s="889"/>
      <c r="G557" s="889"/>
      <c r="H557" s="889"/>
      <c r="I557" s="889"/>
      <c r="J557" s="163"/>
      <c r="K557" s="163"/>
      <c r="L557" s="163"/>
      <c r="S557" s="901">
        <f>ROUND('T2 NSA'!C86,$D$556)</f>
        <v>0</v>
      </c>
      <c r="T557" s="901">
        <f>ROUND('T2 NSA'!D86,$D$556)</f>
        <v>0</v>
      </c>
      <c r="U557" s="901">
        <f>ROUND('T2 NSA'!E86,$D$556)</f>
        <v>0</v>
      </c>
      <c r="V557" s="901">
        <f>ROUND('T2 NSA'!F86,$D$556)</f>
        <v>0</v>
      </c>
      <c r="W557" s="901">
        <f>ROUND('T2 NSA'!G86,$D$556)</f>
        <v>0</v>
      </c>
    </row>
    <row r="558" spans="1:23" outlineLevel="1">
      <c r="A558" s="894"/>
      <c r="B558" s="894"/>
      <c r="C558" s="907" t="s">
        <v>209</v>
      </c>
      <c r="D558" s="908"/>
      <c r="E558" s="889"/>
      <c r="F558" s="889"/>
      <c r="G558" s="889"/>
      <c r="H558" s="889"/>
      <c r="I558" s="889"/>
      <c r="J558" s="163"/>
      <c r="K558" s="163"/>
      <c r="L558" s="163"/>
      <c r="S558" s="901">
        <f>ROUND('T3 NSA'!E97,$D$556)</f>
        <v>0</v>
      </c>
      <c r="T558" s="901">
        <f>ROUND('T3 NSA'!F97,$D$556)</f>
        <v>0</v>
      </c>
      <c r="U558" s="901">
        <f>ROUND('T3 NSA'!G97,$D$556)</f>
        <v>0</v>
      </c>
      <c r="V558" s="901">
        <f>ROUND('T3 NSA'!H97,$D$556)</f>
        <v>0</v>
      </c>
      <c r="W558" s="901">
        <f>ROUND('T3 NSA'!I97,$D$556)</f>
        <v>0</v>
      </c>
    </row>
    <row r="559" spans="1:23">
      <c r="A559" s="894" t="s">
        <v>222</v>
      </c>
      <c r="B559" s="894" t="s">
        <v>223</v>
      </c>
      <c r="C559" s="906" t="s">
        <v>224</v>
      </c>
      <c r="D559" s="881">
        <v>3</v>
      </c>
      <c r="E559" s="889"/>
      <c r="F559" s="889"/>
      <c r="G559" s="889"/>
      <c r="H559" s="889"/>
      <c r="I559" s="889"/>
      <c r="J559" s="163"/>
      <c r="K559" s="163"/>
      <c r="L559" s="163"/>
      <c r="S559" s="897" t="b">
        <f>ROUND('T2 NSA'!C87,$D$559)=ROUND('T3 NSA'!E114,$D$559)</f>
        <v>0</v>
      </c>
      <c r="T559" s="897" t="b">
        <f>ROUND('T2 NSA'!D87,$D$559)=ROUND('T3 NSA'!F114,$D$559)</f>
        <v>0</v>
      </c>
      <c r="U559" s="897" t="b">
        <f>ROUND('T2 NSA'!E87,$D$559)=ROUND('T3 NSA'!G114,$D$559)</f>
        <v>0</v>
      </c>
      <c r="V559" s="897" t="b">
        <f>ROUND('T2 NSA'!F87,$D$559)=ROUND('T3 NSA'!H114,$D$559)</f>
        <v>0</v>
      </c>
      <c r="W559" s="897" t="b">
        <f>ROUND('T2 NSA'!G87,$D$559)=ROUND('T3 NSA'!I114,$D$559)</f>
        <v>1</v>
      </c>
    </row>
    <row r="560" spans="1:23" outlineLevel="1">
      <c r="A560" s="894"/>
      <c r="B560" s="894"/>
      <c r="C560" s="907" t="s">
        <v>208</v>
      </c>
      <c r="D560" s="908"/>
      <c r="E560" s="889"/>
      <c r="F560" s="889"/>
      <c r="G560" s="889"/>
      <c r="H560" s="889"/>
      <c r="I560" s="889"/>
      <c r="J560" s="163"/>
      <c r="K560" s="163"/>
      <c r="L560" s="163"/>
      <c r="S560" s="901">
        <f>ROUND('T2 NSA'!C87,$D$559)</f>
        <v>-8107.9229999999998</v>
      </c>
      <c r="T560" s="901">
        <f>ROUND('T2 NSA'!D87,$D$559)</f>
        <v>-8764.768</v>
      </c>
      <c r="U560" s="901">
        <f>ROUND('T2 NSA'!E87,$D$559)</f>
        <v>35789.139000000003</v>
      </c>
      <c r="V560" s="901">
        <f>ROUND('T2 NSA'!F87,$D$559)</f>
        <v>31782.896000000001</v>
      </c>
      <c r="W560" s="901">
        <f>ROUND('T2 NSA'!G87,$D$559)</f>
        <v>0</v>
      </c>
    </row>
    <row r="561" spans="1:26" outlineLevel="1">
      <c r="A561" s="894"/>
      <c r="B561" s="894"/>
      <c r="C561" s="907" t="s">
        <v>209</v>
      </c>
      <c r="D561" s="908"/>
      <c r="E561" s="889"/>
      <c r="F561" s="889"/>
      <c r="G561" s="889"/>
      <c r="H561" s="889"/>
      <c r="I561" s="889"/>
      <c r="J561" s="163"/>
      <c r="K561" s="163"/>
      <c r="L561" s="163"/>
      <c r="S561" s="901">
        <f>ROUND('T3 NSA'!E114,$D$559)</f>
        <v>0</v>
      </c>
      <c r="T561" s="901">
        <f>ROUND('T3 NSA'!F114,$D$559)</f>
        <v>0</v>
      </c>
      <c r="U561" s="901">
        <f>ROUND('T3 NSA'!G114,$D$559)</f>
        <v>0</v>
      </c>
      <c r="V561" s="901">
        <f>ROUND('T3 NSA'!H114,$D$559)</f>
        <v>0</v>
      </c>
      <c r="W561" s="901">
        <f>ROUND('T3 NSA'!I114,$D$559)</f>
        <v>0</v>
      </c>
    </row>
    <row r="562" spans="1:26">
      <c r="A562" s="894" t="s">
        <v>225</v>
      </c>
      <c r="B562" s="894" t="s">
        <v>226</v>
      </c>
      <c r="C562" s="906" t="s">
        <v>227</v>
      </c>
      <c r="D562" s="881">
        <v>3</v>
      </c>
      <c r="E562" s="889"/>
      <c r="F562" s="889"/>
      <c r="G562" s="889"/>
      <c r="H562" s="889"/>
      <c r="I562" s="889"/>
      <c r="J562" s="163"/>
      <c r="K562" s="163"/>
      <c r="L562" s="163"/>
      <c r="S562" s="897" t="b">
        <f>ROUND('T2 NSA'!C88,$D$562)=ROUND('T3 NSA'!E125+'T3 NSA'!E136+'T3 NSA'!E147+'T3 NSA'!E158,$D$562)</f>
        <v>1</v>
      </c>
      <c r="T562" s="897" t="b">
        <f>ROUND('T2 NSA'!D88,$D$562)=ROUND('T3 NSA'!F125+'T3 NSA'!F136+'T3 NSA'!F147+'T3 NSA'!F158,$D$562)</f>
        <v>1</v>
      </c>
      <c r="U562" s="897" t="b">
        <f>ROUND('T2 NSA'!E88,$D$562)=ROUND('T3 NSA'!G125+'T3 NSA'!G136+'T3 NSA'!G147+'T3 NSA'!G158,$D$562)</f>
        <v>0</v>
      </c>
      <c r="V562" s="897" t="b">
        <f>ROUND('T2 NSA'!F88,$D$562)=ROUND('T3 NSA'!H125+'T3 NSA'!H136+'T3 NSA'!H147+'T3 NSA'!H158,$D$562)</f>
        <v>0</v>
      </c>
      <c r="W562" s="897" t="b">
        <f>ROUND('T2 NSA'!G88,$D$562)=ROUND('T3 NSA'!I125+'T3 NSA'!I136+'T3 NSA'!I147+'T3 NSA'!I158,$D$562)</f>
        <v>1</v>
      </c>
    </row>
    <row r="563" spans="1:26" outlineLevel="1">
      <c r="A563" s="894"/>
      <c r="B563" s="894"/>
      <c r="C563" s="907" t="s">
        <v>208</v>
      </c>
      <c r="D563" s="908"/>
      <c r="E563" s="889"/>
      <c r="F563" s="889"/>
      <c r="G563" s="889"/>
      <c r="H563" s="889"/>
      <c r="I563" s="889"/>
      <c r="J563" s="163"/>
      <c r="K563" s="163"/>
      <c r="L563" s="163"/>
      <c r="S563" s="901">
        <f>ROUND('T2 NSA'!C88,$D$562)</f>
        <v>0</v>
      </c>
      <c r="T563" s="901">
        <f>ROUND('T2 NSA'!D88,$D$562)</f>
        <v>0</v>
      </c>
      <c r="U563" s="901">
        <f>ROUND('T2 NSA'!E88,$D$562)</f>
        <v>0</v>
      </c>
      <c r="V563" s="901">
        <f>ROUND('T2 NSA'!F88,$D$562)</f>
        <v>0</v>
      </c>
      <c r="W563" s="901">
        <f>ROUND('T2 NSA'!G88,$D$562)</f>
        <v>0</v>
      </c>
    </row>
    <row r="564" spans="1:26" outlineLevel="1">
      <c r="A564" s="894"/>
      <c r="B564" s="894"/>
      <c r="C564" s="907" t="s">
        <v>209</v>
      </c>
      <c r="D564" s="908"/>
      <c r="E564" s="889"/>
      <c r="F564" s="889"/>
      <c r="G564" s="889"/>
      <c r="H564" s="889"/>
      <c r="I564" s="889"/>
      <c r="J564" s="163"/>
      <c r="K564" s="163"/>
      <c r="L564" s="163"/>
      <c r="S564" s="901">
        <f>ROUND('T3 NSA'!E125+'T3 NSA'!E136+'T3 NSA'!E147+'T3 NSA'!E158,$D$562)</f>
        <v>0</v>
      </c>
      <c r="T564" s="901">
        <f>ROUND('T3 NSA'!F125+'T3 NSA'!F136+'T3 NSA'!F147+'T3 NSA'!F158,$D$562)</f>
        <v>0</v>
      </c>
      <c r="U564" s="901">
        <f>ROUND('T3 NSA'!G125+'T3 NSA'!G136+'T3 NSA'!G147+'T3 NSA'!G158,$D$562)</f>
        <v>-5706.3159999999998</v>
      </c>
      <c r="V564" s="901">
        <f>ROUND('T3 NSA'!H125+'T3 NSA'!H136+'T3 NSA'!H147+'T3 NSA'!H158,$D$562)</f>
        <v>41029.455000000002</v>
      </c>
      <c r="W564" s="901">
        <f>ROUND('T3 NSA'!I125+'T3 NSA'!I136+'T3 NSA'!I147+'T3 NSA'!I158,$D$562)</f>
        <v>0</v>
      </c>
    </row>
    <row r="565" spans="1:26">
      <c r="A565" s="894" t="s">
        <v>228</v>
      </c>
      <c r="B565" s="894" t="s">
        <v>229</v>
      </c>
      <c r="C565" s="906" t="s">
        <v>230</v>
      </c>
      <c r="D565" s="881">
        <v>3</v>
      </c>
      <c r="E565" s="889"/>
      <c r="F565" s="889"/>
      <c r="G565" s="889"/>
      <c r="H565" s="889"/>
      <c r="I565" s="889"/>
      <c r="J565" s="163"/>
      <c r="K565" s="163"/>
      <c r="L565" s="163"/>
      <c r="S565" s="897" t="b">
        <f>ROUND('T2 NSA'!C89,$D$565)=ROUND('T3 NSA'!E172,$D$565)</f>
        <v>1</v>
      </c>
      <c r="T565" s="897" t="b">
        <f>ROUND('T2 NSA'!D89,$D$565)=ROUND('T3 NSA'!F172,$D$565)</f>
        <v>1</v>
      </c>
      <c r="U565" s="897" t="b">
        <f>ROUND('T2 NSA'!E89,$D$565)=ROUND('T3 NSA'!G172,$D$565)</f>
        <v>1</v>
      </c>
      <c r="V565" s="897" t="b">
        <f>ROUND('T2 NSA'!F89,$D$565)=ROUND('T3 NSA'!H172,$D$565)</f>
        <v>1</v>
      </c>
      <c r="W565" s="897" t="b">
        <f>ROUND('T2 NSA'!G89,$D$565)=ROUND('T3 NSA'!I172,$D$565)</f>
        <v>1</v>
      </c>
    </row>
    <row r="566" spans="1:26" outlineLevel="1">
      <c r="A566" s="894"/>
      <c r="B566" s="894"/>
      <c r="C566" s="907" t="s">
        <v>208</v>
      </c>
      <c r="D566" s="908"/>
      <c r="E566" s="889"/>
      <c r="F566" s="889"/>
      <c r="G566" s="889"/>
      <c r="H566" s="889"/>
      <c r="I566" s="889"/>
      <c r="J566" s="163"/>
      <c r="K566" s="163"/>
      <c r="L566" s="163"/>
      <c r="S566" s="901">
        <f>ROUND('T2 NSA'!C89,$D$565)</f>
        <v>0</v>
      </c>
      <c r="T566" s="901">
        <f>ROUND('T2 NSA'!D89,$D$565)</f>
        <v>0</v>
      </c>
      <c r="U566" s="901">
        <f>ROUND('T2 NSA'!E89,$D$565)</f>
        <v>0</v>
      </c>
      <c r="V566" s="901">
        <f>ROUND('T2 NSA'!F89,$D$565)</f>
        <v>0</v>
      </c>
      <c r="W566" s="901">
        <f>ROUND('T2 NSA'!G89,$D$565)</f>
        <v>0</v>
      </c>
    </row>
    <row r="567" spans="1:26" outlineLevel="1">
      <c r="A567" s="894"/>
      <c r="B567" s="894"/>
      <c r="C567" s="907" t="s">
        <v>209</v>
      </c>
      <c r="D567" s="908"/>
      <c r="E567" s="889"/>
      <c r="F567" s="889"/>
      <c r="G567" s="889"/>
      <c r="H567" s="889"/>
      <c r="I567" s="889"/>
      <c r="J567" s="163"/>
      <c r="K567" s="163"/>
      <c r="L567" s="163"/>
      <c r="S567" s="901">
        <f>ROUND('T3 NSA'!E172,$D$565)</f>
        <v>0</v>
      </c>
      <c r="T567" s="901">
        <f>ROUND('T3 NSA'!F172,$D$565)</f>
        <v>0</v>
      </c>
      <c r="U567" s="901">
        <f>ROUND('T3 NSA'!G172,$D$565)</f>
        <v>0</v>
      </c>
      <c r="V567" s="901">
        <f>ROUND('T3 NSA'!H172,$D$565)</f>
        <v>0</v>
      </c>
      <c r="W567" s="901">
        <f>ROUND('T3 NSA'!I172,$D$565)</f>
        <v>0</v>
      </c>
    </row>
    <row r="568" spans="1:26">
      <c r="A568" s="894" t="s">
        <v>231</v>
      </c>
      <c r="B568" s="894" t="s">
        <v>232</v>
      </c>
      <c r="C568" s="906" t="s">
        <v>233</v>
      </c>
      <c r="D568" s="881">
        <v>3</v>
      </c>
      <c r="E568" s="889"/>
      <c r="F568" s="889"/>
      <c r="G568" s="889"/>
      <c r="H568" s="889"/>
      <c r="I568" s="889"/>
      <c r="J568" s="163"/>
      <c r="K568" s="163"/>
      <c r="L568" s="163"/>
      <c r="S568" s="897" t="b">
        <f>ROUND('T2 NSA'!C90,$D$568)=ROUND('T3 NSA'!E165,$D$568)</f>
        <v>1</v>
      </c>
      <c r="T568" s="897" t="b">
        <f>ROUND('T2 NSA'!D90,$D$568)=ROUND('T3 NSA'!F165,$D$568)</f>
        <v>1</v>
      </c>
      <c r="U568" s="897" t="b">
        <f>ROUND('T2 NSA'!E90,$D$568)=ROUND('T3 NSA'!G165,$D$568)</f>
        <v>1</v>
      </c>
      <c r="V568" s="897" t="b">
        <f>ROUND('T2 NSA'!F90,$D$568)=ROUND('T3 NSA'!H165,$D$568)</f>
        <v>1</v>
      </c>
      <c r="W568" s="897" t="b">
        <f>ROUND('T2 NSA'!G90,$D$568)=ROUND('T3 NSA'!I165,$D$568)</f>
        <v>1</v>
      </c>
    </row>
    <row r="569" spans="1:26" outlineLevel="1">
      <c r="A569" s="894"/>
      <c r="B569" s="894"/>
      <c r="C569" s="907" t="s">
        <v>208</v>
      </c>
      <c r="D569" s="908"/>
      <c r="E569" s="889"/>
      <c r="F569" s="889"/>
      <c r="G569" s="889"/>
      <c r="H569" s="889"/>
      <c r="I569" s="889"/>
      <c r="J569" s="163"/>
      <c r="K569" s="163"/>
      <c r="L569" s="163"/>
      <c r="S569" s="901">
        <f>ROUND('T2 NSA'!C90,$D$568)</f>
        <v>0</v>
      </c>
      <c r="T569" s="901">
        <f>ROUND('T2 NSA'!D90,$D$568)</f>
        <v>0</v>
      </c>
      <c r="U569" s="901">
        <f>ROUND('T2 NSA'!E90,$D$568)</f>
        <v>0</v>
      </c>
      <c r="V569" s="901">
        <f>ROUND('T2 NSA'!F90,$D$568)</f>
        <v>0</v>
      </c>
      <c r="W569" s="901">
        <f>ROUND('T2 NSA'!G90,$D$568)</f>
        <v>0</v>
      </c>
    </row>
    <row r="570" spans="1:26" outlineLevel="1">
      <c r="A570" s="894"/>
      <c r="B570" s="894"/>
      <c r="C570" s="907" t="s">
        <v>209</v>
      </c>
      <c r="D570" s="908"/>
      <c r="E570" s="889"/>
      <c r="F570" s="889"/>
      <c r="G570" s="889"/>
      <c r="H570" s="889"/>
      <c r="I570" s="889"/>
      <c r="J570" s="163"/>
      <c r="K570" s="163"/>
      <c r="L570" s="163"/>
      <c r="S570" s="901">
        <f>ROUND('T3 NSA'!E165,$D$568)</f>
        <v>0</v>
      </c>
      <c r="T570" s="901">
        <f>ROUND('T3 NSA'!F165,$D$568)</f>
        <v>0</v>
      </c>
      <c r="U570" s="901">
        <f>ROUND('T3 NSA'!G165,$D$568)</f>
        <v>0</v>
      </c>
      <c r="V570" s="901">
        <f>ROUND('T3 NSA'!H165,$D$568)</f>
        <v>0</v>
      </c>
      <c r="W570" s="901">
        <f>ROUND('T3 NSA'!I165,$D$568)</f>
        <v>0</v>
      </c>
    </row>
    <row r="571" spans="1:26" s="909" customFormat="1">
      <c r="A571" s="893" t="s">
        <v>234</v>
      </c>
      <c r="B571" s="894" t="s">
        <v>235</v>
      </c>
      <c r="C571" s="906" t="s">
        <v>236</v>
      </c>
      <c r="D571" s="881">
        <v>3</v>
      </c>
      <c r="E571" s="889"/>
      <c r="F571" s="889"/>
      <c r="G571" s="889"/>
      <c r="H571" s="889"/>
      <c r="I571" s="889"/>
      <c r="R571" s="163"/>
      <c r="S571" s="897" t="b">
        <f>ROUND(SUM('T2 NSA'!C82:C90),$D$571)=ROUND('T3 NSA'!E175,$D$571)</f>
        <v>0</v>
      </c>
      <c r="T571" s="897" t="b">
        <f>ROUND(SUM('T2 NSA'!D82:D90),$D$571)=ROUND('T3 NSA'!F175,$D$571)</f>
        <v>0</v>
      </c>
      <c r="U571" s="897" t="b">
        <f>ROUND(SUM('T2 NSA'!E82:E90),$D$571)=ROUND('T3 NSA'!G175,$D$571)</f>
        <v>0</v>
      </c>
      <c r="V571" s="897" t="b">
        <f>ROUND(SUM('T2 NSA'!F82:F90),$D$571)=ROUND('T3 NSA'!H175,$D$571)</f>
        <v>0</v>
      </c>
      <c r="W571" s="897" t="b">
        <f>ROUND(SUM('T2 NSA'!G82:G90),$D$571)=ROUND('T3 NSA'!I175,$D$571)</f>
        <v>1</v>
      </c>
      <c r="X571" s="889"/>
      <c r="Y571" s="889"/>
      <c r="Z571" s="889"/>
    </row>
    <row r="572" spans="1:26" outlineLevel="1">
      <c r="A572" s="894"/>
      <c r="B572" s="894"/>
      <c r="C572" s="907" t="s">
        <v>237</v>
      </c>
      <c r="D572" s="908"/>
      <c r="E572" s="889"/>
      <c r="F572" s="889"/>
      <c r="G572" s="889"/>
      <c r="H572" s="889"/>
      <c r="I572" s="889"/>
      <c r="J572" s="163"/>
      <c r="K572" s="163"/>
      <c r="L572" s="163"/>
      <c r="S572" s="901">
        <f>ROUND(SUM('T2 NSA'!C82:C90),$D$571)</f>
        <v>-9560.9230000000007</v>
      </c>
      <c r="T572" s="901">
        <f>ROUND(SUM('T2 NSA'!D82:D90),$D$571)</f>
        <v>-15902.191999999999</v>
      </c>
      <c r="U572" s="901">
        <f>ROUND(SUM('T2 NSA'!E82:E90),$D$571)</f>
        <v>35789.139000000003</v>
      </c>
      <c r="V572" s="901">
        <f>ROUND(SUM('T2 NSA'!F82:F90),$D$571)</f>
        <v>31782.896000000001</v>
      </c>
      <c r="W572" s="901">
        <f>ROUND(SUM('T2 NSA'!G82:G90),$D$571)</f>
        <v>0</v>
      </c>
      <c r="X572" s="889"/>
      <c r="Y572" s="889"/>
      <c r="Z572" s="889"/>
    </row>
    <row r="573" spans="1:26" outlineLevel="1">
      <c r="A573" s="894"/>
      <c r="B573" s="894"/>
      <c r="C573" s="907" t="s">
        <v>238</v>
      </c>
      <c r="D573" s="908"/>
      <c r="E573" s="889"/>
      <c r="F573" s="889"/>
      <c r="G573" s="889"/>
      <c r="H573" s="889"/>
      <c r="I573" s="889"/>
      <c r="J573" s="163"/>
      <c r="K573" s="163"/>
      <c r="L573" s="163"/>
      <c r="S573" s="901">
        <f>ROUND('T3 NSA'!E175,$D$571)</f>
        <v>0</v>
      </c>
      <c r="T573" s="901">
        <f>ROUND('T3 NSA'!F175,$D$571)</f>
        <v>0</v>
      </c>
      <c r="U573" s="901">
        <f>ROUND('T3 NSA'!G175,$D$571)</f>
        <v>0</v>
      </c>
      <c r="V573" s="901">
        <f>ROUND('T3 NSA'!H175,$D$571)</f>
        <v>0</v>
      </c>
      <c r="W573" s="901">
        <f>ROUND('T3 NSA'!I175,$D$571)</f>
        <v>0</v>
      </c>
      <c r="X573" s="889"/>
      <c r="Y573" s="889"/>
      <c r="Z573" s="889"/>
    </row>
    <row r="574" spans="1:26" s="896" customFormat="1">
      <c r="A574" s="893" t="s">
        <v>239</v>
      </c>
      <c r="B574" s="894" t="s">
        <v>240</v>
      </c>
      <c r="C574" s="895" t="s">
        <v>241</v>
      </c>
      <c r="D574" s="881">
        <v>3</v>
      </c>
      <c r="E574" s="889"/>
      <c r="F574" s="889"/>
      <c r="G574" s="889"/>
      <c r="H574" s="889"/>
      <c r="I574" s="889"/>
      <c r="R574" s="163"/>
      <c r="S574" s="897" t="b">
        <f>ROUND('T2 NSA'!C91,$D$574)=ROUND(SUM('T2 NSA'!C81:C90),$D$574)</f>
        <v>1</v>
      </c>
      <c r="T574" s="897" t="b">
        <f>ROUND('T2 NSA'!D91,$D$574)=ROUND(SUM('T2 NSA'!D81:D90),$D$574)</f>
        <v>1</v>
      </c>
      <c r="U574" s="897" t="b">
        <f>ROUND('T2 NSA'!E91,$D$574)=ROUND(SUM('T2 NSA'!E81:E90),$D$574)</f>
        <v>1</v>
      </c>
      <c r="V574" s="897" t="b">
        <f>ROUND('T2 NSA'!F91,$D$574)=ROUND(SUM('T2 NSA'!F81:F90),$D$574)</f>
        <v>1</v>
      </c>
      <c r="W574" s="897" t="b">
        <f>ROUND('T2 NSA'!G91,$D$574)=ROUND(SUM('T2 NSA'!G81:G90),$D$574)</f>
        <v>1</v>
      </c>
    </row>
    <row r="575" spans="1:26" s="900" customFormat="1" outlineLevel="1">
      <c r="A575" s="893"/>
      <c r="B575" s="894"/>
      <c r="C575" s="898" t="s">
        <v>242</v>
      </c>
      <c r="D575" s="899"/>
      <c r="E575" s="889"/>
      <c r="F575" s="889"/>
      <c r="G575" s="889"/>
      <c r="H575" s="889"/>
      <c r="I575" s="889"/>
      <c r="R575" s="163"/>
      <c r="S575" s="901">
        <f>ROUND('T2 NSA'!C91,$D$574)</f>
        <v>59964.644</v>
      </c>
      <c r="T575" s="901">
        <f>ROUND('T2 NSA'!D91,$D$574)</f>
        <v>54660.086000000003</v>
      </c>
      <c r="U575" s="901">
        <f>ROUND('T2 NSA'!E91,$D$574)</f>
        <v>106353.505</v>
      </c>
      <c r="V575" s="901">
        <f>ROUND('T2 NSA'!F91,$D$574)</f>
        <v>108497.35</v>
      </c>
      <c r="W575" s="901">
        <f>ROUND('T2 NSA'!G91,$D$574)</f>
        <v>76912.335999999996</v>
      </c>
    </row>
    <row r="576" spans="1:26" s="900" customFormat="1" outlineLevel="1">
      <c r="A576" s="893"/>
      <c r="B576" s="894"/>
      <c r="C576" s="883" t="s">
        <v>243</v>
      </c>
      <c r="D576" s="899"/>
      <c r="E576" s="889"/>
      <c r="F576" s="889"/>
      <c r="G576" s="889"/>
      <c r="H576" s="889"/>
      <c r="I576" s="889"/>
      <c r="R576" s="163"/>
      <c r="S576" s="901">
        <f>ROUND(SUM('T2 NSA'!C81:C90),$D$574)</f>
        <v>59964.644</v>
      </c>
      <c r="T576" s="901">
        <f>ROUND(SUM('T2 NSA'!D81:D90),$D$574)</f>
        <v>54660.086000000003</v>
      </c>
      <c r="U576" s="901">
        <f>ROUND(SUM('T2 NSA'!E81:E90),$D$574)</f>
        <v>106353.505</v>
      </c>
      <c r="V576" s="901">
        <f>ROUND(SUM('T2 NSA'!F81:F90),$D$574)</f>
        <v>108497.35</v>
      </c>
      <c r="W576" s="901">
        <f>ROUND(SUM('T2 NSA'!G81:G90),$D$574)</f>
        <v>76912.335999999996</v>
      </c>
    </row>
    <row r="577" spans="1:26" s="896" customFormat="1">
      <c r="A577" s="893" t="s">
        <v>244</v>
      </c>
      <c r="B577" s="894" t="s">
        <v>245</v>
      </c>
      <c r="C577" s="895" t="s">
        <v>246</v>
      </c>
      <c r="D577" s="881">
        <v>3</v>
      </c>
      <c r="E577" s="889"/>
      <c r="F577" s="889"/>
      <c r="G577" s="889"/>
      <c r="H577" s="889"/>
      <c r="I577" s="889"/>
      <c r="R577" s="163"/>
      <c r="S577" s="897" t="b">
        <f>ROUND('T2 NSA'!C92,$D$577)=ROUND('T2 NSA'!C38,$D$577)</f>
        <v>1</v>
      </c>
      <c r="T577" s="897" t="b">
        <f>ROUND('T2 NSA'!D92,$D$577)=ROUND('T2 NSA'!D38,$D$577)</f>
        <v>1</v>
      </c>
      <c r="U577" s="897" t="b">
        <f>ROUND('T2 NSA'!E92,$D$577)=ROUND('T2 NSA'!E38,$D$577)</f>
        <v>1</v>
      </c>
      <c r="V577" s="897" t="b">
        <f>ROUND('T2 NSA'!F92,$D$577)=ROUND('T2 NSA'!F38,$D$577)</f>
        <v>1</v>
      </c>
      <c r="W577" s="897" t="b">
        <f>ROUND('T2 NSA'!G92,$D$577)=ROUND('T2 NSA'!G38,$D$577)</f>
        <v>1</v>
      </c>
    </row>
    <row r="578" spans="1:26" s="900" customFormat="1" outlineLevel="1">
      <c r="A578" s="893"/>
      <c r="B578" s="894"/>
      <c r="C578" s="898" t="s">
        <v>247</v>
      </c>
      <c r="D578" s="899"/>
      <c r="E578" s="889"/>
      <c r="F578" s="889"/>
      <c r="G578" s="889"/>
      <c r="H578" s="889"/>
      <c r="I578" s="889"/>
      <c r="R578" s="163"/>
      <c r="S578" s="901">
        <f>ROUND('T2 NSA'!C92,$D$577)</f>
        <v>12647.945</v>
      </c>
      <c r="T578" s="901">
        <f>ROUND('T2 NSA'!D92,$D$577)</f>
        <v>12891</v>
      </c>
      <c r="U578" s="901">
        <f>ROUND('T2 NSA'!E92,$D$577)</f>
        <v>13183</v>
      </c>
      <c r="V578" s="901">
        <f>ROUND('T2 NSA'!F92,$D$577)</f>
        <v>11715</v>
      </c>
      <c r="W578" s="901">
        <f>ROUND('T2 NSA'!G92,$D$577)</f>
        <v>12228</v>
      </c>
    </row>
    <row r="579" spans="1:26" s="900" customFormat="1" outlineLevel="1">
      <c r="A579" s="893"/>
      <c r="B579" s="894"/>
      <c r="C579" s="898" t="s">
        <v>248</v>
      </c>
      <c r="D579" s="899"/>
      <c r="E579" s="889"/>
      <c r="F579" s="889"/>
      <c r="G579" s="889"/>
      <c r="H579" s="889"/>
      <c r="I579" s="889"/>
      <c r="R579" s="163"/>
      <c r="S579" s="901">
        <f>ROUND('T2 NSA'!C38,$D$577)</f>
        <v>12647.945</v>
      </c>
      <c r="T579" s="901">
        <f>ROUND('T2 NSA'!D38,$D$577)</f>
        <v>12891</v>
      </c>
      <c r="U579" s="901">
        <f>ROUND('T2 NSA'!E38,$D$577)</f>
        <v>13183</v>
      </c>
      <c r="V579" s="901">
        <f>ROUND('T2 NSA'!F38,$D$577)</f>
        <v>11715</v>
      </c>
      <c r="W579" s="901">
        <f>ROUND('T2 NSA'!G38,$D$577)</f>
        <v>12228</v>
      </c>
    </row>
    <row r="580" spans="1:26" s="896" customFormat="1">
      <c r="A580" s="893" t="s">
        <v>249</v>
      </c>
      <c r="B580" s="894" t="s">
        <v>250</v>
      </c>
      <c r="C580" s="895" t="s">
        <v>251</v>
      </c>
      <c r="D580" s="881">
        <v>2</v>
      </c>
      <c r="E580" s="889"/>
      <c r="F580" s="889"/>
      <c r="G580" s="889"/>
      <c r="H580" s="889"/>
      <c r="I580" s="889"/>
      <c r="R580" s="163"/>
      <c r="S580" s="910" t="b">
        <f>ROUND('T2 NSA'!C93,$D$580)=ROUND('T2 NSA'!C91/'T2 NSA'!C92,$D$580)</f>
        <v>1</v>
      </c>
      <c r="T580" s="910" t="b">
        <f>ROUND('T2 NSA'!D93,$D$580)=ROUND('T2 NSA'!D91/'T2 NSA'!D92,$D$580)</f>
        <v>1</v>
      </c>
      <c r="U580" s="910" t="b">
        <f>ROUND('T2 NSA'!E93,$D$580)=ROUND('T2 NSA'!E91/'T2 NSA'!E92,$D$580)</f>
        <v>1</v>
      </c>
      <c r="V580" s="910" t="b">
        <f>ROUND('T2 NSA'!F93,$D$580)=ROUND('T2 NSA'!F91/'T2 NSA'!F92,$D$580)</f>
        <v>1</v>
      </c>
      <c r="W580" s="910" t="b">
        <f>ROUND('T2 NSA'!G93,$D$580)=ROUND('T2 NSA'!G91/'T2 NSA'!G92,$D$580)</f>
        <v>1</v>
      </c>
    </row>
    <row r="581" spans="1:26" s="900" customFormat="1" outlineLevel="1">
      <c r="A581" s="893"/>
      <c r="B581" s="894"/>
      <c r="C581" s="898" t="s">
        <v>252</v>
      </c>
      <c r="D581" s="899"/>
      <c r="E581" s="889"/>
      <c r="F581" s="889"/>
      <c r="G581" s="889"/>
      <c r="H581" s="889"/>
      <c r="I581" s="889"/>
      <c r="R581" s="163"/>
      <c r="S581" s="902">
        <f>ROUND('T2 NSA'!C93,$D$580)</f>
        <v>4.74</v>
      </c>
      <c r="T581" s="902">
        <f>ROUND('T2 NSA'!D93,$D$580)</f>
        <v>4.24</v>
      </c>
      <c r="U581" s="902">
        <f>ROUND('T2 NSA'!E93,$D$580)</f>
        <v>8.07</v>
      </c>
      <c r="V581" s="902">
        <f>ROUND('T2 NSA'!F93,$D$580)</f>
        <v>9.26</v>
      </c>
      <c r="W581" s="902">
        <f>ROUND('T2 NSA'!G93,$D$580)</f>
        <v>6.29</v>
      </c>
    </row>
    <row r="582" spans="1:26" s="900" customFormat="1" outlineLevel="1">
      <c r="A582" s="893"/>
      <c r="B582" s="894"/>
      <c r="C582" s="883" t="s">
        <v>253</v>
      </c>
      <c r="D582" s="899"/>
      <c r="E582" s="889"/>
      <c r="F582" s="889"/>
      <c r="G582" s="889"/>
      <c r="H582" s="889"/>
      <c r="I582" s="889"/>
      <c r="R582" s="163"/>
      <c r="S582" s="902">
        <f>ROUND('T2 NSA'!C91/'T2 NSA'!C92,$D$580)</f>
        <v>4.74</v>
      </c>
      <c r="T582" s="902">
        <f>ROUND('T2 NSA'!D91/'T2 NSA'!D92,$D$580)</f>
        <v>4.24</v>
      </c>
      <c r="U582" s="902">
        <f>ROUND('T2 NSA'!E91/'T2 NSA'!E92,$D$580)</f>
        <v>8.07</v>
      </c>
      <c r="V582" s="902">
        <f>ROUND('T2 NSA'!F91/'T2 NSA'!F92,$D$580)</f>
        <v>9.26</v>
      </c>
      <c r="W582" s="902">
        <f>ROUND('T2 NSA'!G91/'T2 NSA'!G92,$D$580)</f>
        <v>6.29</v>
      </c>
    </row>
    <row r="583" spans="1:26" s="896" customFormat="1">
      <c r="A583" s="893" t="s">
        <v>254</v>
      </c>
      <c r="B583" s="894" t="s">
        <v>255</v>
      </c>
      <c r="C583" s="895" t="s">
        <v>256</v>
      </c>
      <c r="D583" s="881">
        <v>2</v>
      </c>
      <c r="E583" s="889"/>
      <c r="F583" s="889"/>
      <c r="G583" s="889"/>
      <c r="H583" s="889"/>
      <c r="I583" s="889"/>
      <c r="R583" s="163"/>
      <c r="S583" s="910" t="b">
        <f>ROUND('T2 NSA'!C96,$D$583)=ROUND('T2 NSA'!C93-'T2 NSA'!C94,$D$583)</f>
        <v>1</v>
      </c>
      <c r="T583" s="910" t="b">
        <f>ROUND('T2 NSA'!D96,$D$583)=ROUND('T2 NSA'!D93-'T2 NSA'!D94,$D$583)</f>
        <v>1</v>
      </c>
      <c r="U583" s="910" t="b">
        <f>ROUND('T2 NSA'!E96,$D$583)=ROUND('T2 NSA'!E93-'T2 NSA'!E94,$D$583)</f>
        <v>1</v>
      </c>
      <c r="V583" s="910" t="b">
        <f>ROUND('T2 NSA'!F96,$D$583)=ROUND('T2 NSA'!F93-'T2 NSA'!F94,$D$583)</f>
        <v>1</v>
      </c>
      <c r="W583" s="910" t="b">
        <f>ROUND('T2 NSA'!G96,$D$583)=ROUND('T2 NSA'!G93-'T2 NSA'!G94,$D$583)</f>
        <v>1</v>
      </c>
    </row>
    <row r="584" spans="1:26" s="900" customFormat="1" outlineLevel="1">
      <c r="A584" s="893"/>
      <c r="B584" s="894"/>
      <c r="C584" s="898" t="s">
        <v>257</v>
      </c>
      <c r="D584" s="899"/>
      <c r="E584" s="889"/>
      <c r="F584" s="889"/>
      <c r="G584" s="889"/>
      <c r="H584" s="889"/>
      <c r="I584" s="889"/>
      <c r="R584" s="163"/>
      <c r="S584" s="902">
        <f>ROUND('T2 NSA'!C96,$D$583)</f>
        <v>4.74</v>
      </c>
      <c r="T584" s="902">
        <f>ROUND('T2 NSA'!D96,$D$583)</f>
        <v>4.24</v>
      </c>
      <c r="U584" s="902">
        <f>ROUND('T2 NSA'!E96,$D$583)</f>
        <v>8.07</v>
      </c>
      <c r="V584" s="902">
        <f>ROUND('T2 NSA'!F96,$D$583)</f>
        <v>9.26</v>
      </c>
      <c r="W584" s="902">
        <f>ROUND('T2 NSA'!G96,$D$583)</f>
        <v>6.29</v>
      </c>
    </row>
    <row r="585" spans="1:26" s="900" customFormat="1" outlineLevel="1">
      <c r="A585" s="893"/>
      <c r="B585" s="894"/>
      <c r="C585" s="898" t="s">
        <v>258</v>
      </c>
      <c r="D585" s="899"/>
      <c r="E585" s="889"/>
      <c r="F585" s="889"/>
      <c r="G585" s="889"/>
      <c r="H585" s="889"/>
      <c r="I585" s="889"/>
      <c r="R585" s="163"/>
      <c r="S585" s="902">
        <f>ROUND('T2 NSA'!C93-'T2 NSA'!C94,$D$583)</f>
        <v>4.74</v>
      </c>
      <c r="T585" s="902">
        <f>ROUND('T2 NSA'!D93-'T2 NSA'!D94,$D$583)</f>
        <v>4.24</v>
      </c>
      <c r="U585" s="902">
        <f>ROUND('T2 NSA'!E93-'T2 NSA'!E94,$D$583)</f>
        <v>8.07</v>
      </c>
      <c r="V585" s="902">
        <f>ROUND('T2 NSA'!F93-'T2 NSA'!F94,$D$583)</f>
        <v>9.26</v>
      </c>
      <c r="W585" s="902">
        <f>ROUND('T2 NSA'!G93-'T2 NSA'!G94,$D$583)</f>
        <v>6.29</v>
      </c>
    </row>
    <row r="586" spans="1:26" s="184" customFormat="1" ht="18.75">
      <c r="A586" s="173" t="s">
        <v>13</v>
      </c>
      <c r="B586" s="174" t="s">
        <v>14</v>
      </c>
      <c r="C586" s="175" t="s">
        <v>276</v>
      </c>
      <c r="D586" s="912"/>
      <c r="E586" s="891"/>
      <c r="F586" s="891"/>
      <c r="G586" s="891"/>
      <c r="H586" s="891"/>
      <c r="I586" s="891"/>
      <c r="J586" s="891"/>
      <c r="K586" s="891"/>
      <c r="L586" s="891"/>
      <c r="M586" s="891"/>
      <c r="N586" s="891"/>
      <c r="O586" s="891"/>
      <c r="P586" s="891"/>
      <c r="Q586" s="891"/>
      <c r="R586" s="163"/>
      <c r="S586" s="891"/>
      <c r="T586" s="891"/>
      <c r="U586" s="891"/>
      <c r="V586" s="891"/>
      <c r="W586" s="891"/>
      <c r="X586" s="889"/>
      <c r="Y586" s="889"/>
      <c r="Z586" s="889"/>
    </row>
    <row r="587" spans="1:26" s="909" customFormat="1">
      <c r="A587" s="893" t="s">
        <v>234</v>
      </c>
      <c r="B587" s="894" t="s">
        <v>277</v>
      </c>
      <c r="C587" s="906" t="s">
        <v>278</v>
      </c>
      <c r="D587" s="881">
        <v>3</v>
      </c>
      <c r="E587" s="889"/>
      <c r="F587" s="889"/>
      <c r="G587" s="889"/>
      <c r="H587" s="889"/>
      <c r="I587" s="889"/>
      <c r="R587" s="163"/>
      <c r="S587" s="897" t="b">
        <f>ROUND('T2'!C78,$D$587)=ROUND(SUM('T3'!D12,'T3'!D23,'T3'!D30,'T3'!D37,'T3'!D44,'T3'!D51,'T3'!D58,'T3'!D65,'T3'!D81,'T3'!D92,'T3'!D103,'T3'!D109,'T3'!D120,'T3'!D131,'T3'!D142,'T3'!D153,'T3'!D160,'T3'!D167),$D$587)</f>
        <v>0</v>
      </c>
      <c r="T587" s="897" t="b">
        <f>ROUND('T2'!D78,$D$587)=ROUND(SUM('T3'!D13,'T3'!D24,'T3'!D31,'T3'!D38,'T3'!D45,'T3'!D52,'T3'!D59,'T3'!D66,'T3'!D82,'T3'!D93,'T3'!D104,'T3'!D110,'T3'!D121,'T3'!D132,'T3'!D143,'T3'!D154,'T3'!D161,'T3'!D168),$D$587)</f>
        <v>0</v>
      </c>
      <c r="U587" s="897" t="e">
        <f>ROUND('T2'!E78,$D$587)=ROUND(SUM('T3'!D14,'T3'!D25,'T3'!D32,'T3'!D39,'T3'!D46,'T3'!D53,'T3'!D60,'T3'!D67,'T3'!D83,'T3'!D94,'T3'!D105,'T3'!D111,'T3'!D122,'T3'!D133,'T3'!D144,'T3'!D155,'T3'!D162,'T3'!D169),$D$587)</f>
        <v>#REF!</v>
      </c>
      <c r="V587" s="897" t="e">
        <f>ROUND('T2'!F78,$D$587)=ROUND(SUM('T3'!D15,'T3'!D26,'T3'!D33,'T3'!D40,'T3'!D47,'T3'!D54,'T3'!D61,'T3'!D68,'T3'!D84,'T3'!D95,'T3'!D106,'T3'!D112,'T3'!D123,'T3'!D134,'T3'!D145,'T3'!D156,'T3'!D163,'T3'!D170),$D$587)</f>
        <v>#REF!</v>
      </c>
      <c r="W587" s="897" t="b">
        <f>ROUND('T2'!G78,$D$587)=ROUND(SUM('T3'!D16,'T3'!D27,'T3'!D34,'T3'!D41,'T3'!D48,'T3'!D55,'T3'!D62,'T3'!D69,'T3'!D85,'T3'!D96,'T3'!D107,'T3'!D113,'T3'!D124,'T3'!D135,'T3'!D146,'T3'!D157,'T3'!D164,'T3'!D171),$D$587)</f>
        <v>0</v>
      </c>
      <c r="X587" s="889"/>
      <c r="Y587" s="889"/>
      <c r="Z587" s="889"/>
    </row>
    <row r="588" spans="1:26" outlineLevel="1">
      <c r="A588" s="894"/>
      <c r="B588" s="894"/>
      <c r="C588" s="907" t="s">
        <v>279</v>
      </c>
      <c r="D588" s="908"/>
      <c r="E588" s="889"/>
      <c r="F588" s="889"/>
      <c r="G588" s="889"/>
      <c r="H588" s="889"/>
      <c r="I588" s="889"/>
      <c r="J588" s="163"/>
      <c r="K588" s="163"/>
      <c r="L588" s="163"/>
      <c r="S588" s="189">
        <f>ROUND('T2'!C78,$D$587)</f>
        <v>418722.00300000003</v>
      </c>
      <c r="T588" s="189">
        <f>ROUND('T2'!D78,$D$587)</f>
        <v>51824.076999999997</v>
      </c>
      <c r="U588" s="189">
        <f>ROUND('T2'!E78,$D$587)</f>
        <v>0</v>
      </c>
      <c r="V588" s="189">
        <f>ROUND('T2'!F78,$D$587)</f>
        <v>0</v>
      </c>
      <c r="W588" s="189">
        <f>ROUND('T2'!G78,$D$587)</f>
        <v>0</v>
      </c>
      <c r="X588" s="889"/>
      <c r="Y588" s="889"/>
      <c r="Z588" s="889"/>
    </row>
    <row r="589" spans="1:26" outlineLevel="1">
      <c r="A589" s="894"/>
      <c r="B589" s="894"/>
      <c r="C589" s="907" t="s">
        <v>280</v>
      </c>
      <c r="D589" s="908"/>
      <c r="E589" s="889"/>
      <c r="F589" s="889"/>
      <c r="G589" s="889"/>
      <c r="H589" s="889"/>
      <c r="I589" s="889"/>
      <c r="J589" s="163"/>
      <c r="K589" s="163"/>
      <c r="L589" s="163"/>
      <c r="S589" s="189">
        <f>ROUND(SUM('T3'!D12,'T3'!D23,'T3'!D30,'T3'!D37,'T3'!D44,'T3'!D51,'T3'!D58,'T3'!D65,'T3'!D81,'T3'!D92,'T3'!D103,'T3'!D109,'T3'!D120,'T3'!D131,'T3'!D142,'T3'!D153,'T3'!D160,'T3'!D167),$D$587)</f>
        <v>46671.633999999998</v>
      </c>
      <c r="T589" s="189">
        <f>ROUND(SUM('T3'!D13,'T3'!D24,'T3'!D31,'T3'!D38,'T3'!D45,'T3'!D52,'T3'!D59,'T3'!D66,'T3'!D82,'T3'!D93,'T3'!D104,'T3'!D110,'T3'!D121,'T3'!D132,'T3'!D143,'T3'!D154,'T3'!D161,'T3'!D168),$D$587)</f>
        <v>-44439.563000000002</v>
      </c>
      <c r="U589" s="189" t="e">
        <f>ROUND(SUM('T3'!D14,'T3'!D25,'T3'!D32,'T3'!D39,'T3'!D46,'T3'!D53,'T3'!D60,'T3'!D67,'T3'!D83,'T3'!D94,'T3'!D105,'T3'!D111,'T3'!D122,'T3'!D133,'T3'!D144,'T3'!D155,'T3'!D162,'T3'!D169),$D$587)</f>
        <v>#REF!</v>
      </c>
      <c r="V589" s="189" t="e">
        <f>ROUND(SUM('T3'!D15,'T3'!D26,'T3'!D33,'T3'!D40,'T3'!D47,'T3'!D54,'T3'!D61,'T3'!D68,'T3'!D84,'T3'!D95,'T3'!D106,'T3'!D112,'T3'!D123,'T3'!D134,'T3'!D145,'T3'!D156,'T3'!D163,'T3'!D170),$D$587)</f>
        <v>#REF!</v>
      </c>
      <c r="W589" s="189">
        <f>ROUND(SUM('T3'!D16,'T3'!D27,'T3'!D34,'T3'!D41,'T3'!D48,'T3'!D55,'T3'!D62,'T3'!D69,'T3'!D85,'T3'!D96,'T3'!D107,'T3'!D113,'T3'!D124,'T3'!D135,'T3'!D146,'T3'!D157,'T3'!D164,'T3'!D171),$D$587)</f>
        <v>89958.793999999994</v>
      </c>
      <c r="X589" s="889"/>
      <c r="Y589" s="889"/>
      <c r="Z589" s="889"/>
    </row>
    <row r="590" spans="1:26">
      <c r="A590" s="894" t="s">
        <v>205</v>
      </c>
      <c r="B590" s="894" t="s">
        <v>281</v>
      </c>
      <c r="C590" s="906" t="s">
        <v>282</v>
      </c>
      <c r="D590" s="881">
        <v>3</v>
      </c>
      <c r="E590" s="889"/>
      <c r="F590" s="889"/>
      <c r="G590" s="889"/>
      <c r="H590" s="889"/>
      <c r="I590" s="889"/>
      <c r="J590" s="163"/>
      <c r="K590" s="163"/>
      <c r="L590" s="163"/>
      <c r="S590" s="897" t="b">
        <f>ROUND('T2'!C19,$D$590)=ROUND('T3'!D12,$D$590)</f>
        <v>0</v>
      </c>
      <c r="T590" s="897" t="b">
        <f>ROUND('T2'!D19,$D$590)=ROUND('T3'!D13,$D$590)</f>
        <v>0</v>
      </c>
      <c r="U590" s="897" t="b">
        <f>ROUND('T2'!E19,$D$590)=ROUND('T3'!D14,$D$590)</f>
        <v>0</v>
      </c>
      <c r="V590" s="897" t="b">
        <f>ROUND('T2'!F19,$D$590)=ROUND('T3'!D15,$D$590)</f>
        <v>0</v>
      </c>
      <c r="W590" s="897" t="b">
        <f>ROUND('T2'!G19,$D$590)=ROUND('T3'!D16,$D$590)</f>
        <v>1</v>
      </c>
    </row>
    <row r="591" spans="1:26" outlineLevel="1">
      <c r="A591" s="894"/>
      <c r="B591" s="894"/>
      <c r="C591" s="907" t="s">
        <v>283</v>
      </c>
      <c r="D591" s="908"/>
      <c r="E591" s="889"/>
      <c r="F591" s="889"/>
      <c r="G591" s="889"/>
      <c r="H591" s="889"/>
      <c r="I591" s="889"/>
      <c r="J591" s="163"/>
      <c r="K591" s="163"/>
      <c r="L591" s="163"/>
      <c r="S591" s="189">
        <f>ROUND('T2'!C19,$D$590)</f>
        <v>-7849.02</v>
      </c>
      <c r="T591" s="189">
        <f>ROUND('T2'!D19,$D$590)</f>
        <v>-3571.355</v>
      </c>
      <c r="U591" s="189">
        <f>ROUND('T2'!E19,$D$590)</f>
        <v>0</v>
      </c>
      <c r="V591" s="189">
        <f>ROUND('T2'!F19,$D$590)</f>
        <v>0</v>
      </c>
      <c r="W591" s="189">
        <f>ROUND('T2'!G19,$D$590)</f>
        <v>0</v>
      </c>
    </row>
    <row r="592" spans="1:26" outlineLevel="1">
      <c r="A592" s="894"/>
      <c r="B592" s="894"/>
      <c r="C592" s="907" t="s">
        <v>284</v>
      </c>
      <c r="D592" s="908"/>
      <c r="E592" s="889"/>
      <c r="F592" s="889"/>
      <c r="G592" s="889"/>
      <c r="H592" s="889"/>
      <c r="I592" s="889"/>
      <c r="J592" s="163"/>
      <c r="K592" s="163"/>
      <c r="L592" s="163"/>
      <c r="S592" s="189">
        <f>ROUND('T3'!D12,$D$590)</f>
        <v>-8185.8689999999997</v>
      </c>
      <c r="T592" s="189">
        <f>ROUND('T3'!D13,$D$590)</f>
        <v>-3724.4259999999999</v>
      </c>
      <c r="U592" s="189">
        <f>ROUND('T3'!D14,$D$590)</f>
        <v>1211.047</v>
      </c>
      <c r="V592" s="189">
        <f>ROUND('T3'!D15,$D$590)</f>
        <v>-10699.248</v>
      </c>
      <c r="W592" s="189">
        <f>ROUND('T3'!D16,$D$590)</f>
        <v>0</v>
      </c>
    </row>
    <row r="593" spans="1:23">
      <c r="A593" s="894" t="s">
        <v>213</v>
      </c>
      <c r="B593" s="894" t="s">
        <v>285</v>
      </c>
      <c r="C593" s="906" t="s">
        <v>286</v>
      </c>
      <c r="D593" s="881">
        <v>3</v>
      </c>
      <c r="E593" s="889"/>
      <c r="F593" s="889"/>
      <c r="G593" s="889"/>
      <c r="H593" s="889"/>
      <c r="I593" s="889"/>
      <c r="J593" s="163"/>
      <c r="K593" s="163"/>
      <c r="L593" s="163"/>
      <c r="S593" s="897" t="b">
        <f>ROUND('T2'!C28,$D$593)=ROUND('T3'!D30+'T3'!D37+'T3'!D44+'T3'!D51+'T3'!D58+'T3'!D65,$D$593)</f>
        <v>0</v>
      </c>
      <c r="T593" s="897" t="b">
        <f>ROUND('T2'!D28,$D$593)=ROUND('T3'!D31+'T3'!D38+'T3'!D45+'T3'!D52+'T3'!D59+'T3'!D66,$D$593)</f>
        <v>1</v>
      </c>
      <c r="U593" s="897" t="b">
        <f>ROUND('T2'!E28,$D$593)=ROUND('T3'!D32+'T3'!D39+'T3'!D46+'T3'!D53+'T3'!D60+'T3'!D67,$D$593)</f>
        <v>1</v>
      </c>
      <c r="V593" s="897" t="b">
        <f>ROUND('T2'!F28,$D$593)=ROUND('T3'!D33+'T3'!D40+'T3'!D47+'T3'!D54+'T3'!D61+'T3'!D68,$D$593)</f>
        <v>1</v>
      </c>
      <c r="W593" s="897" t="b">
        <f>ROUND('T2'!G28,$D$593)=ROUND('T3'!D34+'T3'!D41+'T3'!D48+'T3'!D55+'T3'!D62+'T3'!D69,$D$593)</f>
        <v>1</v>
      </c>
    </row>
    <row r="594" spans="1:23" outlineLevel="1">
      <c r="A594" s="894"/>
      <c r="B594" s="894"/>
      <c r="C594" s="907" t="s">
        <v>283</v>
      </c>
      <c r="D594" s="908"/>
      <c r="E594" s="889"/>
      <c r="F594" s="889"/>
      <c r="G594" s="889"/>
      <c r="H594" s="889"/>
      <c r="I594" s="889"/>
      <c r="J594" s="163"/>
      <c r="K594" s="163"/>
      <c r="L594" s="163"/>
      <c r="S594" s="189">
        <f>ROUND('T2'!C28,$D$593)</f>
        <v>-7519.6360000000004</v>
      </c>
      <c r="T594" s="189">
        <f>ROUND('T2'!D28,$D$593)</f>
        <v>0</v>
      </c>
      <c r="U594" s="189">
        <f>ROUND('T2'!E28,$D$593)</f>
        <v>0</v>
      </c>
      <c r="V594" s="189">
        <f>ROUND('T2'!F28,$D$593)</f>
        <v>0</v>
      </c>
      <c r="W594" s="189">
        <f>ROUND('T2'!G28,$D$593)</f>
        <v>0</v>
      </c>
    </row>
    <row r="595" spans="1:23" outlineLevel="1">
      <c r="A595" s="894"/>
      <c r="B595" s="894"/>
      <c r="C595" s="907" t="s">
        <v>284</v>
      </c>
      <c r="D595" s="908"/>
      <c r="E595" s="889"/>
      <c r="F595" s="889"/>
      <c r="G595" s="889"/>
      <c r="H595" s="889"/>
      <c r="I595" s="889"/>
      <c r="J595" s="163"/>
      <c r="K595" s="163"/>
      <c r="L595" s="163"/>
      <c r="S595" s="189">
        <f>ROUND('T3'!D30+'T3'!D37+'T3'!D44+'T3'!D51+'T3'!D58+'T3'!D65,$D$593)</f>
        <v>0</v>
      </c>
      <c r="T595" s="189">
        <f>ROUND('T3'!D31+'T3'!D38+'T3'!D45+'T3'!D52+'T3'!D59+'T3'!D66,$D$593)</f>
        <v>0</v>
      </c>
      <c r="U595" s="189">
        <f>ROUND('T3'!D32+'T3'!D39+'T3'!D46+'T3'!D53+'T3'!D60+'T3'!D67,$D$593)</f>
        <v>0</v>
      </c>
      <c r="V595" s="189">
        <f>ROUND('T3'!D33+'T3'!D40+'T3'!D47+'T3'!D54+'T3'!D61+'T3'!D68,$D$593)</f>
        <v>0</v>
      </c>
      <c r="W595" s="189">
        <f>ROUND('T3'!D34+'T3'!D41+'T3'!D48+'T3'!D55+'T3'!D62+'T3'!D69,$D$593)</f>
        <v>0</v>
      </c>
    </row>
    <row r="596" spans="1:23">
      <c r="A596" s="894" t="s">
        <v>210</v>
      </c>
      <c r="B596" s="894" t="s">
        <v>287</v>
      </c>
      <c r="C596" s="906" t="s">
        <v>288</v>
      </c>
      <c r="D596" s="881">
        <v>3</v>
      </c>
      <c r="E596" s="889"/>
      <c r="F596" s="889"/>
      <c r="G596" s="889"/>
      <c r="H596" s="889"/>
      <c r="I596" s="889"/>
      <c r="J596" s="163"/>
      <c r="K596" s="163"/>
      <c r="L596" s="163"/>
      <c r="S596" s="897" t="b">
        <f>ROUND('T2'!C41,$D$596)=ROUND('T3'!D23,$D$596)</f>
        <v>0</v>
      </c>
      <c r="T596" s="897" t="b">
        <f>ROUND('T2'!D41,$D$596)=ROUND('T3'!D24,$D$596)</f>
        <v>0</v>
      </c>
      <c r="U596" s="897" t="b">
        <f>ROUND('T2'!E41,$D$596)=ROUND('T3'!D25,$D$596)</f>
        <v>0</v>
      </c>
      <c r="V596" s="897" t="b">
        <f>ROUND('T2'!F41,$D$596)=ROUND('T3'!D26,$D$596)</f>
        <v>0</v>
      </c>
      <c r="W596" s="897" t="b">
        <f>ROUND('T2'!G41,$D$596)=ROUND('T3'!D27,$D$596)</f>
        <v>1</v>
      </c>
    </row>
    <row r="597" spans="1:23" outlineLevel="1">
      <c r="A597" s="894"/>
      <c r="B597" s="894"/>
      <c r="C597" s="907" t="s">
        <v>283</v>
      </c>
      <c r="D597" s="908"/>
      <c r="E597" s="889"/>
      <c r="F597" s="889"/>
      <c r="G597" s="889"/>
      <c r="H597" s="889"/>
      <c r="I597" s="889"/>
      <c r="J597" s="163"/>
      <c r="K597" s="163"/>
      <c r="L597" s="163"/>
      <c r="S597" s="189">
        <f>ROUND('T2'!C41,$D$596)</f>
        <v>381433.10399999999</v>
      </c>
      <c r="T597" s="189">
        <f>ROUND('T2'!D41,$D$596)</f>
        <v>362396.59</v>
      </c>
      <c r="U597" s="189">
        <f>ROUND('T2'!E41,$D$596)</f>
        <v>0</v>
      </c>
      <c r="V597" s="189">
        <f>ROUND('T2'!F41,$D$596)</f>
        <v>0</v>
      </c>
      <c r="W597" s="189">
        <f>ROUND('T2'!G41,$D$596)</f>
        <v>0</v>
      </c>
    </row>
    <row r="598" spans="1:23" outlineLevel="1">
      <c r="A598" s="894"/>
      <c r="B598" s="894"/>
      <c r="C598" s="907" t="s">
        <v>284</v>
      </c>
      <c r="D598" s="908"/>
      <c r="E598" s="889"/>
      <c r="F598" s="889"/>
      <c r="G598" s="889"/>
      <c r="H598" s="889"/>
      <c r="I598" s="889"/>
      <c r="J598" s="163"/>
      <c r="K598" s="163"/>
      <c r="L598" s="163"/>
      <c r="S598" s="189">
        <f>ROUND('T3'!D23,$D$596)</f>
        <v>0</v>
      </c>
      <c r="T598" s="189">
        <f>ROUND('T3'!D24,$D$596)</f>
        <v>-52778.572999999997</v>
      </c>
      <c r="U598" s="189">
        <f>ROUND('T3'!D25,$D$596)</f>
        <v>-62084.313000000002</v>
      </c>
      <c r="V598" s="189">
        <f>ROUND('T3'!D26,$D$596)</f>
        <v>-114862.887</v>
      </c>
      <c r="W598" s="189">
        <f>ROUND('T3'!D27,$D$596)</f>
        <v>0</v>
      </c>
    </row>
    <row r="599" spans="1:23">
      <c r="A599" s="894" t="s">
        <v>222</v>
      </c>
      <c r="B599" s="894" t="s">
        <v>289</v>
      </c>
      <c r="C599" s="906" t="s">
        <v>290</v>
      </c>
      <c r="D599" s="881">
        <v>3</v>
      </c>
      <c r="E599" s="889"/>
      <c r="F599" s="889"/>
      <c r="G599" s="889"/>
      <c r="H599" s="889"/>
      <c r="I599" s="889"/>
      <c r="J599" s="163"/>
      <c r="K599" s="163"/>
      <c r="L599" s="163"/>
      <c r="S599" s="897" t="b">
        <f>ROUND('T2'!C46,$D$599)=ROUND('T3'!D103+'T3'!D109,$D$599)</f>
        <v>0</v>
      </c>
      <c r="T599" s="897" t="b">
        <f>ROUND('T2'!D46,$D$599)=ROUND('T3'!D104+'T3'!D110,$D$599)</f>
        <v>0</v>
      </c>
      <c r="U599" s="897" t="b">
        <f>ROUND('T2'!E46,$D$599)=ROUND('T3'!D105+'T3'!D111,$D$599)</f>
        <v>0</v>
      </c>
      <c r="V599" s="897" t="b">
        <f>ROUND('T2'!F46,$D$599)=ROUND('T3'!D106+'T3'!D112,$D$599)</f>
        <v>0</v>
      </c>
      <c r="W599" s="897" t="b">
        <f>ROUND('T2'!G46,$D$599)=ROUND('T3'!D107+'T3'!D113,$D$599)</f>
        <v>0</v>
      </c>
    </row>
    <row r="600" spans="1:23" outlineLevel="1">
      <c r="A600" s="894"/>
      <c r="B600" s="894"/>
      <c r="C600" s="907" t="s">
        <v>283</v>
      </c>
      <c r="D600" s="908"/>
      <c r="E600" s="889"/>
      <c r="F600" s="889"/>
      <c r="G600" s="889"/>
      <c r="H600" s="889"/>
      <c r="I600" s="889"/>
      <c r="J600" s="163"/>
      <c r="K600" s="163"/>
      <c r="L600" s="163"/>
      <c r="S600" s="189">
        <f>ROUND('T2'!C46,$D$599)</f>
        <v>55500.171999999999</v>
      </c>
      <c r="T600" s="189">
        <f>ROUND('T2'!D46,$D$599)</f>
        <v>51005.341999999997</v>
      </c>
      <c r="U600" s="189">
        <f>ROUND('T2'!E46,$D$599)</f>
        <v>0</v>
      </c>
      <c r="V600" s="189">
        <f>ROUND('T2'!F46,$D$599)</f>
        <v>0</v>
      </c>
      <c r="W600" s="189">
        <f>ROUND('T2'!G46,$D$599)</f>
        <v>0</v>
      </c>
    </row>
    <row r="601" spans="1:23" outlineLevel="1">
      <c r="A601" s="894"/>
      <c r="B601" s="894"/>
      <c r="C601" s="907" t="s">
        <v>284</v>
      </c>
      <c r="D601" s="908"/>
      <c r="E601" s="889"/>
      <c r="F601" s="889"/>
      <c r="G601" s="889"/>
      <c r="H601" s="889"/>
      <c r="I601" s="889"/>
      <c r="J601" s="163"/>
      <c r="K601" s="163"/>
      <c r="L601" s="163"/>
      <c r="S601" s="189">
        <f>ROUND('T3'!D103+'T3'!D109,$D$599)</f>
        <v>0</v>
      </c>
      <c r="T601" s="189">
        <f>ROUND('T3'!D104+'T3'!D110,$D$599)</f>
        <v>12063.437</v>
      </c>
      <c r="U601" s="189">
        <f>ROUND('T3'!D105+'T3'!D111,$D$599)</f>
        <v>48632.110999999997</v>
      </c>
      <c r="V601" s="189">
        <f>ROUND('T3'!D106+'T3'!D112,$D$599)</f>
        <v>15675.823</v>
      </c>
      <c r="W601" s="189">
        <f>ROUND('T3'!D107+'T3'!D113,$D$599)</f>
        <v>53426.557999999997</v>
      </c>
    </row>
    <row r="602" spans="1:23">
      <c r="A602" s="894" t="s">
        <v>216</v>
      </c>
      <c r="B602" s="894" t="s">
        <v>291</v>
      </c>
      <c r="C602" s="906" t="s">
        <v>292</v>
      </c>
      <c r="D602" s="881">
        <v>3</v>
      </c>
      <c r="E602" s="889"/>
      <c r="F602" s="889"/>
      <c r="G602" s="889"/>
      <c r="H602" s="889"/>
      <c r="I602" s="889"/>
      <c r="J602" s="163"/>
      <c r="K602" s="163"/>
      <c r="L602" s="163"/>
      <c r="S602" s="897" t="b">
        <f>ROUND('T2'!C54,$D$602)=ROUND('T3'!D81,$D$602)</f>
        <v>1</v>
      </c>
      <c r="T602" s="897" t="b">
        <f>ROUND('T2'!D54,$D$602)=ROUND('T3'!D82,$D$602)</f>
        <v>1</v>
      </c>
      <c r="U602" s="897" t="b">
        <f>ROUND('T2'!E54,$D$602)=ROUND('T3'!D83,$D$602)</f>
        <v>1</v>
      </c>
      <c r="V602" s="897" t="b">
        <f>ROUND('T2'!F54,$D$602)=ROUND('T3'!D84,$D$602)</f>
        <v>1</v>
      </c>
      <c r="W602" s="897" t="b">
        <f>ROUND('T2'!G54,$D$602)=ROUND('T3'!D85,$D$602)</f>
        <v>1</v>
      </c>
    </row>
    <row r="603" spans="1:23" outlineLevel="1">
      <c r="A603" s="894"/>
      <c r="B603" s="894"/>
      <c r="C603" s="907" t="s">
        <v>283</v>
      </c>
      <c r="D603" s="908"/>
      <c r="E603" s="889"/>
      <c r="F603" s="889"/>
      <c r="G603" s="889"/>
      <c r="H603" s="889"/>
      <c r="I603" s="889"/>
      <c r="J603" s="163"/>
      <c r="K603" s="163"/>
      <c r="L603" s="163"/>
      <c r="S603" s="189">
        <f>ROUND('T2'!C54,$D$602)</f>
        <v>0</v>
      </c>
      <c r="T603" s="189">
        <f>ROUND('T2'!D54,$D$602)</f>
        <v>0</v>
      </c>
      <c r="U603" s="189">
        <f>ROUND('T2'!E54,$D$602)</f>
        <v>0</v>
      </c>
      <c r="V603" s="189">
        <f>ROUND('T2'!F54,$D$602)</f>
        <v>0</v>
      </c>
      <c r="W603" s="189">
        <f>ROUND('T2'!G54,$D$602)</f>
        <v>0</v>
      </c>
    </row>
    <row r="604" spans="1:23" outlineLevel="1">
      <c r="A604" s="894"/>
      <c r="B604" s="894"/>
      <c r="C604" s="907" t="s">
        <v>284</v>
      </c>
      <c r="D604" s="908"/>
      <c r="E604" s="889"/>
      <c r="F604" s="889"/>
      <c r="G604" s="889"/>
      <c r="H604" s="889"/>
      <c r="I604" s="889"/>
      <c r="J604" s="163"/>
      <c r="K604" s="163"/>
      <c r="L604" s="163"/>
      <c r="S604" s="189">
        <f>ROUND('T3'!D81,$D$602)</f>
        <v>0</v>
      </c>
      <c r="T604" s="189">
        <f>ROUND('T3'!D82,$D$602)</f>
        <v>0</v>
      </c>
      <c r="U604" s="189">
        <f>ROUND('T3'!D83,$D$602)</f>
        <v>0</v>
      </c>
      <c r="V604" s="189">
        <f>ROUND('T3'!D84,$D$602)</f>
        <v>0</v>
      </c>
      <c r="W604" s="189">
        <f>ROUND('T3'!D85,$D$602)</f>
        <v>0</v>
      </c>
    </row>
    <row r="605" spans="1:23">
      <c r="A605" s="894" t="s">
        <v>219</v>
      </c>
      <c r="B605" s="894" t="s">
        <v>293</v>
      </c>
      <c r="C605" s="906" t="s">
        <v>294</v>
      </c>
      <c r="D605" s="881">
        <v>3</v>
      </c>
      <c r="E605" s="889"/>
      <c r="F605" s="889"/>
      <c r="G605" s="889"/>
      <c r="H605" s="889"/>
      <c r="I605" s="889"/>
      <c r="J605" s="163"/>
      <c r="K605" s="163"/>
      <c r="L605" s="163"/>
      <c r="S605" s="897" t="b">
        <f>ROUND('T2'!C59,$D$605)=ROUND('T3'!D92,$D$605)</f>
        <v>1</v>
      </c>
      <c r="T605" s="897" t="b">
        <f>ROUND('T2'!D59,$D$605)=ROUND('T3'!D93,$D$605)</f>
        <v>1</v>
      </c>
      <c r="U605" s="897" t="b">
        <f>ROUND('T2'!E59,$D$605)=ROUND('T3'!D94,$D$605)</f>
        <v>1</v>
      </c>
      <c r="V605" s="897" t="b">
        <f>ROUND('T2'!F59,$D$605)=ROUND('T3'!D95,$D$605)</f>
        <v>1</v>
      </c>
      <c r="W605" s="897" t="b">
        <f>ROUND('T2'!G59,$D$605)=ROUND('T3'!D96,$D$605)</f>
        <v>1</v>
      </c>
    </row>
    <row r="606" spans="1:23" outlineLevel="1">
      <c r="A606" s="894"/>
      <c r="B606" s="894"/>
      <c r="C606" s="907" t="s">
        <v>283</v>
      </c>
      <c r="D606" s="908"/>
      <c r="E606" s="889"/>
      <c r="F606" s="889"/>
      <c r="G606" s="889"/>
      <c r="H606" s="889"/>
      <c r="I606" s="889"/>
      <c r="J606" s="163"/>
      <c r="K606" s="163"/>
      <c r="L606" s="163"/>
      <c r="S606" s="189">
        <f>ROUND('T2'!C59,$D$605)</f>
        <v>0</v>
      </c>
      <c r="T606" s="189">
        <f>ROUND('T2'!D59,$D$605)</f>
        <v>0</v>
      </c>
      <c r="U606" s="189">
        <f>ROUND('T2'!E59,$D$605)</f>
        <v>0</v>
      </c>
      <c r="V606" s="189">
        <f>ROUND('T2'!F59,$D$605)</f>
        <v>0</v>
      </c>
      <c r="W606" s="189">
        <f>ROUND('T2'!G59,$D$605)</f>
        <v>0</v>
      </c>
    </row>
    <row r="607" spans="1:23" outlineLevel="1">
      <c r="A607" s="894"/>
      <c r="B607" s="894"/>
      <c r="C607" s="907" t="s">
        <v>284</v>
      </c>
      <c r="D607" s="908"/>
      <c r="E607" s="889"/>
      <c r="F607" s="889"/>
      <c r="G607" s="889"/>
      <c r="H607" s="889"/>
      <c r="I607" s="889"/>
      <c r="J607" s="163"/>
      <c r="K607" s="163"/>
      <c r="L607" s="163"/>
      <c r="S607" s="189">
        <f>ROUND('T3'!D92,$D$605)</f>
        <v>0</v>
      </c>
      <c r="T607" s="189">
        <f>ROUND('T3'!D93,$D$605)</f>
        <v>0</v>
      </c>
      <c r="U607" s="189">
        <f>ROUND('T3'!D94,$D$605)</f>
        <v>0</v>
      </c>
      <c r="V607" s="189">
        <f>ROUND('T3'!D95,$D$605)</f>
        <v>0</v>
      </c>
      <c r="W607" s="189">
        <f>ROUND('T3'!D96,$D$605)</f>
        <v>0</v>
      </c>
    </row>
    <row r="608" spans="1:23">
      <c r="A608" s="894" t="s">
        <v>231</v>
      </c>
      <c r="B608" s="894" t="s">
        <v>295</v>
      </c>
      <c r="C608" s="906" t="s">
        <v>296</v>
      </c>
      <c r="D608" s="881">
        <v>3</v>
      </c>
      <c r="E608" s="889"/>
      <c r="F608" s="889"/>
      <c r="G608" s="889"/>
      <c r="H608" s="889"/>
      <c r="I608" s="889"/>
      <c r="J608" s="163"/>
      <c r="K608" s="163"/>
      <c r="L608" s="163"/>
      <c r="S608" s="897" t="b">
        <f>ROUND('T2'!C63,$D$608)=ROUND('T3'!D160,$D$608)</f>
        <v>0</v>
      </c>
      <c r="T608" s="897" t="b">
        <f>ROUND('T2'!D63,$D$608)=ROUND('T3'!D161,$D$608)</f>
        <v>1</v>
      </c>
      <c r="U608" s="897" t="b">
        <f>ROUND('T2'!E63,$D$608)=ROUND('T3'!D162,$D$608)</f>
        <v>1</v>
      </c>
      <c r="V608" s="897" t="b">
        <f>ROUND('T2'!F63,$D$608)=ROUND('T3'!D163,$D$608)</f>
        <v>1</v>
      </c>
      <c r="W608" s="897" t="b">
        <f>ROUND('T2'!G63,$D$608)=ROUND('T3'!D164,$D$608)</f>
        <v>1</v>
      </c>
    </row>
    <row r="609" spans="1:26" outlineLevel="1">
      <c r="A609" s="894"/>
      <c r="B609" s="894"/>
      <c r="C609" s="907" t="s">
        <v>283</v>
      </c>
      <c r="D609" s="908"/>
      <c r="E609" s="889"/>
      <c r="F609" s="889"/>
      <c r="G609" s="889"/>
      <c r="H609" s="889"/>
      <c r="I609" s="889"/>
      <c r="J609" s="163"/>
      <c r="K609" s="163"/>
      <c r="L609" s="163"/>
      <c r="S609" s="189">
        <f>ROUND('T2'!C63,$D$608)</f>
        <v>4630.4589999999998</v>
      </c>
      <c r="T609" s="189">
        <f>ROUND('T2'!D63,$D$608)</f>
        <v>0</v>
      </c>
      <c r="U609" s="189">
        <f>ROUND('T2'!E63,$D$608)</f>
        <v>0</v>
      </c>
      <c r="V609" s="189">
        <f>ROUND('T2'!F63,$D$608)</f>
        <v>0</v>
      </c>
      <c r="W609" s="189">
        <f>ROUND('T2'!G63,$D$608)</f>
        <v>0</v>
      </c>
    </row>
    <row r="610" spans="1:26" outlineLevel="1">
      <c r="A610" s="894"/>
      <c r="B610" s="894"/>
      <c r="C610" s="907" t="s">
        <v>284</v>
      </c>
      <c r="D610" s="908"/>
      <c r="E610" s="889"/>
      <c r="F610" s="889"/>
      <c r="G610" s="889"/>
      <c r="H610" s="889"/>
      <c r="I610" s="889"/>
      <c r="J610" s="163"/>
      <c r="K610" s="163"/>
      <c r="L610" s="163"/>
      <c r="S610" s="189">
        <f>ROUND('T3'!D160,$D$608)</f>
        <v>54857.504000000001</v>
      </c>
      <c r="T610" s="189">
        <f>ROUND('T3'!D161,$D$608)</f>
        <v>0</v>
      </c>
      <c r="U610" s="189">
        <f>ROUND('T3'!D162,$D$608)</f>
        <v>0</v>
      </c>
      <c r="V610" s="189">
        <f>ROUND('T3'!D163,$D$608)</f>
        <v>0</v>
      </c>
      <c r="W610" s="189">
        <f>ROUND('T3'!D164,$D$608)</f>
        <v>0</v>
      </c>
    </row>
    <row r="611" spans="1:26">
      <c r="A611" s="894" t="s">
        <v>297</v>
      </c>
      <c r="B611" s="894" t="s">
        <v>298</v>
      </c>
      <c r="C611" s="906" t="s">
        <v>299</v>
      </c>
      <c r="D611" s="881">
        <v>3</v>
      </c>
      <c r="E611" s="889"/>
      <c r="F611" s="889"/>
      <c r="G611" s="889"/>
      <c r="H611" s="889"/>
      <c r="I611" s="889"/>
      <c r="J611" s="163"/>
      <c r="K611" s="163"/>
      <c r="L611" s="163"/>
      <c r="S611" s="897" t="b">
        <f>ROUND('T2'!C66,$D$611)=ROUND('T3'!D167,$D$611)</f>
        <v>1</v>
      </c>
      <c r="T611" s="897" t="b">
        <f>ROUND('T2'!D66,$D$611)=ROUND('T3'!D168,$D$611)</f>
        <v>1</v>
      </c>
      <c r="U611" s="897" t="b">
        <f>ROUND('T2'!E66,$D$611)=ROUND('T3'!D169,$D$611)</f>
        <v>1</v>
      </c>
      <c r="V611" s="897" t="b">
        <f>ROUND('T2'!F66,$D$611)=ROUND('T3'!D170,$D$611)</f>
        <v>1</v>
      </c>
      <c r="W611" s="897" t="b">
        <f>ROUND('T2'!G66,$D$611)=ROUND('T3'!D171,$D$611)</f>
        <v>1</v>
      </c>
    </row>
    <row r="612" spans="1:26" outlineLevel="1">
      <c r="A612" s="894"/>
      <c r="B612" s="894"/>
      <c r="C612" s="907" t="s">
        <v>283</v>
      </c>
      <c r="D612" s="908"/>
      <c r="E612" s="889"/>
      <c r="F612" s="889"/>
      <c r="G612" s="889"/>
      <c r="H612" s="889"/>
      <c r="I612" s="889"/>
      <c r="J612" s="163"/>
      <c r="K612" s="163"/>
      <c r="L612" s="163"/>
      <c r="S612" s="189">
        <f>ROUND('T2'!C66,$D$611)</f>
        <v>0</v>
      </c>
      <c r="T612" s="189">
        <f>ROUND('T2'!D66,$D$611)</f>
        <v>0</v>
      </c>
      <c r="U612" s="189">
        <f>ROUND('T2'!E66,$D$611)</f>
        <v>0</v>
      </c>
      <c r="V612" s="189">
        <f>ROUND('T2'!F66,$D$611)</f>
        <v>0</v>
      </c>
      <c r="W612" s="189">
        <f>ROUND('T2'!G66,$D$611)</f>
        <v>0</v>
      </c>
    </row>
    <row r="613" spans="1:26" outlineLevel="1">
      <c r="A613" s="894"/>
      <c r="B613" s="894"/>
      <c r="C613" s="907" t="s">
        <v>284</v>
      </c>
      <c r="D613" s="908"/>
      <c r="E613" s="889"/>
      <c r="F613" s="889"/>
      <c r="G613" s="889"/>
      <c r="H613" s="889"/>
      <c r="I613" s="889"/>
      <c r="J613" s="163"/>
      <c r="K613" s="163"/>
      <c r="L613" s="163"/>
      <c r="S613" s="189">
        <f>ROUND('T3'!D167,$D$611)</f>
        <v>0</v>
      </c>
      <c r="T613" s="189">
        <f>ROUND('T3'!D168,$D$611)</f>
        <v>0</v>
      </c>
      <c r="U613" s="189">
        <f>ROUND('T3'!D169,$D$611)</f>
        <v>0</v>
      </c>
      <c r="V613" s="189">
        <f>ROUND('T3'!D170,$D$611)</f>
        <v>0</v>
      </c>
      <c r="W613" s="189">
        <f>ROUND('T3'!D171,$D$611)</f>
        <v>0</v>
      </c>
    </row>
    <row r="614" spans="1:26">
      <c r="A614" s="894" t="s">
        <v>300</v>
      </c>
      <c r="B614" s="894" t="s">
        <v>301</v>
      </c>
      <c r="C614" s="906" t="s">
        <v>302</v>
      </c>
      <c r="D614" s="881">
        <v>3</v>
      </c>
      <c r="E614" s="889"/>
      <c r="F614" s="889"/>
      <c r="G614" s="889"/>
      <c r="H614" s="889"/>
      <c r="I614" s="889"/>
      <c r="J614" s="163"/>
      <c r="K614" s="163"/>
      <c r="L614" s="163"/>
      <c r="S614" s="897" t="b">
        <f>ROUND('T2'!C73,$D$614)=ROUND('T3'!D120+'T3'!D131+'T3'!D142+'T3'!D160,$D$614)</f>
        <v>0</v>
      </c>
      <c r="T614" s="897" t="b">
        <f>ROUND('T2'!D73,$D$614)=ROUND('T3'!D121+'T3'!D132+'T3'!D143+'T3'!D161,$D$614)</f>
        <v>0</v>
      </c>
      <c r="U614" s="897" t="b">
        <f>ROUND('T2'!E73,$D$614)=ROUND('T3'!D122+'T3'!D133+'T3'!D144+'T3'!D162,$D$614)</f>
        <v>0</v>
      </c>
      <c r="V614" s="897" t="b">
        <f>ROUND('T2'!F73,$D$614)=ROUND('T3'!D123+'T3'!D134+'T3'!D145+'T3'!D163,$D$614)</f>
        <v>0</v>
      </c>
      <c r="W614" s="897" t="b">
        <f>ROUND('T2'!G73,$D$614)=ROUND('T3'!D124+'T3'!D135+'T3'!D146+'T3'!D164,$D$614)</f>
        <v>0</v>
      </c>
    </row>
    <row r="615" spans="1:26" outlineLevel="1">
      <c r="A615" s="894"/>
      <c r="B615" s="894"/>
      <c r="C615" s="907" t="s">
        <v>283</v>
      </c>
      <c r="D615" s="908"/>
      <c r="E615" s="889"/>
      <c r="F615" s="889"/>
      <c r="G615" s="889"/>
      <c r="H615" s="889"/>
      <c r="I615" s="889"/>
      <c r="J615" s="163"/>
      <c r="K615" s="163"/>
      <c r="L615" s="163"/>
      <c r="S615" s="189">
        <f>ROUND('T2'!C73,$D$614)</f>
        <v>-7473.076</v>
      </c>
      <c r="T615" s="189">
        <f>ROUND('T2'!D73,$D$614)</f>
        <v>-13037.437</v>
      </c>
      <c r="U615" s="189">
        <f>ROUND('T2'!E73,$D$614)</f>
        <v>0</v>
      </c>
      <c r="V615" s="189">
        <f>ROUND('T2'!F73,$D$614)</f>
        <v>0</v>
      </c>
      <c r="W615" s="189">
        <f>ROUND('T2'!G73,$D$614)</f>
        <v>0</v>
      </c>
    </row>
    <row r="616" spans="1:26" outlineLevel="1">
      <c r="A616" s="894"/>
      <c r="B616" s="894"/>
      <c r="C616" s="907" t="s">
        <v>284</v>
      </c>
      <c r="D616" s="908"/>
      <c r="E616" s="889"/>
      <c r="F616" s="889"/>
      <c r="G616" s="889"/>
      <c r="H616" s="889"/>
      <c r="I616" s="889"/>
      <c r="J616" s="163"/>
      <c r="K616" s="163"/>
      <c r="L616" s="163"/>
      <c r="S616" s="189">
        <f>ROUND('T3'!D120+'T3'!D131+'T3'!D142+'T3'!D160,$D$614)</f>
        <v>54857.504000000001</v>
      </c>
      <c r="T616" s="189">
        <f>ROUND('T3'!D121+'T3'!D132+'T3'!D143+'T3'!D161,$D$614)</f>
        <v>0</v>
      </c>
      <c r="U616" s="189">
        <f>ROUND('T3'!D122+'T3'!D133+'T3'!D144+'T3'!D162,$D$614)</f>
        <v>-2655.4079999999999</v>
      </c>
      <c r="V616" s="189">
        <f>ROUND('T3'!D123+'T3'!D134+'T3'!D145+'T3'!D163,$D$614)</f>
        <v>6718</v>
      </c>
      <c r="W616" s="189">
        <f>ROUND('T3'!D124+'T3'!D135+'T3'!D146+'T3'!D164,$D$614)</f>
        <v>4062.5920000000001</v>
      </c>
    </row>
    <row r="617" spans="1:26" s="889" customFormat="1">
      <c r="A617" s="894" t="s">
        <v>303</v>
      </c>
      <c r="B617" s="894" t="s">
        <v>304</v>
      </c>
      <c r="C617" s="895" t="s">
        <v>305</v>
      </c>
      <c r="D617" s="908"/>
      <c r="L617" s="163"/>
      <c r="M617" s="163"/>
      <c r="R617" s="163"/>
      <c r="S617" s="897" t="b">
        <f>SUM('T3'!$E$10,'T3'!$E$12:$E$16,'T3'!$E$21,'T3'!$E$23:$E$27,'T3'!$E$30:$E$34,'T3'!$E$37:$E$41,'T3'!$E$44:$E$48,'T3'!$E$51:$E$55,'T3'!$E$58:$E$62,'T3'!$E$65:$E$69,'T3'!$E$74,'T3'!$E$79,'T3'!$E$81:$E$85,'T3'!$E$90,'T3'!$E$92:$E$96,'T3'!$E$101,'T3'!$E$103:$E$107,'T3'!$E$109:$E$113)=0</f>
        <v>0</v>
      </c>
      <c r="T617" s="897" t="b">
        <f>SUM('T3'!$F$12:$F$16,'T3'!$F$23:$F$27,'T3'!$F$30:$F$34,'T3'!$F$37:$F$41,'T3'!$F$44:$F$48,'T3'!$F$51:$F$55,'T3'!$F$58:$F$62,'T3'!$F$65:$F$69,'T3'!$F$81:$F$85,'T3'!$F$92:$F$96,'T3'!$F$103:$F$107,'T3'!$F$109:$F$113)=0</f>
        <v>0</v>
      </c>
      <c r="U617" s="897" t="b">
        <f>SUM('T3'!$G$13:$G$16,'T3'!$G$24:$G$27,'T3'!$G$31:$G$34,'T3'!$G$38:$G$41,'T3'!$G$45:$G$48,'T3'!$G$52:$G$55,'T3'!$G$59:$G$62,'T3'!$G$66:$G$69,'T3'!$G$82:$G$85,'T3'!$G$93:$G$96,'T3'!$G$104:$G$107,'T3'!$G$110:$G$113)=0</f>
        <v>0</v>
      </c>
      <c r="V617" s="897" t="b">
        <f>SUM('T3'!$H$14:$H$16,'T3'!$H$25:$H$27,'T3'!$H$32:$H$34,'T3'!$H$39:$H$41,'T3'!$H$46:$H$48,'T3'!$H$53:$H$55,'T3'!$H$60:$H$62,'T3'!$H$67:$H$69,'T3'!$H$83:$H$85,'T3'!$H$94:$H$96,'T3'!$H$105:$H$107,'T3'!$H$111:$H$113)=0</f>
        <v>0</v>
      </c>
      <c r="W617" s="897" t="b">
        <f>SUM('T3'!$I$15:$I$16,'T3'!$I$26:$I$27,'T3'!$I$33:$I$34,'T3'!$I$40:$I$41,'T3'!$I$47:$I$48,'T3'!$I$54:$I$55,'T3'!$I$61:$I$62,'T3'!$I$68:$I$69,'T3'!$I$84:$I$85,'T3'!$I$95:$I$96,'T3'!$I$106:$I$107,'T3'!$I$112:$I$113)=0</f>
        <v>0</v>
      </c>
    </row>
    <row r="618" spans="1:26" outlineLevel="1">
      <c r="A618" s="894"/>
      <c r="B618" s="894"/>
      <c r="C618" s="898" t="s">
        <v>306</v>
      </c>
      <c r="D618" s="908"/>
      <c r="J618" s="163"/>
      <c r="K618" s="163"/>
      <c r="L618" s="163"/>
      <c r="S618" s="189">
        <f>SUM('T3'!$E$10,'T3'!$E$12:$E$16,'T3'!$E$21,'T3'!$E$23:$E$27,'T3'!$E$30:$E$34,'T3'!$E$37:$E$41,'T3'!$E$44:$E$48,'T3'!$E$51:$E$55,'T3'!$E$58:$E$62,'T3'!$E$65:$E$69,'T3'!$E$74,'T3'!$E$79,'T3'!$E$81:$E$85,'T3'!$E$90,'T3'!$E$92:$E$96,'T3'!$E$101,'T3'!$E$103:$E$107,'T3'!$E$109:$E$113)</f>
        <v>-116674.76395595333</v>
      </c>
      <c r="T618" s="189">
        <f>SUM('T3'!$F$12:$F$16,'T3'!$F$23:$F$27,'T3'!$F$30:$F$34,'T3'!$F$37:$F$41,'T3'!$F$44:$F$48,'T3'!$F$51:$F$55,'T3'!$F$58:$F$62,'T3'!$F$65:$F$69,'T3'!$F$81:$F$85,'T3'!$F$92:$F$96,'T3'!$F$103:$F$107,'T3'!$F$109:$F$113)</f>
        <v>-108281.35113059086</v>
      </c>
      <c r="U618" s="189">
        <f>SUM('T3'!$G$13:$G$16,'T3'!$G$24:$G$27,'T3'!$G$31:$G$34,'T3'!$G$38:$G$41,'T3'!$G$45:$G$48,'T3'!$G$52:$G$55,'T3'!$G$59:$G$62,'T3'!$G$66:$G$69,'T3'!$G$82:$G$85,'T3'!$G$93:$G$96,'T3'!$G$104:$G$107,'T3'!$G$110:$G$113)</f>
        <v>7873.7587832656554</v>
      </c>
      <c r="V618" s="189">
        <f>SUM('T3'!$H$14:$H$16,'T3'!$H$25:$H$27,'T3'!$H$32:$H$34,'T3'!$H$39:$H$41,'T3'!$H$46:$H$48,'T3'!$H$53:$H$55,'T3'!$H$60:$H$62,'T3'!$H$67:$H$69,'T3'!$H$83:$H$85,'T3'!$H$94:$H$96,'T3'!$H$105:$H$107,'T3'!$H$111:$H$113)</f>
        <v>4823.0266012773773</v>
      </c>
      <c r="W618" s="189">
        <f>SUM('T3'!$I$15:$I$16,'T3'!$I$26:$I$27,'T3'!$I$33:$I$34,'T3'!$I$40:$I$41,'T3'!$I$47:$I$48,'T3'!$I$54:$I$55,'T3'!$I$61:$I$62,'T3'!$I$68:$I$69,'T3'!$I$84:$I$85,'T3'!$I$95:$I$96,'T3'!$I$106:$I$107,'T3'!$I$112:$I$113)</f>
        <v>1211.0470623107449</v>
      </c>
    </row>
    <row r="619" spans="1:26">
      <c r="A619" s="894" t="s">
        <v>307</v>
      </c>
      <c r="B619" s="894" t="s">
        <v>308</v>
      </c>
      <c r="C619" s="895" t="s">
        <v>309</v>
      </c>
      <c r="D619" s="881">
        <v>3</v>
      </c>
      <c r="J619" s="163"/>
      <c r="K619" s="163"/>
      <c r="L619" s="163"/>
      <c r="S619" s="897" t="b">
        <f>ROUND(SUM('T3'!E72:E73),$D$619)=0</f>
        <v>1</v>
      </c>
    </row>
    <row r="620" spans="1:26" outlineLevel="1">
      <c r="A620" s="894"/>
      <c r="B620" s="894"/>
      <c r="C620" s="898" t="s">
        <v>310</v>
      </c>
      <c r="D620" s="908"/>
      <c r="J620" s="163"/>
      <c r="K620" s="163"/>
      <c r="L620" s="163"/>
      <c r="S620" s="189">
        <f>ROUND(SUM('T3'!E72:E73),$D$619)</f>
        <v>0</v>
      </c>
    </row>
    <row r="621" spans="1:26" outlineLevel="1">
      <c r="A621" s="894"/>
      <c r="B621" s="894"/>
      <c r="C621" s="898" t="s">
        <v>311</v>
      </c>
      <c r="D621" s="908"/>
      <c r="J621" s="163"/>
      <c r="K621" s="163"/>
      <c r="L621" s="163"/>
      <c r="S621" s="189">
        <f>0</f>
        <v>0</v>
      </c>
    </row>
    <row r="622" spans="1:26" s="184" customFormat="1" ht="18.75">
      <c r="A622" s="173" t="s">
        <v>13</v>
      </c>
      <c r="B622" s="174" t="s">
        <v>14</v>
      </c>
      <c r="C622" s="175" t="s">
        <v>312</v>
      </c>
      <c r="D622" s="912"/>
      <c r="E622" s="891"/>
      <c r="F622" s="891"/>
      <c r="G622" s="891"/>
      <c r="H622" s="891"/>
      <c r="I622" s="891"/>
      <c r="J622" s="891"/>
      <c r="K622" s="891"/>
      <c r="L622" s="891"/>
      <c r="M622" s="891"/>
      <c r="N622" s="891"/>
      <c r="O622" s="891"/>
      <c r="P622" s="891"/>
      <c r="Q622" s="891"/>
      <c r="R622" s="163"/>
      <c r="S622" s="891"/>
      <c r="T622" s="891"/>
      <c r="U622" s="891"/>
      <c r="V622" s="891"/>
      <c r="W622" s="891"/>
      <c r="X622" s="889"/>
      <c r="Y622" s="889"/>
      <c r="Z622" s="889"/>
    </row>
    <row r="623" spans="1:26" s="909" customFormat="1">
      <c r="A623" s="893" t="s">
        <v>234</v>
      </c>
      <c r="B623" s="894" t="s">
        <v>277</v>
      </c>
      <c r="C623" s="906" t="s">
        <v>278</v>
      </c>
      <c r="D623" s="881">
        <v>3</v>
      </c>
      <c r="E623" s="889"/>
      <c r="F623" s="889"/>
      <c r="G623" s="889"/>
      <c r="H623" s="889"/>
      <c r="I623" s="889"/>
      <c r="R623" s="163"/>
      <c r="S623" s="897" t="b">
        <f>ROUND('T2 ANSP'!C78,$D$623)=ROUND(SUM('T3 ANSP'!D12,'T3 ANSP'!D27,'T3 ANSP'!D38,'T3 ANSP'!D49,'T3 ANSP'!D60,'T3 ANSP'!D71,'T3 ANSP'!D82,'T3 ANSP'!D93,'T3 ANSP'!D117,'T3 ANSP'!D132,'T3 ANSP'!D147,'T3 ANSP'!D157,'T3 ANSP'!D172,'T3 ANSP'!D187,'T3 ANSP'!D202,'T3 ANSP'!D217,'T3 ANSP'!D228,'T3 ANSP'!D239),$D$623)</f>
        <v>0</v>
      </c>
      <c r="T623" s="897" t="b">
        <f>ROUND('T2 ANSP'!D78,$D$623)=ROUND(SUM('T3 ANSP'!D13,'T3 ANSP'!D28,'T3 ANSP'!D39,'T3 ANSP'!D50,'T3 ANSP'!D61,'T3 ANSP'!D72,'T3 ANSP'!D83,'T3 ANSP'!D94,'T3 ANSP'!D118,'T3 ANSP'!D133,'T3 ANSP'!D148,'T3 ANSP'!D158,'T3 ANSP'!D173,'T3 ANSP'!D188,'T3 ANSP'!D203,'T3 ANSP'!D218,'T3 ANSP'!D229,'T3 ANSP'!D240),$D$623)</f>
        <v>0</v>
      </c>
      <c r="U623" s="897" t="b">
        <f>ROUND('T2 ANSP'!E78,$D$623)=ROUND(SUM('T3 ANSP'!D14,'T3 ANSP'!D29,'T3 ANSP'!D40,'T3 ANSP'!D51,'T3 ANSP'!D62,'T3 ANSP'!D73,'T3 ANSP'!D84,'T3 ANSP'!D95,'T3 ANSP'!D119,'T3 ANSP'!D134,'T3 ANSP'!D149,'T3 ANSP'!D159,'T3 ANSP'!D174,'T3 ANSP'!D189,'T3 ANSP'!D208,'T3 ANSP'!D223,'T3 ANSP'!D230,'T3 ANSP'!D241),$D$623)</f>
        <v>0</v>
      </c>
      <c r="V623" s="897" t="e">
        <f>ROUND('T2 ANSP'!F78,$D$623)=ROUND(SUM('T3 ANSP'!D16,'T3 ANSP'!D31,'T3 ANSP'!D42,'T3 ANSP'!D53,'T3 ANSP'!D64,'T3 ANSP'!D75,'T3 ANSP'!D89,'T3 ANSP'!D100,'T3 ANSP'!D121,'T3 ANSP'!D136,'T3 ANSP'!D154,'T3 ANSP'!D161,'T3 ANSP'!D176,'T3 ANSP'!D194,'T3 ANSP'!D209,'T3 ANSP'!D224,'T3 ANSP'!D232,'T3 ANSP'!D243),$D$623)</f>
        <v>#VALUE!</v>
      </c>
      <c r="W623" s="897" t="e">
        <f>ROUND('T2 ANSP'!G78,$D$623)=ROUND(SUM('T3 ANSP'!D20,'T3 ANSP'!D35,'T3 ANSP'!D46,'T3 ANSP'!D57,'T3 ANSP'!D68,'T3 ANSP'!D79,'T3 ANSP'!D90,'T3 ANSP'!D101,'T3 ANSP'!D125,'T3 ANSP'!D140,'T3 ANSP'!D155,'T3 ANSP'!D165,'T3 ANSP'!D180,'T3 ANSP'!D195,'T3 ANSP'!D210,'T3 ANSP'!D225,'T3 ANSP'!D236,'T3 ANSP'!D247),$D$623)</f>
        <v>#VALUE!</v>
      </c>
      <c r="X623" s="889"/>
      <c r="Y623" s="889"/>
      <c r="Z623" s="889"/>
    </row>
    <row r="624" spans="1:26" outlineLevel="1">
      <c r="A624" s="894"/>
      <c r="B624" s="894"/>
      <c r="C624" s="907" t="s">
        <v>279</v>
      </c>
      <c r="D624" s="908"/>
      <c r="E624" s="889"/>
      <c r="F624" s="889"/>
      <c r="G624" s="889"/>
      <c r="H624" s="889"/>
      <c r="I624" s="889"/>
      <c r="J624" s="163"/>
      <c r="K624" s="163"/>
      <c r="L624" s="163"/>
      <c r="S624" s="189">
        <f>ROUND('T2 ANSP'!C78,$D$623)</f>
        <v>366618.10700000002</v>
      </c>
      <c r="T624" s="189">
        <f>ROUND('T2 ANSP'!D78,$D$623)</f>
        <v>0</v>
      </c>
      <c r="U624" s="189">
        <f>ROUND('T2 ANSP'!E78,$D$623)</f>
        <v>0</v>
      </c>
      <c r="V624" s="189" t="e">
        <f>ROUND('T2 ANSP'!F78,$D$623)</f>
        <v>#VALUE!</v>
      </c>
      <c r="W624" s="189" t="e">
        <f>ROUND('T2 ANSP'!G78,$D$623)</f>
        <v>#VALUE!</v>
      </c>
      <c r="X624" s="889"/>
      <c r="Y624" s="889"/>
      <c r="Z624" s="889"/>
    </row>
    <row r="625" spans="1:26" outlineLevel="1">
      <c r="A625" s="894"/>
      <c r="B625" s="894"/>
      <c r="C625" s="907" t="s">
        <v>280</v>
      </c>
      <c r="D625" s="908"/>
      <c r="E625" s="889"/>
      <c r="F625" s="889"/>
      <c r="G625" s="889"/>
      <c r="H625" s="889"/>
      <c r="I625" s="889"/>
      <c r="J625" s="163"/>
      <c r="K625" s="163"/>
      <c r="L625" s="163"/>
      <c r="S625" s="189">
        <f>ROUND(SUM('T3 ANSP'!D12,'T3 ANSP'!D27,'T3 ANSP'!D38,'T3 ANSP'!D49,'T3 ANSP'!D60,'T3 ANSP'!D71,'T3 ANSP'!D82,'T3 ANSP'!D93,'T3 ANSP'!D117,'T3 ANSP'!D132,'T3 ANSP'!D147,'T3 ANSP'!D157,'T3 ANSP'!D172,'T3 ANSP'!D187,'T3 ANSP'!D202,'T3 ANSP'!D217,'T3 ANSP'!D228,'T3 ANSP'!D239),$D$623)</f>
        <v>-50896.423999999999</v>
      </c>
      <c r="T625" s="189">
        <f>ROUND(SUM('T3 ANSP'!D13,'T3 ANSP'!D28,'T3 ANSP'!D39,'T3 ANSP'!D50,'T3 ANSP'!D61,'T3 ANSP'!D72,'T3 ANSP'!D83,'T3 ANSP'!D94,'T3 ANSP'!D118,'T3 ANSP'!D133,'T3 ANSP'!D148,'T3 ANSP'!D158,'T3 ANSP'!D173,'T3 ANSP'!D188,'T3 ANSP'!D203,'T3 ANSP'!D218,'T3 ANSP'!D229,'T3 ANSP'!D240),$D$623)</f>
        <v>-55454.620999999999</v>
      </c>
      <c r="U625" s="189">
        <f>ROUND(SUM('T3 ANSP'!D14,'T3 ANSP'!D29,'T3 ANSP'!D40,'T3 ANSP'!D51,'T3 ANSP'!D62,'T3 ANSP'!D73,'T3 ANSP'!D84,'T3 ANSP'!D95,'T3 ANSP'!D119,'T3 ANSP'!D134,'T3 ANSP'!D149,'T3 ANSP'!D159,'T3 ANSP'!D174,'T3 ANSP'!D189,'T3 ANSP'!D208,'T3 ANSP'!D223,'T3 ANSP'!D230,'T3 ANSP'!D241),$D$623)</f>
        <v>-42882.006000000001</v>
      </c>
      <c r="V625" s="189">
        <f>ROUND(SUM('T3 ANSP'!D16,'T3 ANSP'!D31,'T3 ANSP'!D42,'T3 ANSP'!D53,'T3 ANSP'!D64,'T3 ANSP'!D75,'T3 ANSP'!D89,'T3 ANSP'!D100,'T3 ANSP'!D121,'T3 ANSP'!D136,'T3 ANSP'!D154,'T3 ANSP'!D161,'T3 ANSP'!D176,'T3 ANSP'!D194,'T3 ANSP'!D209,'T3 ANSP'!D224,'T3 ANSP'!D232,'T3 ANSP'!D243),$D$623)</f>
        <v>-5847.4030000000002</v>
      </c>
      <c r="W625" s="189" t="e">
        <f>ROUND(SUM('T3 ANSP'!D20,'T3 ANSP'!D35,'T3 ANSP'!D46,'T3 ANSP'!D57,'T3 ANSP'!D68,'T3 ANSP'!D79,'T3 ANSP'!D90,'T3 ANSP'!D101,'T3 ANSP'!D125,'T3 ANSP'!D140,'T3 ANSP'!D155,'T3 ANSP'!D165,'T3 ANSP'!D180,'T3 ANSP'!D195,'T3 ANSP'!D210,'T3 ANSP'!D225,'T3 ANSP'!D236,'T3 ANSP'!D247),$D$623)</f>
        <v>#REF!</v>
      </c>
      <c r="X625" s="889"/>
      <c r="Y625" s="889"/>
      <c r="Z625" s="889"/>
    </row>
    <row r="626" spans="1:26">
      <c r="A626" s="894" t="s">
        <v>205</v>
      </c>
      <c r="B626" s="894" t="s">
        <v>281</v>
      </c>
      <c r="C626" s="906" t="s">
        <v>282</v>
      </c>
      <c r="D626" s="881">
        <v>3</v>
      </c>
      <c r="E626" s="889"/>
      <c r="F626" s="889"/>
      <c r="G626" s="889"/>
      <c r="H626" s="889"/>
      <c r="I626" s="889"/>
      <c r="J626" s="163"/>
      <c r="K626" s="163"/>
      <c r="L626" s="163"/>
      <c r="S626" s="897" t="b">
        <f>ROUND('T2 ANSP'!C19,$D$626)=ROUND('T3 ANSP'!D12,$D$626)</f>
        <v>1</v>
      </c>
      <c r="T626" s="897" t="b">
        <f>ROUND('T2 ANSP'!D19,$D$626)=ROUND('T3 ANSP'!D13,$D$626)</f>
        <v>1</v>
      </c>
      <c r="U626" s="897" t="b">
        <f>ROUND('T2 ANSP'!E19,$D$626)=ROUND('T3 ANSP'!D14,$D$626)</f>
        <v>1</v>
      </c>
      <c r="V626" s="897" t="b">
        <f>ROUND('T2 ANSP'!F19,$D$626)=ROUND('T3 ANSP'!D16,$D$626)</f>
        <v>1</v>
      </c>
      <c r="W626" s="897" t="b">
        <f>ROUND('T2 ANSP'!G19,$D$626)=ROUND('T3 ANSP'!D20,$D$626)</f>
        <v>1</v>
      </c>
    </row>
    <row r="627" spans="1:26" outlineLevel="1">
      <c r="A627" s="894"/>
      <c r="B627" s="894"/>
      <c r="C627" s="907" t="s">
        <v>283</v>
      </c>
      <c r="D627" s="908"/>
      <c r="E627" s="889"/>
      <c r="F627" s="889"/>
      <c r="G627" s="889"/>
      <c r="H627" s="889"/>
      <c r="I627" s="889"/>
      <c r="J627" s="163"/>
      <c r="K627" s="163"/>
      <c r="L627" s="163"/>
      <c r="S627" s="189">
        <f>ROUND('T2 ANSP'!C19,$D$626)</f>
        <v>-7512.17</v>
      </c>
      <c r="T627" s="189">
        <f>ROUND('T2 ANSP'!D19,$D$626)</f>
        <v>-3418.2840000000001</v>
      </c>
      <c r="U627" s="189">
        <f>ROUND('T2 ANSP'!E19,$D$626)</f>
        <v>1211.047</v>
      </c>
      <c r="V627" s="189">
        <f>ROUND('T2 ANSP'!F19,$D$626)</f>
        <v>0</v>
      </c>
      <c r="W627" s="189">
        <f>ROUND('T2 ANSP'!G19,$D$626)</f>
        <v>0</v>
      </c>
    </row>
    <row r="628" spans="1:26" outlineLevel="1">
      <c r="A628" s="894"/>
      <c r="B628" s="894"/>
      <c r="C628" s="907" t="s">
        <v>284</v>
      </c>
      <c r="D628" s="908"/>
      <c r="E628" s="889"/>
      <c r="F628" s="889"/>
      <c r="G628" s="889"/>
      <c r="H628" s="889"/>
      <c r="I628" s="889"/>
      <c r="J628" s="163"/>
      <c r="K628" s="163"/>
      <c r="L628" s="163"/>
      <c r="S628" s="189">
        <f>ROUND('T3 ANSP'!D12,$D$626)</f>
        <v>-7512.17</v>
      </c>
      <c r="T628" s="189">
        <f>ROUND('T3 ANSP'!D13,$D$626)</f>
        <v>-3418.2840000000001</v>
      </c>
      <c r="U628" s="189">
        <f>ROUND('T3 ANSP'!D14,$D$626)</f>
        <v>1211.047</v>
      </c>
      <c r="V628" s="189">
        <f>ROUND('T3 ANSP'!D16,$D$626)</f>
        <v>0</v>
      </c>
      <c r="W628" s="189">
        <f>ROUND('T3 ANSP'!D20,$D$626)</f>
        <v>0</v>
      </c>
    </row>
    <row r="629" spans="1:26">
      <c r="A629" s="894" t="s">
        <v>213</v>
      </c>
      <c r="B629" s="894" t="s">
        <v>285</v>
      </c>
      <c r="C629" s="906" t="s">
        <v>286</v>
      </c>
      <c r="D629" s="881">
        <v>3</v>
      </c>
      <c r="E629" s="889"/>
      <c r="F629" s="889"/>
      <c r="G629" s="889"/>
      <c r="H629" s="889"/>
      <c r="I629" s="889"/>
      <c r="J629" s="163"/>
      <c r="K629" s="163"/>
      <c r="L629" s="163"/>
      <c r="S629" s="897" t="b">
        <f>ROUND('T2 ANSP'!C28,$D$629)=ROUND('T3 ANSP'!D38+'T3 ANSP'!D49+'T3 ANSP'!D60+'T3 ANSP'!D71+'T3 ANSP'!D82+'T3 ANSP'!D93,$D$629)</f>
        <v>1</v>
      </c>
      <c r="T629" s="897" t="b">
        <f>ROUND('T2 ANSP'!D28,$D$629)=ROUND('T3 ANSP'!D39+'T3 ANSP'!D50+'T3 ANSP'!D61+'T3 ANSP'!D72+'T3 ANSP'!D83+'T3 ANSP'!D94,$D$629)</f>
        <v>1</v>
      </c>
      <c r="U629" s="897" t="b">
        <f>ROUND('T2 ANSP'!E28,$D$629)=ROUND('T3 ANSP'!D40+'T3 ANSP'!D51+'T3 ANSP'!D62+'T3 ANSP'!D73+'T3 ANSP'!D84+'T3 ANSP'!D95,$D$629)</f>
        <v>1</v>
      </c>
      <c r="V629" s="897" t="b">
        <f>ROUND('T2 ANSP'!F28,$D$629)=ROUND('T3 ANSP'!D42+'T3 ANSP'!D53+'T3 ANSP'!D64+'T3 ANSP'!D75+'T3 ANSP'!D89+'T3 ANSP'!D100,$D$629)</f>
        <v>1</v>
      </c>
      <c r="W629" s="897" t="b">
        <f>ROUND('T2 ANSP'!G28,$D$629)=ROUND('T3 ANSP'!D46+'T3 ANSP'!D57+'T3 ANSP'!D68+'T3 ANSP'!D79+'T3 ANSP'!D90+'T3 ANSP'!D101,$D$629)</f>
        <v>1</v>
      </c>
    </row>
    <row r="630" spans="1:26" outlineLevel="1">
      <c r="A630" s="894"/>
      <c r="B630" s="894"/>
      <c r="C630" s="907" t="s">
        <v>283</v>
      </c>
      <c r="D630" s="908"/>
      <c r="E630" s="889"/>
      <c r="F630" s="889"/>
      <c r="G630" s="889"/>
      <c r="H630" s="889"/>
      <c r="I630" s="889"/>
      <c r="J630" s="163"/>
      <c r="K630" s="163"/>
      <c r="L630" s="163"/>
      <c r="S630" s="189">
        <f>ROUND('T2 ANSP'!C28,$D$629)</f>
        <v>0</v>
      </c>
      <c r="T630" s="189">
        <f>ROUND('T2 ANSP'!D28,$D$629)</f>
        <v>0</v>
      </c>
      <c r="U630" s="189">
        <f>ROUND('T2 ANSP'!E28,$D$629)</f>
        <v>0</v>
      </c>
      <c r="V630" s="189">
        <f>ROUND('T2 ANSP'!F28,$D$629)</f>
        <v>0</v>
      </c>
      <c r="W630" s="189">
        <f>ROUND('T2 ANSP'!G28,$D$629)</f>
        <v>0</v>
      </c>
    </row>
    <row r="631" spans="1:26" outlineLevel="1">
      <c r="A631" s="894"/>
      <c r="B631" s="894"/>
      <c r="C631" s="907" t="s">
        <v>284</v>
      </c>
      <c r="D631" s="908"/>
      <c r="E631" s="889"/>
      <c r="F631" s="889"/>
      <c r="G631" s="889"/>
      <c r="H631" s="889"/>
      <c r="I631" s="889"/>
      <c r="J631" s="163"/>
      <c r="K631" s="163"/>
      <c r="L631" s="163"/>
      <c r="S631" s="189">
        <f>ROUND('T3 ANSP'!D38+'T3 ANSP'!D49+'T3 ANSP'!D60+'T3 ANSP'!D71+'T3 ANSP'!D82+'T3 ANSP'!D93,$D$629)</f>
        <v>0</v>
      </c>
      <c r="T631" s="189">
        <f>ROUND('T3 ANSP'!D39+'T3 ANSP'!D50+'T3 ANSP'!D61+'T3 ANSP'!D72+'T3 ANSP'!D83+'T3 ANSP'!D94,$D$629)</f>
        <v>0</v>
      </c>
      <c r="U631" s="189">
        <f>ROUND('T3 ANSP'!D40+'T3 ANSP'!D51+'T3 ANSP'!D62+'T3 ANSP'!D73+'T3 ANSP'!D84+'T3 ANSP'!D95,$D$629)</f>
        <v>0</v>
      </c>
      <c r="V631" s="189">
        <f>ROUND('T3 ANSP'!D42+'T3 ANSP'!D53+'T3 ANSP'!D64+'T3 ANSP'!D75+'T3 ANSP'!D89+'T3 ANSP'!D100,$D$629)</f>
        <v>0</v>
      </c>
      <c r="W631" s="189">
        <f>ROUND('T3 ANSP'!D46+'T3 ANSP'!D57+'T3 ANSP'!D68+'T3 ANSP'!D79+'T3 ANSP'!D90+'T3 ANSP'!D101,$D$629)</f>
        <v>0</v>
      </c>
    </row>
    <row r="632" spans="1:26">
      <c r="A632" s="894" t="s">
        <v>210</v>
      </c>
      <c r="B632" s="894" t="s">
        <v>287</v>
      </c>
      <c r="C632" s="906" t="s">
        <v>288</v>
      </c>
      <c r="D632" s="881">
        <v>3</v>
      </c>
      <c r="E632" s="889"/>
      <c r="F632" s="889"/>
      <c r="G632" s="889"/>
      <c r="H632" s="889"/>
      <c r="I632" s="889"/>
      <c r="J632" s="163"/>
      <c r="K632" s="163"/>
      <c r="L632" s="163"/>
      <c r="S632" s="897" t="b">
        <f>ROUND('T2 ANSP'!C41,$D$632)=ROUND('T3 ANSP'!D27,$D$632)</f>
        <v>0</v>
      </c>
      <c r="T632" s="897" t="b">
        <f>ROUND('T2 ANSP'!D41,$D$632)=ROUND('T3 ANSP'!D28,$D$632)</f>
        <v>0</v>
      </c>
      <c r="U632" s="897" t="b">
        <f>ROUND('T2 ANSP'!E41,$D$632)=ROUND('T3 ANSP'!D29,$D$632)</f>
        <v>1</v>
      </c>
      <c r="V632" s="897" t="b">
        <f>ROUND('T2 ANSP'!F41,$D$632)=ROUND('T3 ANSP'!D31,$D$632)</f>
        <v>1</v>
      </c>
      <c r="W632" s="897" t="b">
        <f>ROUND('T2 ANSP'!G41,$D$632)=ROUND('T3 ANSP'!D35,$D$632)</f>
        <v>1</v>
      </c>
    </row>
    <row r="633" spans="1:26" outlineLevel="1">
      <c r="A633" s="894"/>
      <c r="B633" s="894"/>
      <c r="C633" s="907" t="s">
        <v>283</v>
      </c>
      <c r="D633" s="908"/>
      <c r="E633" s="889"/>
      <c r="F633" s="889"/>
      <c r="G633" s="889"/>
      <c r="H633" s="889"/>
      <c r="I633" s="889"/>
      <c r="J633" s="163"/>
      <c r="K633" s="163"/>
      <c r="L633" s="163"/>
      <c r="S633" s="189">
        <f>ROUND('T2 ANSP'!C41,$D$632)</f>
        <v>381433.10399999999</v>
      </c>
      <c r="T633" s="189">
        <f>ROUND('T2 ANSP'!D41,$D$632)</f>
        <v>362396.59</v>
      </c>
      <c r="U633" s="189">
        <f>ROUND('T2 ANSP'!E41,$D$632)</f>
        <v>0</v>
      </c>
      <c r="V633" s="189">
        <f>ROUND('T2 ANSP'!F41,$D$632)</f>
        <v>0</v>
      </c>
      <c r="W633" s="189">
        <f>ROUND('T2 ANSP'!G41,$D$632)</f>
        <v>0</v>
      </c>
    </row>
    <row r="634" spans="1:26" outlineLevel="1">
      <c r="A634" s="894"/>
      <c r="B634" s="894"/>
      <c r="C634" s="907" t="s">
        <v>284</v>
      </c>
      <c r="D634" s="908"/>
      <c r="E634" s="889"/>
      <c r="F634" s="889"/>
      <c r="G634" s="889"/>
      <c r="H634" s="889"/>
      <c r="I634" s="889"/>
      <c r="J634" s="163"/>
      <c r="K634" s="163"/>
      <c r="L634" s="163"/>
      <c r="S634" s="189">
        <f>ROUND('T3 ANSP'!D27,$D$632)</f>
        <v>0</v>
      </c>
      <c r="T634" s="189">
        <f>ROUND('T3 ANSP'!D28,$D$632)</f>
        <v>0</v>
      </c>
      <c r="U634" s="189">
        <f>ROUND('T3 ANSP'!D29,$D$632)</f>
        <v>0</v>
      </c>
      <c r="V634" s="189">
        <f>ROUND('T3 ANSP'!D31,$D$632)</f>
        <v>0</v>
      </c>
      <c r="W634" s="189">
        <f>ROUND('T3 ANSP'!D35,$D$632)</f>
        <v>0</v>
      </c>
    </row>
    <row r="635" spans="1:26">
      <c r="A635" s="894" t="s">
        <v>222</v>
      </c>
      <c r="B635" s="894" t="s">
        <v>289</v>
      </c>
      <c r="C635" s="906" t="s">
        <v>290</v>
      </c>
      <c r="D635" s="881">
        <v>3</v>
      </c>
      <c r="E635" s="889"/>
      <c r="F635" s="889"/>
      <c r="G635" s="889"/>
      <c r="H635" s="889"/>
      <c r="I635" s="889"/>
      <c r="J635" s="163"/>
      <c r="K635" s="163"/>
      <c r="L635" s="163"/>
      <c r="S635" s="897" t="b">
        <f>ROUND('T2 ANSP'!C46,$D$635)=ROUND('T3 ANSP'!D147+'T3 ANSP'!D157,$D$635)</f>
        <v>0</v>
      </c>
      <c r="T635" s="897" t="b">
        <f>ROUND('T2 ANSP'!D46,$D$635)=ROUND('T3 ANSP'!D148+'T3 ANSP'!D158,$D$635)</f>
        <v>0</v>
      </c>
      <c r="U635" s="897" t="b">
        <f>ROUND('T2 ANSP'!E46,$D$635)=ROUND('T3 ANSP'!D149+'T3 ANSP'!D159,$D$635)</f>
        <v>0</v>
      </c>
      <c r="V635" s="897" t="b">
        <f>ROUND('T2 ANSP'!F46,$D$635)=ROUND('T3 ANSP'!D154+'T3 ANSP'!D161,$D$635)</f>
        <v>1</v>
      </c>
      <c r="W635" s="897" t="e">
        <f>ROUND('T2 ANSP'!G46,$D$635)=ROUND('T3 ANSP'!D155+'T3 ANSP'!D165,$D$635)</f>
        <v>#REF!</v>
      </c>
    </row>
    <row r="636" spans="1:26" outlineLevel="1">
      <c r="A636" s="894"/>
      <c r="B636" s="894"/>
      <c r="C636" s="907" t="s">
        <v>283</v>
      </c>
      <c r="D636" s="908"/>
      <c r="E636" s="889"/>
      <c r="F636" s="889"/>
      <c r="G636" s="889"/>
      <c r="H636" s="889"/>
      <c r="I636" s="889"/>
      <c r="J636" s="163"/>
      <c r="K636" s="163"/>
      <c r="L636" s="163"/>
      <c r="S636" s="189">
        <f>ROUND('T2 ANSP'!C46,$D$635)</f>
        <v>-4460.2110000000002</v>
      </c>
      <c r="T636" s="189">
        <f>ROUND('T2 ANSP'!D46,$D$635)</f>
        <v>-7580.8059999999996</v>
      </c>
      <c r="U636" s="189">
        <f>ROUND('T2 ANSP'!E46,$D$635)</f>
        <v>-5144.72</v>
      </c>
      <c r="V636" s="189">
        <f>ROUND('T2 ANSP'!F46,$D$635)</f>
        <v>0</v>
      </c>
      <c r="W636" s="189">
        <f>ROUND('T2 ANSP'!G46,$D$635)</f>
        <v>0</v>
      </c>
    </row>
    <row r="637" spans="1:26" outlineLevel="1">
      <c r="A637" s="894"/>
      <c r="B637" s="894"/>
      <c r="C637" s="907" t="s">
        <v>284</v>
      </c>
      <c r="D637" s="908"/>
      <c r="E637" s="889"/>
      <c r="F637" s="889"/>
      <c r="G637" s="889"/>
      <c r="H637" s="889"/>
      <c r="I637" s="889"/>
      <c r="J637" s="163"/>
      <c r="K637" s="163"/>
      <c r="L637" s="163"/>
      <c r="S637" s="189">
        <f>ROUND('T3 ANSP'!D147+'T3 ANSP'!D157,$D$635)</f>
        <v>-40541.637000000002</v>
      </c>
      <c r="T637" s="189">
        <f>ROUND('T3 ANSP'!D148+'T3 ANSP'!D158,$D$635)</f>
        <v>-38998.9</v>
      </c>
      <c r="U637" s="189">
        <f>ROUND('T3 ANSP'!D149+'T3 ANSP'!D159,$D$635)</f>
        <v>-12895.314</v>
      </c>
      <c r="V637" s="189">
        <f>ROUND('T3 ANSP'!D154+'T3 ANSP'!D161,$D$635)</f>
        <v>0</v>
      </c>
      <c r="W637" s="189" t="e">
        <f>ROUND('T3 ANSP'!D155+'T3 ANSP'!D165,$D$635)</f>
        <v>#REF!</v>
      </c>
    </row>
    <row r="638" spans="1:26">
      <c r="A638" s="894" t="s">
        <v>216</v>
      </c>
      <c r="B638" s="894" t="s">
        <v>291</v>
      </c>
      <c r="C638" s="906" t="s">
        <v>292</v>
      </c>
      <c r="D638" s="881">
        <v>3</v>
      </c>
      <c r="E638" s="889"/>
      <c r="F638" s="889"/>
      <c r="G638" s="889"/>
      <c r="H638" s="889"/>
      <c r="I638" s="889"/>
      <c r="J638" s="163"/>
      <c r="K638" s="163"/>
      <c r="L638" s="163"/>
      <c r="S638" s="897" t="b">
        <f>ROUND('T2 ANSP'!C54,$D$638)=ROUND('T3 ANSP'!D117,$D$638)</f>
        <v>1</v>
      </c>
      <c r="T638" s="897" t="b">
        <f>ROUND('T2 ANSP'!D54,$D$638)=ROUND('T3 ANSP'!D118,$D$638)</f>
        <v>1</v>
      </c>
      <c r="U638" s="897" t="b">
        <f>ROUND('T2 ANSP'!E54,$D$638)=ROUND('T3 ANSP'!D119,$D$638)</f>
        <v>1</v>
      </c>
      <c r="V638" s="897" t="b">
        <f>ROUND('T2 ANSP'!F54,$D$638)=ROUND('T3 ANSP'!D121,$D$638)</f>
        <v>1</v>
      </c>
      <c r="W638" s="897" t="b">
        <f>ROUND('T2 ANSP'!G54,$D$638)=ROUND('T3 ANSP'!D125,$D$638)</f>
        <v>1</v>
      </c>
    </row>
    <row r="639" spans="1:26" outlineLevel="1">
      <c r="A639" s="894"/>
      <c r="B639" s="894"/>
      <c r="C639" s="907" t="s">
        <v>283</v>
      </c>
      <c r="D639" s="908"/>
      <c r="E639" s="889"/>
      <c r="F639" s="889"/>
      <c r="G639" s="889"/>
      <c r="H639" s="889"/>
      <c r="I639" s="889"/>
      <c r="J639" s="163"/>
      <c r="K639" s="163"/>
      <c r="L639" s="163"/>
      <c r="S639" s="189">
        <f>ROUND('T2 ANSP'!C54,$D$638)</f>
        <v>0</v>
      </c>
      <c r="T639" s="189">
        <f>ROUND('T2 ANSP'!D54,$D$638)</f>
        <v>0</v>
      </c>
      <c r="U639" s="189">
        <f>ROUND('T2 ANSP'!E54,$D$638)</f>
        <v>0</v>
      </c>
      <c r="V639" s="189">
        <f>ROUND('T2 ANSP'!F54,$D$638)</f>
        <v>0</v>
      </c>
      <c r="W639" s="189">
        <f>ROUND('T2 ANSP'!G54,$D$638)</f>
        <v>0</v>
      </c>
    </row>
    <row r="640" spans="1:26" outlineLevel="1">
      <c r="A640" s="894"/>
      <c r="B640" s="894"/>
      <c r="C640" s="907" t="s">
        <v>284</v>
      </c>
      <c r="D640" s="908"/>
      <c r="E640" s="889"/>
      <c r="F640" s="889"/>
      <c r="G640" s="889"/>
      <c r="H640" s="889"/>
      <c r="I640" s="889"/>
      <c r="J640" s="163"/>
      <c r="K640" s="163"/>
      <c r="L640" s="163"/>
      <c r="S640" s="189">
        <f>ROUND('T3 ANSP'!D117,$D$638)</f>
        <v>0</v>
      </c>
      <c r="T640" s="189">
        <f>ROUND('T3 ANSP'!D118,$D$638)</f>
        <v>0</v>
      </c>
      <c r="U640" s="189">
        <f>ROUND('T3 ANSP'!D119,$D$638)</f>
        <v>0</v>
      </c>
      <c r="V640" s="189">
        <f>ROUND('T3 ANSP'!D121,$D$638)</f>
        <v>0</v>
      </c>
      <c r="W640" s="189">
        <f>ROUND('T3 ANSP'!D125,$D$638)</f>
        <v>0</v>
      </c>
    </row>
    <row r="641" spans="1:23">
      <c r="A641" s="894" t="s">
        <v>219</v>
      </c>
      <c r="B641" s="894" t="s">
        <v>293</v>
      </c>
      <c r="C641" s="906" t="s">
        <v>294</v>
      </c>
      <c r="D641" s="881">
        <v>3</v>
      </c>
      <c r="E641" s="889"/>
      <c r="F641" s="889"/>
      <c r="G641" s="889"/>
      <c r="H641" s="889"/>
      <c r="I641" s="889"/>
      <c r="J641" s="163"/>
      <c r="K641" s="163"/>
      <c r="L641" s="163"/>
      <c r="S641" s="897" t="b">
        <f>ROUND('T2 ANSP'!C59,$D$641)=ROUND('T3 ANSP'!D132,$D$641)</f>
        <v>1</v>
      </c>
      <c r="T641" s="897" t="b">
        <f>ROUND('T2 ANSP'!D59,$D$641)=ROUND('T3 ANSP'!D133,$D$641)</f>
        <v>1</v>
      </c>
      <c r="U641" s="897" t="b">
        <f>ROUND('T2 ANSP'!E59,$D$641)=ROUND('T3 ANSP'!D134,$D$641)</f>
        <v>1</v>
      </c>
      <c r="V641" s="897" t="b">
        <f>ROUND('T2 ANSP'!F59,$D$641)=ROUND('T3 ANSP'!D136,$D$641)</f>
        <v>1</v>
      </c>
      <c r="W641" s="897" t="b">
        <f>ROUND('T2 ANSP'!G59,$D$641)=ROUND('T3 ANSP'!D140,$D$641)</f>
        <v>1</v>
      </c>
    </row>
    <row r="642" spans="1:23" outlineLevel="1">
      <c r="A642" s="894"/>
      <c r="B642" s="894"/>
      <c r="C642" s="907" t="s">
        <v>283</v>
      </c>
      <c r="D642" s="908"/>
      <c r="E642" s="889"/>
      <c r="F642" s="889"/>
      <c r="G642" s="889"/>
      <c r="H642" s="889"/>
      <c r="I642" s="889"/>
      <c r="J642" s="163"/>
      <c r="K642" s="163"/>
      <c r="L642" s="163"/>
      <c r="S642" s="189">
        <f>ROUND('T2 ANSP'!C59,$D$641)</f>
        <v>0</v>
      </c>
      <c r="T642" s="189">
        <f>ROUND('T2 ANSP'!D59,$D$641)</f>
        <v>0</v>
      </c>
      <c r="U642" s="189">
        <f>ROUND('T2 ANSP'!E59,$D$641)</f>
        <v>0</v>
      </c>
      <c r="V642" s="189">
        <f>ROUND('T2 ANSP'!F59,$D$641)</f>
        <v>0</v>
      </c>
      <c r="W642" s="189">
        <f>ROUND('T2 ANSP'!G59,$D$641)</f>
        <v>0</v>
      </c>
    </row>
    <row r="643" spans="1:23" outlineLevel="1">
      <c r="A643" s="894"/>
      <c r="B643" s="894"/>
      <c r="C643" s="907" t="s">
        <v>284</v>
      </c>
      <c r="D643" s="908"/>
      <c r="E643" s="889"/>
      <c r="F643" s="889"/>
      <c r="G643" s="889"/>
      <c r="H643" s="889"/>
      <c r="I643" s="889"/>
      <c r="J643" s="163"/>
      <c r="K643" s="163"/>
      <c r="L643" s="163"/>
      <c r="S643" s="189">
        <f>ROUND('T3 ANSP'!D132,$D$641)</f>
        <v>0</v>
      </c>
      <c r="T643" s="189">
        <f>ROUND('T3 ANSP'!D133,$D$641)</f>
        <v>0</v>
      </c>
      <c r="U643" s="189">
        <f>ROUND('T3 ANSP'!D134,$D$641)</f>
        <v>0</v>
      </c>
      <c r="V643" s="189">
        <f>ROUND('T3 ANSP'!D136,$D$641)</f>
        <v>0</v>
      </c>
      <c r="W643" s="189">
        <f>ROUND('T3 ANSP'!D140,$D$641)</f>
        <v>0</v>
      </c>
    </row>
    <row r="644" spans="1:23">
      <c r="A644" s="894" t="s">
        <v>231</v>
      </c>
      <c r="B644" s="894" t="s">
        <v>295</v>
      </c>
      <c r="C644" s="906" t="s">
        <v>296</v>
      </c>
      <c r="D644" s="881">
        <v>3</v>
      </c>
      <c r="E644" s="889"/>
      <c r="F644" s="889"/>
      <c r="G644" s="889"/>
      <c r="H644" s="889"/>
      <c r="I644" s="889"/>
      <c r="J644" s="163"/>
      <c r="K644" s="163"/>
      <c r="L644" s="163"/>
      <c r="S644" s="897" t="b">
        <f>ROUND('T2 ANSP'!C63,$D$644)=ROUND('T3 ANSP'!D228,$D$644)</f>
        <v>1</v>
      </c>
      <c r="T644" s="897" t="b">
        <f>ROUND('T2 ANSP'!D63,$D$644)=ROUND('T3 ANSP'!D229,$D$644)</f>
        <v>1</v>
      </c>
      <c r="U644" s="897" t="b">
        <f>ROUND('T2 ANSP'!E63,$D$644)=ROUND('T3 ANSP'!D230,$D$644)</f>
        <v>1</v>
      </c>
      <c r="V644" s="897" t="b">
        <f>ROUND('T2 ANSP'!F63,$D$644)=ROUND('T3 ANSP'!D232,$D$644)</f>
        <v>1</v>
      </c>
      <c r="W644" s="897" t="b">
        <f>ROUND('T2 ANSP'!G63,$D$644)=ROUND('T3 ANSP'!D236,$D$644)</f>
        <v>1</v>
      </c>
    </row>
    <row r="645" spans="1:23" outlineLevel="1">
      <c r="A645" s="894"/>
      <c r="B645" s="894"/>
      <c r="C645" s="907" t="s">
        <v>283</v>
      </c>
      <c r="D645" s="908"/>
      <c r="E645" s="889"/>
      <c r="F645" s="889"/>
      <c r="G645" s="889"/>
      <c r="H645" s="889"/>
      <c r="I645" s="889"/>
      <c r="J645" s="163"/>
      <c r="K645" s="163"/>
      <c r="L645" s="163"/>
      <c r="S645" s="189">
        <f>ROUND('T2 ANSP'!C63,$D$644)</f>
        <v>4630.4589999999998</v>
      </c>
      <c r="T645" s="189">
        <f>ROUND('T2 ANSP'!D63,$D$644)</f>
        <v>0</v>
      </c>
      <c r="U645" s="189">
        <f>ROUND('T2 ANSP'!E63,$D$644)</f>
        <v>0</v>
      </c>
      <c r="V645" s="189">
        <f>ROUND('T2 ANSP'!F63,$D$644)</f>
        <v>0</v>
      </c>
      <c r="W645" s="189">
        <f>ROUND('T2 ANSP'!G63,$D$644)</f>
        <v>0</v>
      </c>
    </row>
    <row r="646" spans="1:23" outlineLevel="1">
      <c r="A646" s="894"/>
      <c r="B646" s="894"/>
      <c r="C646" s="907" t="s">
        <v>284</v>
      </c>
      <c r="D646" s="908"/>
      <c r="E646" s="889"/>
      <c r="F646" s="889"/>
      <c r="G646" s="889"/>
      <c r="H646" s="889"/>
      <c r="I646" s="889"/>
      <c r="J646" s="163"/>
      <c r="K646" s="163"/>
      <c r="L646" s="163"/>
      <c r="S646" s="189">
        <f>ROUND('T3 ANSP'!D228,$D$644)</f>
        <v>4630.4589999999998</v>
      </c>
      <c r="T646" s="189">
        <f>ROUND('T3 ANSP'!D229,$D$644)</f>
        <v>0</v>
      </c>
      <c r="U646" s="189">
        <f>ROUND('T3 ANSP'!D230,$D$644)</f>
        <v>0</v>
      </c>
      <c r="V646" s="189">
        <f>ROUND('T3 ANSP'!D232,$D$644)</f>
        <v>0</v>
      </c>
      <c r="W646" s="189">
        <f>ROUND('T3 ANSP'!D236,$D$644)</f>
        <v>0</v>
      </c>
    </row>
    <row r="647" spans="1:23">
      <c r="A647" s="894" t="s">
        <v>297</v>
      </c>
      <c r="B647" s="894" t="s">
        <v>298</v>
      </c>
      <c r="C647" s="906" t="s">
        <v>299</v>
      </c>
      <c r="D647" s="881">
        <v>3</v>
      </c>
      <c r="E647" s="889"/>
      <c r="F647" s="889"/>
      <c r="G647" s="889"/>
      <c r="H647" s="889"/>
      <c r="I647" s="889"/>
      <c r="J647" s="163"/>
      <c r="K647" s="163"/>
      <c r="L647" s="163"/>
      <c r="S647" s="897" t="b">
        <f>ROUND('T2 ANSP'!C66,$D$647)=ROUND('T3 ANSP'!D239,$D$647)</f>
        <v>1</v>
      </c>
      <c r="T647" s="897" t="b">
        <f>ROUND('T2 ANSP'!D66,$D$647)=ROUND('T3 ANSP'!D240,$D$647)</f>
        <v>1</v>
      </c>
      <c r="U647" s="897" t="b">
        <f>ROUND('T2 ANSP'!E66,$D$647)=ROUND('T3 ANSP'!D241,$D$647)</f>
        <v>1</v>
      </c>
      <c r="V647" s="897" t="e">
        <f>ROUND('T2 ANSP'!F66,$D$647)=ROUND('T3 ANSP'!D243,$D$647)</f>
        <v>#VALUE!</v>
      </c>
      <c r="W647" s="897" t="e">
        <f>ROUND('T2 ANSP'!G66,$D$647)=ROUND('T3 ANSP'!D247,$D$647)</f>
        <v>#VALUE!</v>
      </c>
    </row>
    <row r="648" spans="1:23" outlineLevel="1">
      <c r="A648" s="894"/>
      <c r="B648" s="894"/>
      <c r="C648" s="907" t="s">
        <v>283</v>
      </c>
      <c r="D648" s="908"/>
      <c r="E648" s="889"/>
      <c r="F648" s="889"/>
      <c r="G648" s="889"/>
      <c r="H648" s="889"/>
      <c r="I648" s="889"/>
      <c r="J648" s="163"/>
      <c r="K648" s="163"/>
      <c r="L648" s="163"/>
      <c r="S648" s="189">
        <f>ROUND('T2 ANSP'!C66,$D$647)</f>
        <v>0</v>
      </c>
      <c r="T648" s="189">
        <f>ROUND('T2 ANSP'!D66,$D$647)</f>
        <v>0</v>
      </c>
      <c r="U648" s="189">
        <f>ROUND('T2 ANSP'!E66,$D$647)</f>
        <v>0</v>
      </c>
      <c r="V648" s="189" t="e">
        <f>ROUND('T2 ANSP'!F66,$D$647)</f>
        <v>#VALUE!</v>
      </c>
      <c r="W648" s="189" t="e">
        <f>ROUND('T2 ANSP'!G66,$D$647)</f>
        <v>#VALUE!</v>
      </c>
    </row>
    <row r="649" spans="1:23" outlineLevel="1">
      <c r="A649" s="894"/>
      <c r="B649" s="894"/>
      <c r="C649" s="907" t="s">
        <v>284</v>
      </c>
      <c r="D649" s="908"/>
      <c r="E649" s="889"/>
      <c r="F649" s="889"/>
      <c r="G649" s="889"/>
      <c r="H649" s="889"/>
      <c r="I649" s="889"/>
      <c r="J649" s="163"/>
      <c r="K649" s="163"/>
      <c r="L649" s="163"/>
      <c r="S649" s="189">
        <f>ROUND('T3 ANSP'!D239,$D$647)</f>
        <v>0</v>
      </c>
      <c r="T649" s="189">
        <f>ROUND('T3 ANSP'!D240,$D$647)</f>
        <v>0</v>
      </c>
      <c r="U649" s="189">
        <f>ROUND('T3 ANSP'!D241,$D$647)</f>
        <v>0</v>
      </c>
      <c r="V649" s="189">
        <f>ROUND('T3 ANSP'!D243,$D$647)</f>
        <v>0</v>
      </c>
      <c r="W649" s="189">
        <f>ROUND('T3 ANSP'!D247,$D$647)</f>
        <v>0</v>
      </c>
    </row>
    <row r="650" spans="1:23">
      <c r="A650" s="894" t="s">
        <v>300</v>
      </c>
      <c r="B650" s="894" t="s">
        <v>301</v>
      </c>
      <c r="C650" s="906" t="s">
        <v>302</v>
      </c>
      <c r="D650" s="881">
        <v>3</v>
      </c>
      <c r="E650" s="889"/>
      <c r="F650" s="889"/>
      <c r="G650" s="889"/>
      <c r="H650" s="889"/>
      <c r="I650" s="889"/>
      <c r="J650" s="163"/>
      <c r="K650" s="163"/>
      <c r="L650" s="163"/>
      <c r="S650" s="897" t="b">
        <f>ROUND('T2 ANSP'!C73,$D$650)=ROUND('T3 ANSP'!D172+'T3 ANSP'!D187+'T3 ANSP'!D202+'T3 ANSP'!D228,$D$650)</f>
        <v>0</v>
      </c>
      <c r="T650" s="897" t="b">
        <f>ROUND('T2 ANSP'!D73,$D$650)=ROUND('T3 ANSP'!D173+'T3 ANSP'!D188+'T3 ANSP'!D203+'T3 ANSP'!D229,$D$650)</f>
        <v>1</v>
      </c>
      <c r="U650" s="897" t="b">
        <f>ROUND('T2 ANSP'!E73,$D$650)=ROUND('T3 ANSP'!D174+'T3 ANSP'!D189+'T3 ANSP'!D208+'T3 ANSP'!D230,$D$650)</f>
        <v>1</v>
      </c>
      <c r="V650" s="897" t="b">
        <f>ROUND('T2 ANSP'!F73,$D$650)=ROUND('T3 ANSP'!D176+'T3 ANSP'!D194+'T3 ANSP'!D209+'T3 ANSP'!D232,$D$650)</f>
        <v>1</v>
      </c>
      <c r="W650" s="897" t="b">
        <f>ROUND('T2 ANSP'!G73,$D$650)=ROUND('T3 ANSP'!D180+'T3 ANSP'!D195+'T3 ANSP'!D210+'T3 ANSP'!D236,$D$650)</f>
        <v>0</v>
      </c>
    </row>
    <row r="651" spans="1:23" outlineLevel="1">
      <c r="A651" s="894"/>
      <c r="B651" s="894"/>
      <c r="C651" s="907" t="s">
        <v>283</v>
      </c>
      <c r="D651" s="908"/>
      <c r="E651" s="889"/>
      <c r="F651" s="889"/>
      <c r="G651" s="889"/>
      <c r="H651" s="889"/>
      <c r="I651" s="889"/>
      <c r="J651" s="163"/>
      <c r="K651" s="163"/>
      <c r="L651" s="163"/>
      <c r="S651" s="189">
        <f>ROUND('T2 ANSP'!C73,$D$650)</f>
        <v>-7473.076</v>
      </c>
      <c r="T651" s="189">
        <f>ROUND('T2 ANSP'!D73,$D$650)</f>
        <v>-13037.437</v>
      </c>
      <c r="U651" s="189">
        <f>ROUND('T2 ANSP'!E73,$D$650)</f>
        <v>-31197.739000000001</v>
      </c>
      <c r="V651" s="189">
        <f>ROUND('T2 ANSP'!F73,$D$650)</f>
        <v>-5847.4030000000002</v>
      </c>
      <c r="W651" s="189">
        <f>ROUND('T2 ANSP'!G73,$D$650)</f>
        <v>-3314.576</v>
      </c>
    </row>
    <row r="652" spans="1:23" outlineLevel="1">
      <c r="A652" s="894"/>
      <c r="B652" s="894"/>
      <c r="C652" s="907" t="s">
        <v>284</v>
      </c>
      <c r="D652" s="908"/>
      <c r="E652" s="889"/>
      <c r="F652" s="889"/>
      <c r="G652" s="889"/>
      <c r="H652" s="889"/>
      <c r="I652" s="889"/>
      <c r="J652" s="163"/>
      <c r="K652" s="163"/>
      <c r="L652" s="163"/>
      <c r="S652" s="189">
        <f>ROUND('T3 ANSP'!D172+'T3 ANSP'!D187+'T3 ANSP'!D202+'T3 ANSP'!D228,$D$650)</f>
        <v>-2842.616</v>
      </c>
      <c r="T652" s="189">
        <f>ROUND('T3 ANSP'!D173+'T3 ANSP'!D188+'T3 ANSP'!D203+'T3 ANSP'!D229,$D$650)</f>
        <v>-13037.437</v>
      </c>
      <c r="U652" s="189">
        <f>ROUND('T3 ANSP'!D174+'T3 ANSP'!D189+'T3 ANSP'!D208+'T3 ANSP'!D230,$D$650)</f>
        <v>-31197.739000000001</v>
      </c>
      <c r="V652" s="189">
        <f>ROUND('T3 ANSP'!D176+'T3 ANSP'!D194+'T3 ANSP'!D209+'T3 ANSP'!D232,$D$650)</f>
        <v>-5847.4030000000002</v>
      </c>
      <c r="W652" s="189">
        <f>ROUND('T3 ANSP'!D180+'T3 ANSP'!D195+'T3 ANSP'!D210+'T3 ANSP'!D236,$D$650)</f>
        <v>0</v>
      </c>
    </row>
    <row r="653" spans="1:23" s="889" customFormat="1">
      <c r="A653" s="894" t="s">
        <v>303</v>
      </c>
      <c r="B653" s="894" t="s">
        <v>304</v>
      </c>
      <c r="C653" s="895" t="s">
        <v>305</v>
      </c>
      <c r="D653" s="908"/>
      <c r="L653" s="163"/>
      <c r="M653" s="163"/>
      <c r="R653" s="163"/>
      <c r="S653" s="897" t="b">
        <f>SUM('T3 ANSP'!$E$10,'T3 ANSP'!$E$12:$E$20,'T3 ANSP'!$E$25,'T3 ANSP'!$E$27:$E$35,'T3 ANSP'!$E$38:$E$46,'T3 ANSP'!$E$49:$E$57,'T3 ANSP'!$E$60:$E$68,'T3 ANSP'!$E$71:$E$79,'T3 ANSP'!$E$82:$E$90,'T3 ANSP'!$E$93:$E$101,'T3 ANSP'!$E$256,'T3 ANSP'!$E$115,'T3 ANSP'!$E$117:$E$125,'T3 ANSP'!$E$130,'T3 ANSP'!$E$132:$E$140,'T3 ANSP'!$E$145,'T3 ANSP'!$E$147:$E$155,'T3 ANSP'!$E$157:$E$165)=0</f>
        <v>1</v>
      </c>
      <c r="T653" s="897" t="b">
        <f>SUM('T3 ANSP'!$F$12:$F$20,'T3 ANSP'!$F$27:$F$35,'T3 ANSP'!$F$38:$F$46,'T3 ANSP'!$F$49:$F$57,'T3 ANSP'!$F$60:$F$68,'T3 ANSP'!$F$71:$F$79,'T3 ANSP'!$F$82:$F$90,'T3 ANSP'!$F$93:$F$101,'T3 ANSP'!$F$117:$F$125,'T3 ANSP'!$F$132:$F$140,'T3 ANSP'!$F$147:$F$155,'T3 ANSP'!$F$157:$F$165)=0</f>
        <v>1</v>
      </c>
      <c r="U653" s="897" t="b">
        <f>SUM('T3 ANSP'!$G$13:$G$20,'T3 ANSP'!$G$28:$G$35,'T3 ANSP'!$G$39:$G$46,'T3 ANSP'!$G$50:$G$57,'T3 ANSP'!$G$61:$G$68,'T3 ANSP'!$G$72:$G$79,'T3 ANSP'!$G$83:$G$90,'T3 ANSP'!$G$94:$G$101,'T3 ANSP'!$G$118:$G$125,'T3 ANSP'!$G$133:$G$140,'T3 ANSP'!$G$148:$G$155,'T3 ANSP'!$G$158:$G$165)=0</f>
        <v>0</v>
      </c>
      <c r="V653" s="897" t="b">
        <f>SUM('T3 ANSP'!$H$14:$H$20,'T3 ANSP'!$H$29:$H$35,'T3 ANSP'!$H$40:$H$46,'T3 ANSP'!$H$51:$H$57,'T3 ANSP'!$H$62:$H$68,'T3 ANSP'!$H$73:$H$79,'T3 ANSP'!$H$84:$H$90,'T3 ANSP'!$H$95:$H$101,'T3 ANSP'!$H$119:$H$125,'T3 ANSP'!$H$134:$H$140,'T3 ANSP'!$H$149:$H$155,'T3 ANSP'!$H$159:$H$165)=0</f>
        <v>0</v>
      </c>
      <c r="W653" s="897" t="b">
        <f>SUM('T3 ANSP'!$I$16:$I$20,'T3 ANSP'!$I$31:$I$35,'T3 ANSP'!$I$42:$I$46,'T3 ANSP'!$I$53:$I$57,'T3 ANSP'!$I$64:$I$68,'T3 ANSP'!$I$75:$I$79,'T3 ANSP'!$I$89:$I$90,'T3 ANSP'!$I$100:$I$101,'T3 ANSP'!$I$121:$I$125,'T3 ANSP'!$I$136:$I$140,'T3 ANSP'!$I$154:$I$155,'T3 ANSP'!$I$161:$I$165)=0</f>
        <v>1</v>
      </c>
    </row>
    <row r="654" spans="1:23" outlineLevel="1">
      <c r="A654" s="894"/>
      <c r="B654" s="894"/>
      <c r="C654" s="898" t="s">
        <v>306</v>
      </c>
      <c r="D654" s="908"/>
      <c r="J654" s="163"/>
      <c r="K654" s="163"/>
      <c r="L654" s="163"/>
      <c r="S654" s="189">
        <f>SUM('T3 ANSP'!$E$10,'T3 ANSP'!$E$12:$E$20,'T3 ANSP'!$E$25,'T3 ANSP'!$E$27:$E$35,'T3 ANSP'!$E$38:$E$46,'T3 ANSP'!$E$49:$E$57,'T3 ANSP'!$E$60:$E$68,'T3 ANSP'!$E$71:$E$79,'T3 ANSP'!$E$82:$E$90,'T3 ANSP'!$E$93:$E$101,'T3 ANSP'!$E$256,'T3 ANSP'!$E$115,'T3 ANSP'!$E$117:$E$125,'T3 ANSP'!$E$130,'T3 ANSP'!$E$132:$E$140,'T3 ANSP'!$E$145,'T3 ANSP'!$E$147:$E$155,'T3 ANSP'!$E$157:$E$165)</f>
        <v>0</v>
      </c>
      <c r="T654" s="189">
        <f>SUM('T3 ANSP'!$F$12:$F$20,'T3 ANSP'!$F$27:$F$35,'T3 ANSP'!$F$38:$F$46,'T3 ANSP'!$F$49:$F$57,'T3 ANSP'!$F$60:$F$68,'T3 ANSP'!$F$71:$F$79,'T3 ANSP'!$F$82:$F$90,'T3 ANSP'!$F$93:$F$101,'T3 ANSP'!$F$117:$F$125,'T3 ANSP'!$F$132:$F$140,'T3 ANSP'!$F$147:$F$155,'T3 ANSP'!$F$157:$F$165)</f>
        <v>0</v>
      </c>
      <c r="U654" s="189">
        <f>SUM('T3 ANSP'!$G$13:$G$20,'T3 ANSP'!$G$28:$G$35,'T3 ANSP'!$G$39:$G$46,'T3 ANSP'!$G$50:$G$57,'T3 ANSP'!$G$61:$G$68,'T3 ANSP'!$G$72:$G$79,'T3 ANSP'!$G$83:$G$90,'T3 ANSP'!$G$94:$G$101,'T3 ANSP'!$G$118:$G$125,'T3 ANSP'!$G$133:$G$140,'T3 ANSP'!$G$148:$G$155,'T3 ANSP'!$G$158:$G$165)</f>
        <v>-48053.807319437881</v>
      </c>
      <c r="V654" s="189">
        <f>SUM('T3 ANSP'!$H$14:$H$20,'T3 ANSP'!$H$29:$H$35,'T3 ANSP'!$H$40:$H$46,'T3 ANSP'!$H$51:$H$57,'T3 ANSP'!$H$62:$H$68,'T3 ANSP'!$H$73:$H$79,'T3 ANSP'!$H$84:$H$90,'T3 ANSP'!$H$95:$H$101,'T3 ANSP'!$H$119:$H$125,'T3 ANSP'!$H$134:$H$140,'T3 ANSP'!$H$149:$H$155,'T3 ANSP'!$H$159:$H$165)</f>
        <v>-42417.183932529108</v>
      </c>
      <c r="W654" s="189">
        <f>SUM('T3 ANSP'!$I$16:$I$20,'T3 ANSP'!$I$31:$I$35,'T3 ANSP'!$I$42:$I$46,'T3 ANSP'!$I$53:$I$57,'T3 ANSP'!$I$64:$I$68,'T3 ANSP'!$I$75:$I$79,'T3 ANSP'!$I$89:$I$90,'T3 ANSP'!$I$100:$I$101,'T3 ANSP'!$I$121:$I$125,'T3 ANSP'!$I$136:$I$140,'T3 ANSP'!$I$154:$I$155,'T3 ANSP'!$I$161:$I$165)</f>
        <v>0</v>
      </c>
    </row>
    <row r="655" spans="1:23">
      <c r="A655" s="894" t="s">
        <v>307</v>
      </c>
      <c r="B655" s="894" t="s">
        <v>308</v>
      </c>
      <c r="C655" s="895" t="s">
        <v>309</v>
      </c>
      <c r="D655" s="881">
        <v>3</v>
      </c>
      <c r="J655" s="163"/>
      <c r="K655" s="163"/>
      <c r="L655" s="163"/>
      <c r="S655" s="897" t="b">
        <f>ROUND(SUM('T3 ANSP'!E104:E105),$D$655)=0</f>
        <v>0</v>
      </c>
    </row>
    <row r="656" spans="1:23" outlineLevel="1">
      <c r="A656" s="894"/>
      <c r="B656" s="894"/>
      <c r="C656" s="898" t="s">
        <v>310</v>
      </c>
      <c r="D656" s="908"/>
      <c r="J656" s="163"/>
      <c r="K656" s="163"/>
      <c r="L656" s="163"/>
      <c r="S656" s="189">
        <f>ROUND(SUM('T3 ANSP'!E104:E105),$D$655)</f>
        <v>1590.664</v>
      </c>
    </row>
    <row r="657" spans="1:26" outlineLevel="1">
      <c r="A657" s="894"/>
      <c r="B657" s="894"/>
      <c r="C657" s="898" t="s">
        <v>311</v>
      </c>
      <c r="D657" s="908"/>
      <c r="J657" s="163"/>
      <c r="K657" s="163"/>
      <c r="L657" s="163"/>
      <c r="S657" s="189">
        <f>0</f>
        <v>0</v>
      </c>
    </row>
    <row r="658" spans="1:26" s="184" customFormat="1" ht="18.75">
      <c r="A658" s="173" t="s">
        <v>13</v>
      </c>
      <c r="B658" s="174" t="s">
        <v>14</v>
      </c>
      <c r="C658" s="175" t="s">
        <v>313</v>
      </c>
      <c r="D658" s="912"/>
      <c r="E658" s="891"/>
      <c r="F658" s="891"/>
      <c r="G658" s="891"/>
      <c r="H658" s="891"/>
      <c r="I658" s="891"/>
      <c r="J658" s="891"/>
      <c r="K658" s="891"/>
      <c r="L658" s="891"/>
      <c r="M658" s="891"/>
      <c r="N658" s="891"/>
      <c r="O658" s="891"/>
      <c r="P658" s="891"/>
      <c r="Q658" s="891"/>
      <c r="R658" s="163"/>
      <c r="S658" s="891"/>
      <c r="T658" s="891"/>
      <c r="U658" s="891"/>
      <c r="V658" s="891"/>
      <c r="W658" s="891"/>
      <c r="X658" s="889"/>
      <c r="Y658" s="889"/>
      <c r="Z658" s="889"/>
    </row>
    <row r="659" spans="1:26" s="909" customFormat="1">
      <c r="A659" s="893" t="s">
        <v>234</v>
      </c>
      <c r="B659" s="894" t="s">
        <v>277</v>
      </c>
      <c r="C659" s="906" t="s">
        <v>278</v>
      </c>
      <c r="D659" s="881">
        <v>3</v>
      </c>
      <c r="E659" s="889"/>
      <c r="F659" s="889"/>
      <c r="G659" s="889"/>
      <c r="H659" s="889"/>
      <c r="I659" s="889"/>
      <c r="R659" s="163"/>
      <c r="S659" s="897" t="b">
        <f>ROUND('T2 MET'!C78,$D$659)=ROUND(SUM('T3 MET'!D12,'T3 MET'!D23,'T3 MET'!D30,'T3 MET'!D37,'T3 MET'!D44,'T3 MET'!D51,'T3 MET'!D58,'T3 MET'!D65,'T3 MET'!D81,'T3 MET'!D92,'T3 MET'!D103,'T3 MET'!D109,'T3 MET'!D120,'T3 MET'!D131,'T3 MET'!D142,'T3 MET'!D153,'T3 MET'!D160,'T3 MET'!D167),$D$659)</f>
        <v>0</v>
      </c>
      <c r="T659" s="897" t="b">
        <f>ROUND('T2 MET'!D78,$D$659)=ROUND(SUM('T3 MET'!D13,'T3 MET'!D24,'T3 MET'!D31,'T3 MET'!D38,'T3 MET'!D45,'T3 MET'!D52,'T3 MET'!D59,'T3 MET'!D66,'T3 MET'!D82,'T3 MET'!D93,'T3 MET'!D104,'T3 MET'!D110,'T3 MET'!D121,'T3 MET'!D132,'T3 MET'!D143,'T3 MET'!D154,'T3 MET'!D161,'T3 MET'!D168),$D$659)</f>
        <v>0</v>
      </c>
      <c r="U659" s="897" t="b">
        <f>ROUND('T2 MET'!E78,$D$659)=ROUND(SUM('T3 MET'!D14,'T3 MET'!D25,'T3 MET'!D32,'T3 MET'!D39,'T3 MET'!D46,'T3 MET'!D53,'T3 MET'!D60,'T3 MET'!D67,'T3 MET'!D83,'T3 MET'!D94,'T3 MET'!D105,'T3 MET'!D111,'T3 MET'!D122,'T3 MET'!D133,'T3 MET'!D144,'T3 MET'!D155,'T3 MET'!D162,'T3 MET'!D169),$D$659)</f>
        <v>0</v>
      </c>
      <c r="V659" s="897" t="b">
        <f>ROUND('T2 MET'!F78,$D$659)=ROUND(SUM('T3 MET'!D15,'T3 MET'!D26,'T3 MET'!D33,'T3 MET'!D40,'T3 MET'!D47,'T3 MET'!D54,'T3 MET'!D61,'T3 MET'!D68,'T3 MET'!D84,'T3 MET'!D95,'T3 MET'!D106,'T3 MET'!D112,'T3 MET'!D123,'T3 MET'!D134,'T3 MET'!D145,'T3 MET'!D156,'T3 MET'!D163,'T3 MET'!D170),$D$659)</f>
        <v>0</v>
      </c>
      <c r="W659" s="897" t="b">
        <f>ROUND('T2 MET'!G78,$D$659)=ROUND(SUM('T3 MET'!D16,'T3 MET'!D27,'T3 MET'!D34,'T3 MET'!D41,'T3 MET'!D48,'T3 MET'!D55,'T3 MET'!D62,'T3 MET'!D69,'T3 MET'!D85,'T3 MET'!D96,'T3 MET'!D107,'T3 MET'!D113,'T3 MET'!D124,'T3 MET'!D135,'T3 MET'!D146,'T3 MET'!D157,'T3 MET'!D164,'T3 MET'!D171),$D$659)</f>
        <v>0</v>
      </c>
      <c r="X659" s="889"/>
      <c r="Y659" s="889"/>
      <c r="Z659" s="889"/>
    </row>
    <row r="660" spans="1:26" outlineLevel="1">
      <c r="A660" s="894"/>
      <c r="B660" s="894"/>
      <c r="C660" s="907" t="s">
        <v>279</v>
      </c>
      <c r="D660" s="908"/>
      <c r="E660" s="889"/>
      <c r="F660" s="889"/>
      <c r="G660" s="889"/>
      <c r="H660" s="889"/>
      <c r="I660" s="889"/>
      <c r="J660" s="163"/>
      <c r="K660" s="163"/>
      <c r="L660" s="163"/>
      <c r="S660" s="189">
        <f>ROUND('T2 MET'!C78,$D$659)</f>
        <v>18128.078000000001</v>
      </c>
      <c r="T660" s="189">
        <f>ROUND('T2 MET'!D78,$D$659)</f>
        <v>17403.621999999999</v>
      </c>
      <c r="U660" s="189">
        <f>ROUND('T2 MET'!E78,$D$659)</f>
        <v>0</v>
      </c>
      <c r="V660" s="189">
        <f>ROUND('T2 MET'!F78,$D$659)</f>
        <v>0</v>
      </c>
      <c r="W660" s="189">
        <f>ROUND('T2 MET'!G78,$D$659)</f>
        <v>0</v>
      </c>
      <c r="X660" s="889"/>
      <c r="Y660" s="889"/>
      <c r="Z660" s="889"/>
    </row>
    <row r="661" spans="1:26" outlineLevel="1">
      <c r="A661" s="894"/>
      <c r="B661" s="894"/>
      <c r="C661" s="907" t="s">
        <v>280</v>
      </c>
      <c r="D661" s="908"/>
      <c r="E661" s="889"/>
      <c r="F661" s="889"/>
      <c r="G661" s="889"/>
      <c r="H661" s="889"/>
      <c r="I661" s="889"/>
      <c r="J661" s="163"/>
      <c r="K661" s="163"/>
      <c r="L661" s="163"/>
      <c r="S661" s="189">
        <f>ROUND(SUM('T3 MET'!D12,'T3 MET'!D23,'T3 MET'!D30,'T3 MET'!D37,'T3 MET'!D44,'T3 MET'!D51,'T3 MET'!D58,'T3 MET'!D65,'T3 MET'!D81,'T3 MET'!D92,'T3 MET'!D103,'T3 MET'!D109,'T3 MET'!D120,'T3 MET'!D131,'T3 MET'!D142,'T3 MET'!D153,'T3 MET'!D160,'T3 MET'!D167),$D$659)</f>
        <v>35684.769999999997</v>
      </c>
      <c r="T661" s="189">
        <f>ROUND(SUM('T3 MET'!D13,'T3 MET'!D24,'T3 MET'!D31,'T3 MET'!D38,'T3 MET'!D45,'T3 MET'!D52,'T3 MET'!D59,'T3 MET'!D66,'T3 MET'!D82,'T3 MET'!D93,'T3 MET'!D104,'T3 MET'!D110,'T3 MET'!D121,'T3 MET'!D132,'T3 MET'!D143,'T3 MET'!D154,'T3 MET'!D161,'T3 MET'!D168),$D$659)</f>
        <v>-153.071</v>
      </c>
      <c r="U661" s="189">
        <f>ROUND(SUM('T3 MET'!D14,'T3 MET'!D25,'T3 MET'!D32,'T3 MET'!D39,'T3 MET'!D46,'T3 MET'!D53,'T3 MET'!D60,'T3 MET'!D67,'T3 MET'!D83,'T3 MET'!D94,'T3 MET'!D105,'T3 MET'!D111,'T3 MET'!D122,'T3 MET'!D133,'T3 MET'!D144,'T3 MET'!D155,'T3 MET'!D162,'T3 MET'!D169),$D$659)</f>
        <v>-3366</v>
      </c>
      <c r="V661" s="189">
        <f>ROUND(SUM('T3 MET'!D15,'T3 MET'!D26,'T3 MET'!D33,'T3 MET'!D40,'T3 MET'!D47,'T3 MET'!D54,'T3 MET'!D61,'T3 MET'!D68,'T3 MET'!D84,'T3 MET'!D95,'T3 MET'!D106,'T3 MET'!D112,'T3 MET'!D123,'T3 MET'!D134,'T3 MET'!D145,'T3 MET'!D156,'T3 MET'!D163,'T3 MET'!D170),$D$659)</f>
        <v>-15797.421</v>
      </c>
      <c r="W661" s="189">
        <f>ROUND(SUM('T3 MET'!D16,'T3 MET'!D27,'T3 MET'!D34,'T3 MET'!D41,'T3 MET'!D48,'T3 MET'!D55,'T3 MET'!D62,'T3 MET'!D69,'T3 MET'!D85,'T3 MET'!D96,'T3 MET'!D107,'T3 MET'!D113,'T3 MET'!D124,'T3 MET'!D135,'T3 MET'!D146,'T3 MET'!D157,'T3 MET'!D164,'T3 MET'!D171),$D$659)</f>
        <v>11540.744000000001</v>
      </c>
      <c r="X661" s="889"/>
      <c r="Y661" s="889"/>
      <c r="Z661" s="889"/>
    </row>
    <row r="662" spans="1:26">
      <c r="A662" s="894" t="s">
        <v>205</v>
      </c>
      <c r="B662" s="894" t="s">
        <v>281</v>
      </c>
      <c r="C662" s="906" t="s">
        <v>282</v>
      </c>
      <c r="D662" s="881">
        <v>3</v>
      </c>
      <c r="E662" s="889"/>
      <c r="F662" s="889"/>
      <c r="G662" s="889"/>
      <c r="H662" s="889"/>
      <c r="I662" s="889"/>
      <c r="J662" s="163"/>
      <c r="K662" s="163"/>
      <c r="L662" s="163"/>
      <c r="S662" s="897" t="b">
        <f>ROUND('T2 MET'!C19,$D$662)=ROUND('T3 MET'!D12,$D$662)</f>
        <v>1</v>
      </c>
      <c r="T662" s="897" t="b">
        <f>ROUND('T2 MET'!D19,$D$662)=ROUND('T3 MET'!D13,$D$662)</f>
        <v>1</v>
      </c>
      <c r="U662" s="897" t="b">
        <f>ROUND('T2 MET'!E19,$D$662)=ROUND('T3 MET'!D14,$D$662)</f>
        <v>1</v>
      </c>
      <c r="V662" s="897" t="b">
        <f>ROUND('T2 MET'!F19,$D$662)=ROUND('T3 MET'!D15,$D$662)</f>
        <v>0</v>
      </c>
      <c r="W662" s="897" t="b">
        <f>ROUND('T2 MET'!G19,$D$662)=ROUND('T3 MET'!D16,$D$662)</f>
        <v>1</v>
      </c>
    </row>
    <row r="663" spans="1:26" outlineLevel="1">
      <c r="A663" s="894"/>
      <c r="B663" s="894"/>
      <c r="C663" s="907" t="s">
        <v>283</v>
      </c>
      <c r="D663" s="908"/>
      <c r="E663" s="889"/>
      <c r="F663" s="889"/>
      <c r="G663" s="889"/>
      <c r="H663" s="889"/>
      <c r="I663" s="889"/>
      <c r="J663" s="163"/>
      <c r="K663" s="163"/>
      <c r="L663" s="163"/>
      <c r="S663" s="189">
        <f>ROUND('T2 MET'!C19,$D$662)</f>
        <v>-336.85</v>
      </c>
      <c r="T663" s="189">
        <f>ROUND('T2 MET'!D19,$D$662)</f>
        <v>-153.071</v>
      </c>
      <c r="U663" s="189">
        <f>ROUND('T2 MET'!E19,$D$662)</f>
        <v>0</v>
      </c>
      <c r="V663" s="189">
        <f>ROUND('T2 MET'!F19,$D$662)</f>
        <v>0</v>
      </c>
      <c r="W663" s="189">
        <f>ROUND('T2 MET'!G19,$D$662)</f>
        <v>0</v>
      </c>
    </row>
    <row r="664" spans="1:26" outlineLevel="1">
      <c r="A664" s="894"/>
      <c r="B664" s="894"/>
      <c r="C664" s="907" t="s">
        <v>284</v>
      </c>
      <c r="D664" s="908"/>
      <c r="E664" s="889"/>
      <c r="F664" s="889"/>
      <c r="G664" s="889"/>
      <c r="H664" s="889"/>
      <c r="I664" s="889"/>
      <c r="J664" s="163"/>
      <c r="K664" s="163"/>
      <c r="L664" s="163"/>
      <c r="S664" s="189">
        <f>ROUND('T3 MET'!D12,$D$662)</f>
        <v>-336.85</v>
      </c>
      <c r="T664" s="189">
        <f>ROUND('T3 MET'!D13,$D$662)</f>
        <v>-153.071</v>
      </c>
      <c r="U664" s="189">
        <f>ROUND('T3 MET'!D14,$D$662)</f>
        <v>0</v>
      </c>
      <c r="V664" s="189">
        <f>ROUND('T3 MET'!D15,$D$662)</f>
        <v>-489.92099999999999</v>
      </c>
      <c r="W664" s="189">
        <f>ROUND('T3 MET'!D16,$D$662)</f>
        <v>0</v>
      </c>
    </row>
    <row r="665" spans="1:26">
      <c r="A665" s="894" t="s">
        <v>213</v>
      </c>
      <c r="B665" s="894" t="s">
        <v>285</v>
      </c>
      <c r="C665" s="906" t="s">
        <v>286</v>
      </c>
      <c r="D665" s="881">
        <v>3</v>
      </c>
      <c r="E665" s="889"/>
      <c r="F665" s="889"/>
      <c r="G665" s="889"/>
      <c r="H665" s="889"/>
      <c r="I665" s="889"/>
      <c r="J665" s="163"/>
      <c r="K665" s="163"/>
      <c r="L665" s="163"/>
      <c r="S665" s="897" t="b">
        <f>ROUND('T2 MET'!C28,$D$665)=ROUND('T3 MET'!D30+'T3 MET'!D37+'T3 MET'!D44+'T3 MET'!D51+'T3 MET'!D58+'T3 MET'!D65,$D$665)</f>
        <v>1</v>
      </c>
      <c r="T665" s="897" t="b">
        <f>ROUND('T2 MET'!D28,$D$665)=ROUND('T3 MET'!D31+'T3 MET'!D38+'T3 MET'!D45+'T3 MET'!D52+'T3 MET'!D59+'T3 MET'!D66,$D$665)</f>
        <v>1</v>
      </c>
      <c r="U665" s="897" t="b">
        <f>ROUND('T2 MET'!E28,$D$665)=ROUND('T3 MET'!D32+'T3 MET'!D39+'T3 MET'!D46+'T3 MET'!D53+'T3 MET'!D60+'T3 MET'!D67,$D$665)</f>
        <v>1</v>
      </c>
      <c r="V665" s="897" t="b">
        <f>ROUND('T2 MET'!F28,$D$665)=ROUND('T3 MET'!D33+'T3 MET'!D40+'T3 MET'!D47+'T3 MET'!D54+'T3 MET'!D61+'T3 MET'!D68,$D$665)</f>
        <v>1</v>
      </c>
      <c r="W665" s="897" t="b">
        <f>ROUND('T2 MET'!G28,$D$665)=ROUND('T3 MET'!D34+'T3 MET'!D41+'T3 MET'!D48+'T3 MET'!D55+'T3 MET'!D62+'T3 MET'!D69,$D$665)</f>
        <v>1</v>
      </c>
    </row>
    <row r="666" spans="1:26" outlineLevel="1">
      <c r="A666" s="894"/>
      <c r="B666" s="894"/>
      <c r="C666" s="907" t="s">
        <v>283</v>
      </c>
      <c r="D666" s="908"/>
      <c r="E666" s="889"/>
      <c r="F666" s="889"/>
      <c r="G666" s="889"/>
      <c r="H666" s="889"/>
      <c r="I666" s="889"/>
      <c r="J666" s="163"/>
      <c r="K666" s="163"/>
      <c r="L666" s="163"/>
      <c r="S666" s="189">
        <f>ROUND('T2 MET'!C28,$D$665)</f>
        <v>0</v>
      </c>
      <c r="T666" s="189">
        <f>ROUND('T2 MET'!D28,$D$665)</f>
        <v>0</v>
      </c>
      <c r="U666" s="189">
        <f>ROUND('T2 MET'!E28,$D$665)</f>
        <v>0</v>
      </c>
      <c r="V666" s="189">
        <f>ROUND('T2 MET'!F28,$D$665)</f>
        <v>0</v>
      </c>
      <c r="W666" s="189">
        <f>ROUND('T2 MET'!G28,$D$665)</f>
        <v>0</v>
      </c>
    </row>
    <row r="667" spans="1:26" outlineLevel="1">
      <c r="A667" s="894"/>
      <c r="B667" s="894"/>
      <c r="C667" s="907" t="s">
        <v>284</v>
      </c>
      <c r="D667" s="908"/>
      <c r="E667" s="889"/>
      <c r="F667" s="889"/>
      <c r="G667" s="889"/>
      <c r="H667" s="889"/>
      <c r="I667" s="889"/>
      <c r="J667" s="163"/>
      <c r="K667" s="163"/>
      <c r="L667" s="163"/>
      <c r="S667" s="189">
        <f>ROUND('T3 MET'!D30+'T3 MET'!D37+'T3 MET'!D44+'T3 MET'!D51+'T3 MET'!D58+'T3 MET'!D65,$D$665)</f>
        <v>0</v>
      </c>
      <c r="T667" s="189">
        <f>ROUND('T3 MET'!D31+'T3 MET'!D38+'T3 MET'!D45+'T3 MET'!D52+'T3 MET'!D59+'T3 MET'!D66,$D$665)</f>
        <v>0</v>
      </c>
      <c r="U667" s="189">
        <f>ROUND('T3 MET'!D32+'T3 MET'!D39+'T3 MET'!D46+'T3 MET'!D53+'T3 MET'!D60+'T3 MET'!D67,$D$665)</f>
        <v>0</v>
      </c>
      <c r="V667" s="189">
        <f>ROUND('T3 MET'!D33+'T3 MET'!D40+'T3 MET'!D47+'T3 MET'!D54+'T3 MET'!D61+'T3 MET'!D68,$D$665)</f>
        <v>0</v>
      </c>
      <c r="W667" s="189">
        <f>ROUND('T3 MET'!D34+'T3 MET'!D41+'T3 MET'!D48+'T3 MET'!D55+'T3 MET'!D62+'T3 MET'!D69,$D$665)</f>
        <v>0</v>
      </c>
    </row>
    <row r="668" spans="1:26">
      <c r="A668" s="894" t="s">
        <v>210</v>
      </c>
      <c r="B668" s="894" t="s">
        <v>287</v>
      </c>
      <c r="C668" s="906" t="s">
        <v>288</v>
      </c>
      <c r="D668" s="881">
        <v>3</v>
      </c>
      <c r="E668" s="889"/>
      <c r="F668" s="889"/>
      <c r="G668" s="889"/>
      <c r="H668" s="889"/>
      <c r="I668" s="889"/>
      <c r="J668" s="163"/>
      <c r="K668" s="163"/>
      <c r="L668" s="163"/>
      <c r="S668" s="897" t="b">
        <f>ROUND('T2 MET'!C41,$D$668)=ROUND('T3 MET'!D23,$D$668)</f>
        <v>1</v>
      </c>
      <c r="T668" s="897" t="b">
        <f>ROUND('T2 MET'!D41,$D$668)=ROUND('T3 MET'!D24,$D$668)</f>
        <v>1</v>
      </c>
      <c r="U668" s="897" t="b">
        <f>ROUND('T2 MET'!E41,$D$668)=ROUND('T3 MET'!D25,$D$668)</f>
        <v>1</v>
      </c>
      <c r="V668" s="897" t="b">
        <f>ROUND('T2 MET'!F41,$D$668)=ROUND('T3 MET'!D26,$D$668)</f>
        <v>1</v>
      </c>
      <c r="W668" s="897" t="b">
        <f>ROUND('T2 MET'!G41,$D$668)=ROUND('T3 MET'!D27,$D$668)</f>
        <v>1</v>
      </c>
    </row>
    <row r="669" spans="1:26" outlineLevel="1">
      <c r="A669" s="894"/>
      <c r="B669" s="894"/>
      <c r="C669" s="907" t="s">
        <v>283</v>
      </c>
      <c r="D669" s="908"/>
      <c r="E669" s="889"/>
      <c r="F669" s="889"/>
      <c r="G669" s="889"/>
      <c r="H669" s="889"/>
      <c r="I669" s="889"/>
      <c r="J669" s="163"/>
      <c r="K669" s="163"/>
      <c r="L669" s="163"/>
      <c r="S669" s="189">
        <f>ROUND('T2 MET'!C41,$D$668)</f>
        <v>0</v>
      </c>
      <c r="T669" s="189">
        <f>ROUND('T2 MET'!D41,$D$668)</f>
        <v>0</v>
      </c>
      <c r="U669" s="189">
        <f>ROUND('T2 MET'!E41,$D$668)</f>
        <v>0</v>
      </c>
      <c r="V669" s="189">
        <f>ROUND('T2 MET'!F41,$D$668)</f>
        <v>0</v>
      </c>
      <c r="W669" s="189">
        <f>ROUND('T2 MET'!G41,$D$668)</f>
        <v>0</v>
      </c>
    </row>
    <row r="670" spans="1:26" outlineLevel="1">
      <c r="A670" s="894"/>
      <c r="B670" s="894"/>
      <c r="C670" s="907" t="s">
        <v>284</v>
      </c>
      <c r="D670" s="908"/>
      <c r="E670" s="889"/>
      <c r="F670" s="889"/>
      <c r="G670" s="889"/>
      <c r="H670" s="889"/>
      <c r="I670" s="889"/>
      <c r="J670" s="163"/>
      <c r="K670" s="163"/>
      <c r="L670" s="163"/>
      <c r="S670" s="189">
        <f>ROUND('T3 MET'!D23,$D$668)</f>
        <v>0</v>
      </c>
      <c r="T670" s="189">
        <f>ROUND('T3 MET'!D24,$D$668)</f>
        <v>0</v>
      </c>
      <c r="U670" s="189">
        <f>ROUND('T3 MET'!D25,$D$668)</f>
        <v>0</v>
      </c>
      <c r="V670" s="189">
        <f>ROUND('T3 MET'!D26,$D$668)</f>
        <v>0</v>
      </c>
      <c r="W670" s="189">
        <f>ROUND('T3 MET'!D27,$D$668)</f>
        <v>0</v>
      </c>
    </row>
    <row r="671" spans="1:26">
      <c r="A671" s="894" t="s">
        <v>222</v>
      </c>
      <c r="B671" s="894" t="s">
        <v>289</v>
      </c>
      <c r="C671" s="906" t="s">
        <v>290</v>
      </c>
      <c r="D671" s="881">
        <v>3</v>
      </c>
      <c r="E671" s="889"/>
      <c r="F671" s="889"/>
      <c r="G671" s="889"/>
      <c r="H671" s="889"/>
      <c r="I671" s="889"/>
      <c r="J671" s="163"/>
      <c r="K671" s="163"/>
      <c r="L671" s="163"/>
      <c r="S671" s="897" t="b">
        <f>ROUND('T2 MET'!C46,$D$671)=ROUND('T3 MET'!D103+'T3 MET'!D109,$D$671)</f>
        <v>0</v>
      </c>
      <c r="T671" s="897" t="b">
        <f>ROUND('T2 MET'!D46,$D$671)=ROUND('T3 MET'!D104+'T3 MET'!D110,$D$671)</f>
        <v>0</v>
      </c>
      <c r="U671" s="897" t="b">
        <f>ROUND('T2 MET'!E46,$D$671)=ROUND('T3 MET'!D105+'T3 MET'!D111,$D$671)</f>
        <v>1</v>
      </c>
      <c r="V671" s="897" t="b">
        <f>ROUND('T2 MET'!F46,$D$671)=ROUND('T3 MET'!D106+'T3 MET'!D112,$D$671)</f>
        <v>1</v>
      </c>
      <c r="W671" s="897" t="b">
        <f>ROUND('T2 MET'!G46,$D$671)=ROUND('T3 MET'!D107+'T3 MET'!D113,$D$671)</f>
        <v>1</v>
      </c>
    </row>
    <row r="672" spans="1:26" outlineLevel="1">
      <c r="A672" s="894"/>
      <c r="B672" s="894"/>
      <c r="C672" s="907" t="s">
        <v>283</v>
      </c>
      <c r="D672" s="908"/>
      <c r="E672" s="889"/>
      <c r="F672" s="889"/>
      <c r="G672" s="889"/>
      <c r="H672" s="889"/>
      <c r="I672" s="889"/>
      <c r="J672" s="163"/>
      <c r="K672" s="163"/>
      <c r="L672" s="163"/>
      <c r="S672" s="189">
        <f>ROUND('T2 MET'!C46,$D$671)</f>
        <v>18464.927</v>
      </c>
      <c r="T672" s="189">
        <f>ROUND('T2 MET'!D46,$D$671)</f>
        <v>17556.692999999999</v>
      </c>
      <c r="U672" s="189">
        <f>ROUND('T2 MET'!E46,$D$671)</f>
        <v>0</v>
      </c>
      <c r="V672" s="189">
        <f>ROUND('T2 MET'!F46,$D$671)</f>
        <v>0</v>
      </c>
      <c r="W672" s="189">
        <f>ROUND('T2 MET'!G46,$D$671)</f>
        <v>0</v>
      </c>
    </row>
    <row r="673" spans="1:23" outlineLevel="1">
      <c r="A673" s="894"/>
      <c r="B673" s="894"/>
      <c r="C673" s="907" t="s">
        <v>284</v>
      </c>
      <c r="D673" s="908"/>
      <c r="E673" s="889"/>
      <c r="F673" s="889"/>
      <c r="G673" s="889"/>
      <c r="H673" s="889"/>
      <c r="I673" s="889"/>
      <c r="J673" s="163"/>
      <c r="K673" s="163"/>
      <c r="L673" s="163"/>
      <c r="S673" s="189">
        <f>ROUND('T3 MET'!D103+'T3 MET'!D109,$D$671)</f>
        <v>0</v>
      </c>
      <c r="T673" s="189">
        <f>ROUND('T3 MET'!D104+'T3 MET'!D110,$D$671)</f>
        <v>0</v>
      </c>
      <c r="U673" s="189">
        <f>ROUND('T3 MET'!D105+'T3 MET'!D111,$D$671)</f>
        <v>0</v>
      </c>
      <c r="V673" s="189">
        <f>ROUND('T3 MET'!D106+'T3 MET'!D112,$D$671)</f>
        <v>0</v>
      </c>
      <c r="W673" s="189">
        <f>ROUND('T3 MET'!D107+'T3 MET'!D113,$D$671)</f>
        <v>0</v>
      </c>
    </row>
    <row r="674" spans="1:23">
      <c r="A674" s="894" t="s">
        <v>216</v>
      </c>
      <c r="B674" s="894" t="s">
        <v>291</v>
      </c>
      <c r="C674" s="906" t="s">
        <v>292</v>
      </c>
      <c r="D674" s="881">
        <v>3</v>
      </c>
      <c r="E674" s="889"/>
      <c r="F674" s="889"/>
      <c r="G674" s="889"/>
      <c r="H674" s="889"/>
      <c r="I674" s="889"/>
      <c r="J674" s="163"/>
      <c r="K674" s="163"/>
      <c r="L674" s="163"/>
      <c r="S674" s="897" t="b">
        <f>ROUND('T2 MET'!C54,$D$674)=ROUND('T3 MET'!D81,$D$674)</f>
        <v>1</v>
      </c>
      <c r="T674" s="897" t="b">
        <f>ROUND('T2 MET'!D54,$D$674)=ROUND('T3 MET'!D82,$D$674)</f>
        <v>1</v>
      </c>
      <c r="U674" s="897" t="b">
        <f>ROUND('T2 MET'!E54,$D$674)=ROUND('T3 MET'!D83,$D$674)</f>
        <v>1</v>
      </c>
      <c r="V674" s="897" t="b">
        <f>ROUND('T2 MET'!F54,$D$674)=ROUND('T3 MET'!D84,$D$674)</f>
        <v>1</v>
      </c>
      <c r="W674" s="897" t="b">
        <f>ROUND('T2 MET'!G54,$D$674)=ROUND('T3 MET'!D85,$D$674)</f>
        <v>1</v>
      </c>
    </row>
    <row r="675" spans="1:23" outlineLevel="1">
      <c r="A675" s="894"/>
      <c r="B675" s="894"/>
      <c r="C675" s="907" t="s">
        <v>283</v>
      </c>
      <c r="D675" s="908"/>
      <c r="E675" s="889"/>
      <c r="F675" s="889"/>
      <c r="G675" s="889"/>
      <c r="H675" s="889"/>
      <c r="I675" s="889"/>
      <c r="J675" s="163"/>
      <c r="K675" s="163"/>
      <c r="L675" s="163"/>
      <c r="S675" s="189">
        <f>ROUND('T2 MET'!C54,$D$674)</f>
        <v>0</v>
      </c>
      <c r="T675" s="189">
        <f>ROUND('T2 MET'!D54,$D$674)</f>
        <v>0</v>
      </c>
      <c r="U675" s="189">
        <f>ROUND('T2 MET'!E54,$D$674)</f>
        <v>0</v>
      </c>
      <c r="V675" s="189">
        <f>ROUND('T2 MET'!F54,$D$674)</f>
        <v>0</v>
      </c>
      <c r="W675" s="189">
        <f>ROUND('T2 MET'!G54,$D$674)</f>
        <v>0</v>
      </c>
    </row>
    <row r="676" spans="1:23" outlineLevel="1">
      <c r="A676" s="894"/>
      <c r="B676" s="894"/>
      <c r="C676" s="907" t="s">
        <v>284</v>
      </c>
      <c r="D676" s="908"/>
      <c r="E676" s="889"/>
      <c r="F676" s="889"/>
      <c r="G676" s="889"/>
      <c r="H676" s="889"/>
      <c r="I676" s="889"/>
      <c r="J676" s="163"/>
      <c r="K676" s="163"/>
      <c r="L676" s="163"/>
      <c r="S676" s="189">
        <f>ROUND('T3 MET'!D81,$D$674)</f>
        <v>0</v>
      </c>
      <c r="T676" s="189">
        <f>ROUND('T3 MET'!D82,$D$674)</f>
        <v>0</v>
      </c>
      <c r="U676" s="189">
        <f>ROUND('T3 MET'!D83,$D$674)</f>
        <v>0</v>
      </c>
      <c r="V676" s="189">
        <f>ROUND('T3 MET'!D84,$D$674)</f>
        <v>0</v>
      </c>
      <c r="W676" s="189">
        <f>ROUND('T3 MET'!D85,$D$674)</f>
        <v>0</v>
      </c>
    </row>
    <row r="677" spans="1:23">
      <c r="A677" s="894" t="s">
        <v>219</v>
      </c>
      <c r="B677" s="894" t="s">
        <v>293</v>
      </c>
      <c r="C677" s="906" t="s">
        <v>294</v>
      </c>
      <c r="D677" s="881">
        <v>3</v>
      </c>
      <c r="E677" s="889"/>
      <c r="F677" s="889"/>
      <c r="G677" s="889"/>
      <c r="H677" s="889"/>
      <c r="I677" s="889"/>
      <c r="J677" s="163"/>
      <c r="K677" s="163"/>
      <c r="L677" s="163"/>
      <c r="S677" s="897" t="b">
        <f>ROUND('T2 MET'!C59,$D$677)=ROUND('T3 MET'!D92,$D$677)</f>
        <v>1</v>
      </c>
      <c r="T677" s="897" t="b">
        <f>ROUND('T2 MET'!D59,$D$677)=ROUND('T3 MET'!D93,$D$677)</f>
        <v>1</v>
      </c>
      <c r="U677" s="897" t="b">
        <f>ROUND('T2 MET'!E59,$D$677)=ROUND('T3 MET'!D94,$D$677)</f>
        <v>1</v>
      </c>
      <c r="V677" s="897" t="b">
        <f>ROUND('T2 MET'!F59,$D$677)=ROUND('T3 MET'!D95,$D$677)</f>
        <v>1</v>
      </c>
      <c r="W677" s="897" t="b">
        <f>ROUND('T2 MET'!G59,$D$677)=ROUND('T3 MET'!D96,$D$677)</f>
        <v>1</v>
      </c>
    </row>
    <row r="678" spans="1:23" outlineLevel="1">
      <c r="A678" s="894"/>
      <c r="B678" s="894"/>
      <c r="C678" s="907" t="s">
        <v>283</v>
      </c>
      <c r="D678" s="908"/>
      <c r="E678" s="889"/>
      <c r="F678" s="889"/>
      <c r="G678" s="889"/>
      <c r="H678" s="889"/>
      <c r="I678" s="889"/>
      <c r="J678" s="163"/>
      <c r="K678" s="163"/>
      <c r="L678" s="163"/>
      <c r="S678" s="189">
        <f>ROUND('T2 MET'!C59,$D$677)</f>
        <v>0</v>
      </c>
      <c r="T678" s="189">
        <f>ROUND('T2 MET'!D59,$D$677)</f>
        <v>0</v>
      </c>
      <c r="U678" s="189">
        <f>ROUND('T2 MET'!E59,$D$677)</f>
        <v>0</v>
      </c>
      <c r="V678" s="189">
        <f>ROUND('T2 MET'!F59,$D$677)</f>
        <v>0</v>
      </c>
      <c r="W678" s="189">
        <f>ROUND('T2 MET'!G59,$D$677)</f>
        <v>0</v>
      </c>
    </row>
    <row r="679" spans="1:23" outlineLevel="1">
      <c r="A679" s="894"/>
      <c r="B679" s="894"/>
      <c r="C679" s="907" t="s">
        <v>284</v>
      </c>
      <c r="D679" s="908"/>
      <c r="E679" s="889"/>
      <c r="F679" s="889"/>
      <c r="G679" s="889"/>
      <c r="H679" s="889"/>
      <c r="I679" s="889"/>
      <c r="J679" s="163"/>
      <c r="K679" s="163"/>
      <c r="L679" s="163"/>
      <c r="S679" s="189">
        <f>ROUND('T3 MET'!D92,$D$677)</f>
        <v>0</v>
      </c>
      <c r="T679" s="189">
        <f>ROUND('T3 MET'!D93,$D$677)</f>
        <v>0</v>
      </c>
      <c r="U679" s="189">
        <f>ROUND('T3 MET'!D94,$D$677)</f>
        <v>0</v>
      </c>
      <c r="V679" s="189">
        <f>ROUND('T3 MET'!D95,$D$677)</f>
        <v>0</v>
      </c>
      <c r="W679" s="189">
        <f>ROUND('T3 MET'!D96,$D$677)</f>
        <v>0</v>
      </c>
    </row>
    <row r="680" spans="1:23">
      <c r="A680" s="894" t="s">
        <v>231</v>
      </c>
      <c r="B680" s="894" t="s">
        <v>295</v>
      </c>
      <c r="C680" s="906" t="s">
        <v>296</v>
      </c>
      <c r="D680" s="881">
        <v>3</v>
      </c>
      <c r="E680" s="889"/>
      <c r="F680" s="889"/>
      <c r="G680" s="889"/>
      <c r="H680" s="889"/>
      <c r="I680" s="889"/>
      <c r="J680" s="163"/>
      <c r="K680" s="163"/>
      <c r="L680" s="163"/>
      <c r="S680" s="897" t="b">
        <f>ROUND('T2 MET'!C63,$D$680)=ROUND('T3 MET'!D160,$D$680)</f>
        <v>0</v>
      </c>
      <c r="T680" s="897" t="b">
        <f>ROUND('T2 MET'!D63,$D$680)=ROUND('T3 MET'!D161,$D$680)</f>
        <v>1</v>
      </c>
      <c r="U680" s="897" t="b">
        <f>ROUND('T2 MET'!E63,$D$680)=ROUND('T3 MET'!D162,$D$680)</f>
        <v>1</v>
      </c>
      <c r="V680" s="897" t="b">
        <f>ROUND('T2 MET'!F63,$D$680)=ROUND('T3 MET'!D163,$D$680)</f>
        <v>1</v>
      </c>
      <c r="W680" s="897" t="b">
        <f>ROUND('T2 MET'!G63,$D$680)=ROUND('T3 MET'!D164,$D$680)</f>
        <v>1</v>
      </c>
    </row>
    <row r="681" spans="1:23" outlineLevel="1">
      <c r="A681" s="894"/>
      <c r="B681" s="894"/>
      <c r="C681" s="907" t="s">
        <v>283</v>
      </c>
      <c r="D681" s="908"/>
      <c r="E681" s="889"/>
      <c r="F681" s="889"/>
      <c r="G681" s="889"/>
      <c r="H681" s="889"/>
      <c r="I681" s="889"/>
      <c r="J681" s="163"/>
      <c r="K681" s="163"/>
      <c r="L681" s="163"/>
      <c r="S681" s="189">
        <f>ROUND('T2 MET'!C63,$D$680)</f>
        <v>0</v>
      </c>
      <c r="T681" s="189">
        <f>ROUND('T2 MET'!D63,$D$680)</f>
        <v>0</v>
      </c>
      <c r="U681" s="189">
        <f>ROUND('T2 MET'!E63,$D$680)</f>
        <v>0</v>
      </c>
      <c r="V681" s="189">
        <f>ROUND('T2 MET'!F63,$D$680)</f>
        <v>0</v>
      </c>
      <c r="W681" s="189">
        <f>ROUND('T2 MET'!G63,$D$680)</f>
        <v>0</v>
      </c>
    </row>
    <row r="682" spans="1:23" outlineLevel="1">
      <c r="A682" s="894"/>
      <c r="B682" s="894"/>
      <c r="C682" s="907" t="s">
        <v>284</v>
      </c>
      <c r="D682" s="908"/>
      <c r="E682" s="889"/>
      <c r="F682" s="889"/>
      <c r="G682" s="889"/>
      <c r="H682" s="889"/>
      <c r="I682" s="889"/>
      <c r="J682" s="163"/>
      <c r="K682" s="163"/>
      <c r="L682" s="163"/>
      <c r="S682" s="189">
        <f>ROUND('T3 MET'!D160,$D$680)</f>
        <v>36021.620000000003</v>
      </c>
      <c r="T682" s="189">
        <f>ROUND('T3 MET'!D161,$D$680)</f>
        <v>0</v>
      </c>
      <c r="U682" s="189">
        <f>ROUND('T3 MET'!D162,$D$680)</f>
        <v>0</v>
      </c>
      <c r="V682" s="189">
        <f>ROUND('T3 MET'!D163,$D$680)</f>
        <v>0</v>
      </c>
      <c r="W682" s="189">
        <f>ROUND('T3 MET'!D164,$D$680)</f>
        <v>0</v>
      </c>
    </row>
    <row r="683" spans="1:23">
      <c r="A683" s="894" t="s">
        <v>297</v>
      </c>
      <c r="B683" s="894" t="s">
        <v>298</v>
      </c>
      <c r="C683" s="906" t="s">
        <v>299</v>
      </c>
      <c r="D683" s="881">
        <v>3</v>
      </c>
      <c r="E683" s="889"/>
      <c r="F683" s="889"/>
      <c r="G683" s="889"/>
      <c r="H683" s="889"/>
      <c r="I683" s="889"/>
      <c r="J683" s="163"/>
      <c r="K683" s="163"/>
      <c r="L683" s="163"/>
      <c r="S683" s="897" t="b">
        <f>ROUND('T2 MET'!C66,$D$683)=ROUND('T3 MET'!D167,$D$683)</f>
        <v>1</v>
      </c>
      <c r="T683" s="897" t="b">
        <f>ROUND('T2 MET'!D66,$D$683)=ROUND('T3 MET'!D168,$D$683)</f>
        <v>1</v>
      </c>
      <c r="U683" s="897" t="b">
        <f>ROUND('T2 MET'!E66,$D$683)=ROUND('T3 MET'!D169,$D$683)</f>
        <v>1</v>
      </c>
      <c r="V683" s="897" t="b">
        <f>ROUND('T2 MET'!F66,$D$683)=ROUND('T3 MET'!D170,$D$683)</f>
        <v>1</v>
      </c>
      <c r="W683" s="897" t="b">
        <f>ROUND('T2 MET'!G66,$D$683)=ROUND('T3 MET'!D171,$D$683)</f>
        <v>1</v>
      </c>
    </row>
    <row r="684" spans="1:23" outlineLevel="1">
      <c r="A684" s="894"/>
      <c r="B684" s="894"/>
      <c r="C684" s="907" t="s">
        <v>283</v>
      </c>
      <c r="D684" s="908"/>
      <c r="E684" s="889"/>
      <c r="F684" s="889"/>
      <c r="G684" s="889"/>
      <c r="H684" s="889"/>
      <c r="I684" s="889"/>
      <c r="J684" s="163"/>
      <c r="K684" s="163"/>
      <c r="L684" s="163"/>
      <c r="S684" s="189">
        <f>ROUND('T2 MET'!C66,$D$683)</f>
        <v>0</v>
      </c>
      <c r="T684" s="189">
        <f>ROUND('T2 MET'!D66,$D$683)</f>
        <v>0</v>
      </c>
      <c r="U684" s="189">
        <f>ROUND('T2 MET'!E66,$D$683)</f>
        <v>0</v>
      </c>
      <c r="V684" s="189">
        <f>ROUND('T2 MET'!F66,$D$683)</f>
        <v>0</v>
      </c>
      <c r="W684" s="189">
        <f>ROUND('T2 MET'!G66,$D$683)</f>
        <v>0</v>
      </c>
    </row>
    <row r="685" spans="1:23" outlineLevel="1">
      <c r="A685" s="894"/>
      <c r="B685" s="894"/>
      <c r="C685" s="907" t="s">
        <v>284</v>
      </c>
      <c r="D685" s="908"/>
      <c r="E685" s="889"/>
      <c r="F685" s="889"/>
      <c r="G685" s="889"/>
      <c r="H685" s="889"/>
      <c r="I685" s="889"/>
      <c r="J685" s="163"/>
      <c r="K685" s="163"/>
      <c r="L685" s="163"/>
      <c r="S685" s="189">
        <f>ROUND('T3 MET'!D167,$D$683)</f>
        <v>0</v>
      </c>
      <c r="T685" s="189">
        <f>ROUND('T3 MET'!D168,$D$683)</f>
        <v>0</v>
      </c>
      <c r="U685" s="189">
        <f>ROUND('T3 MET'!D169,$D$683)</f>
        <v>0</v>
      </c>
      <c r="V685" s="189">
        <f>ROUND('T3 MET'!D170,$D$683)</f>
        <v>0</v>
      </c>
      <c r="W685" s="189">
        <f>ROUND('T3 MET'!D171,$D$683)</f>
        <v>0</v>
      </c>
    </row>
    <row r="686" spans="1:23">
      <c r="A686" s="894" t="s">
        <v>300</v>
      </c>
      <c r="B686" s="894" t="s">
        <v>301</v>
      </c>
      <c r="C686" s="906" t="s">
        <v>302</v>
      </c>
      <c r="D686" s="881">
        <v>3</v>
      </c>
      <c r="E686" s="889"/>
      <c r="F686" s="889"/>
      <c r="G686" s="889"/>
      <c r="H686" s="889"/>
      <c r="I686" s="889"/>
      <c r="J686" s="163"/>
      <c r="K686" s="163"/>
      <c r="L686" s="163"/>
      <c r="S686" s="897" t="b">
        <f>ROUND('T2 MET'!C73,$D$686)=ROUND('T3 MET'!D120+'T3 MET'!D131+'T3 MET'!D142+'T3 MET'!D160,$D$686)</f>
        <v>0</v>
      </c>
      <c r="T686" s="897" t="b">
        <f>ROUND('T2 MET'!D73,$D$686)=ROUND('T3 MET'!D121+'T3 MET'!D132+'T3 MET'!D143+'T3 MET'!D161,$D$686)</f>
        <v>1</v>
      </c>
      <c r="U686" s="897" t="b">
        <f>ROUND('T2 MET'!E73,$D$686)=ROUND('T3 MET'!D122+'T3 MET'!D133+'T3 MET'!D144+'T3 MET'!D162,$D$686)</f>
        <v>0</v>
      </c>
      <c r="V686" s="897" t="b">
        <f>ROUND('T2 MET'!F73,$D$686)=ROUND('T3 MET'!D123+'T3 MET'!D134+'T3 MET'!D145+'T3 MET'!D163,$D$686)</f>
        <v>0</v>
      </c>
      <c r="W686" s="897" t="b">
        <f>ROUND('T2 MET'!G73,$D$686)=ROUND('T3 MET'!D124+'T3 MET'!D135+'T3 MET'!D146+'T3 MET'!D164,$D$686)</f>
        <v>0</v>
      </c>
    </row>
    <row r="687" spans="1:23" outlineLevel="1">
      <c r="A687" s="894"/>
      <c r="B687" s="894"/>
      <c r="C687" s="907" t="s">
        <v>283</v>
      </c>
      <c r="D687" s="908"/>
      <c r="E687" s="889"/>
      <c r="F687" s="889"/>
      <c r="G687" s="889"/>
      <c r="H687" s="889"/>
      <c r="I687" s="889"/>
      <c r="J687" s="163"/>
      <c r="K687" s="163"/>
      <c r="L687" s="163"/>
      <c r="S687" s="189">
        <f>ROUND('T2 MET'!C73,$D$686)</f>
        <v>0</v>
      </c>
      <c r="T687" s="189">
        <f>ROUND('T2 MET'!D73,$D$686)</f>
        <v>0</v>
      </c>
      <c r="U687" s="189">
        <f>ROUND('T2 MET'!E73,$D$686)</f>
        <v>0</v>
      </c>
      <c r="V687" s="189">
        <f>ROUND('T2 MET'!F73,$D$686)</f>
        <v>0</v>
      </c>
      <c r="W687" s="189">
        <f>ROUND('T2 MET'!G73,$D$686)</f>
        <v>0</v>
      </c>
    </row>
    <row r="688" spans="1:23" outlineLevel="1">
      <c r="A688" s="894"/>
      <c r="B688" s="894"/>
      <c r="C688" s="907" t="s">
        <v>284</v>
      </c>
      <c r="D688" s="908"/>
      <c r="E688" s="889"/>
      <c r="F688" s="889"/>
      <c r="G688" s="889"/>
      <c r="H688" s="889"/>
      <c r="I688" s="889"/>
      <c r="J688" s="163"/>
      <c r="K688" s="163"/>
      <c r="L688" s="163"/>
      <c r="S688" s="189">
        <f>ROUND('T3 MET'!D120+'T3 MET'!D131+'T3 MET'!D142+'T3 MET'!D160,$D$686)</f>
        <v>36021.620000000003</v>
      </c>
      <c r="T688" s="189">
        <f>ROUND('T3 MET'!D121+'T3 MET'!D132+'T3 MET'!D143+'T3 MET'!D161,$D$686)</f>
        <v>0</v>
      </c>
      <c r="U688" s="189">
        <f>ROUND('T3 MET'!D122+'T3 MET'!D133+'T3 MET'!D144+'T3 MET'!D162,$D$686)</f>
        <v>-3366</v>
      </c>
      <c r="V688" s="189">
        <f>ROUND('T3 MET'!D123+'T3 MET'!D134+'T3 MET'!D145+'T3 MET'!D163,$D$686)</f>
        <v>-3558.183</v>
      </c>
      <c r="W688" s="189">
        <f>ROUND('T3 MET'!D124+'T3 MET'!D135+'T3 MET'!D146+'T3 MET'!D164,$D$686)</f>
        <v>-6924.183</v>
      </c>
    </row>
    <row r="689" spans="1:26" s="889" customFormat="1">
      <c r="A689" s="894" t="s">
        <v>303</v>
      </c>
      <c r="B689" s="894" t="s">
        <v>304</v>
      </c>
      <c r="C689" s="895" t="s">
        <v>305</v>
      </c>
      <c r="D689" s="908"/>
      <c r="L689" s="163"/>
      <c r="M689" s="163"/>
      <c r="R689" s="163"/>
      <c r="S689" s="897" t="b">
        <f>SUM('T3 MET'!$E$10,'T3 MET'!$E$12:$E$16,'T3 MET'!$E$21,'T3 MET'!$E$23:$E$27,'T3 MET'!$E$30:$E$34,'T3 MET'!$E$37:$E$41,'T3 MET'!$E$44:$E$48,'T3 MET'!$E$51:$E$55,'T3 MET'!$E$58:$E$62,'T3 MET'!$E$65:$E$69,'T3 MET'!$E$74,'T3 MET'!$E$79,'T3 MET'!$E$81:$E$85,'T3 MET'!$E$90,'T3 MET'!$E$92:$E$96,'T3 MET'!$E$101,'T3 MET'!$E$103:$E$107,'T3 MET'!$E$109:$E$113)=0</f>
        <v>0</v>
      </c>
      <c r="T689" s="897" t="b">
        <f>SUM('T3 MET'!$F$12:$F$16,'T3 MET'!$F$23:$F$27,'T3 MET'!$F$30:$F$34,'T3 MET'!$F$37:$F$41,'T3 MET'!$F$44:$F$48,'T3 MET'!$F$51:$F$55,'T3 MET'!$F$58:$F$62,'T3 MET'!$F$65:$F$69,'T3 MET'!$F$81:$F$85,'T3 MET'!$F$92:$F$96,'T3 MET'!$F$103:$F$107,'T3 MET'!$F$109:$F$113)=0</f>
        <v>1</v>
      </c>
      <c r="U689" s="897" t="b">
        <f>SUM('T3 MET'!$G$13:$G$16,'T3 MET'!$G$24:$G$27,'T3 MET'!$G$31:$G$34,'T3 MET'!$G$38:$G$41,'T3 MET'!$G$45:$G$48,'T3 MET'!$G$52:$G$55,'T3 MET'!$G$59:$G$62,'T3 MET'!$G$66:$G$69,'T3 MET'!$G$82:$G$85,'T3 MET'!$G$93:$G$96,'T3 MET'!$G$104:$G$107,'T3 MET'!$G$110:$G$113)=0</f>
        <v>0</v>
      </c>
      <c r="V689" s="897" t="b">
        <f>SUM('T3 MET'!$H$14:$H$16,'T3 MET'!$H$25:$H$27,'T3 MET'!$H$32:$H$34,'T3 MET'!$H$39:$H$41,'T3 MET'!$H$46:$H$48,'T3 MET'!$H$53:$H$55,'T3 MET'!$H$60:$H$62,'T3 MET'!$H$67:$H$69,'T3 MET'!$H$83:$H$85,'T3 MET'!$H$94:$H$96,'T3 MET'!$H$105:$H$107,'T3 MET'!$H$111:$H$113)=0</f>
        <v>0</v>
      </c>
      <c r="W689" s="897" t="b">
        <f>SUM('T3 MET'!$I$15:$I$16,'T3 MET'!$I$26:$I$27,'T3 MET'!$I$33:$I$34,'T3 MET'!$I$40:$I$41,'T3 MET'!$I$47:$I$48,'T3 MET'!$I$54:$I$55,'T3 MET'!$I$61:$I$62,'T3 MET'!$I$68:$I$69,'T3 MET'!$I$84:$I$85,'T3 MET'!$I$95:$I$96,'T3 MET'!$I$106:$I$107,'T3 MET'!$I$112:$I$113)=0</f>
        <v>1</v>
      </c>
    </row>
    <row r="690" spans="1:26" outlineLevel="1">
      <c r="A690" s="894"/>
      <c r="B690" s="894"/>
      <c r="C690" s="898" t="s">
        <v>306</v>
      </c>
      <c r="D690" s="908"/>
      <c r="J690" s="163"/>
      <c r="K690" s="163"/>
      <c r="L690" s="163"/>
      <c r="S690" s="189">
        <f>SUM('T3 MET'!$E$10,'T3 MET'!$E$12:$E$16,'T3 MET'!$E$21,'T3 MET'!$E$23:$E$27,'T3 MET'!$E$30:$E$34,'T3 MET'!$E$37:$E$41,'T3 MET'!$E$44:$E$48,'T3 MET'!$E$51:$E$55,'T3 MET'!$E$58:$E$62,'T3 MET'!$E$65:$E$69,'T3 MET'!$E$74,'T3 MET'!$E$79,'T3 MET'!$E$81:$E$85,'T3 MET'!$E$90,'T3 MET'!$E$92:$E$96,'T3 MET'!$E$101,'T3 MET'!$E$103:$E$107,'T3 MET'!$E$109:$E$113)</f>
        <v>-610</v>
      </c>
      <c r="T690" s="189">
        <f>SUM('T3 MET'!$F$12:$F$16,'T3 MET'!$F$23:$F$27,'T3 MET'!$F$30:$F$34,'T3 MET'!$F$37:$F$41,'T3 MET'!$F$44:$F$48,'T3 MET'!$F$51:$F$55,'T3 MET'!$F$58:$F$62,'T3 MET'!$F$65:$F$69,'T3 MET'!$F$81:$F$85,'T3 MET'!$F$92:$F$96,'T3 MET'!$F$103:$F$107,'T3 MET'!$F$109:$F$113)</f>
        <v>0</v>
      </c>
      <c r="U690" s="189">
        <f>SUM('T3 MET'!$G$13:$G$16,'T3 MET'!$G$24:$G$27,'T3 MET'!$G$31:$G$34,'T3 MET'!$G$38:$G$41,'T3 MET'!$G$45:$G$48,'T3 MET'!$G$52:$G$55,'T3 MET'!$G$59:$G$62,'T3 MET'!$G$66:$G$69,'T3 MET'!$G$82:$G$85,'T3 MET'!$G$93:$G$96,'T3 MET'!$G$104:$G$107,'T3 MET'!$G$110:$G$113)</f>
        <v>-336.84957921907642</v>
      </c>
      <c r="V690" s="189">
        <f>SUM('T3 MET'!$H$14:$H$16,'T3 MET'!$H$25:$H$27,'T3 MET'!$H$32:$H$34,'T3 MET'!$H$39:$H$41,'T3 MET'!$H$46:$H$48,'T3 MET'!$H$53:$H$55,'T3 MET'!$H$60:$H$62,'T3 MET'!$H$67:$H$69,'T3 MET'!$H$83:$H$85,'T3 MET'!$H$94:$H$96,'T3 MET'!$H$105:$H$107,'T3 MET'!$H$111:$H$113)</f>
        <v>-153.07113773851486</v>
      </c>
      <c r="W690" s="189">
        <f>SUM('T3 MET'!$I$15:$I$16,'T3 MET'!$I$26:$I$27,'T3 MET'!$I$33:$I$34,'T3 MET'!$I$40:$I$41,'T3 MET'!$I$47:$I$48,'T3 MET'!$I$54:$I$55,'T3 MET'!$I$61:$I$62,'T3 MET'!$I$68:$I$69,'T3 MET'!$I$84:$I$85,'T3 MET'!$I$95:$I$96,'T3 MET'!$I$106:$I$107,'T3 MET'!$I$112:$I$113)</f>
        <v>0</v>
      </c>
    </row>
    <row r="691" spans="1:26">
      <c r="A691" s="894" t="s">
        <v>307</v>
      </c>
      <c r="B691" s="894" t="s">
        <v>308</v>
      </c>
      <c r="C691" s="895" t="s">
        <v>309</v>
      </c>
      <c r="D691" s="881">
        <v>3</v>
      </c>
      <c r="J691" s="163"/>
      <c r="K691" s="163"/>
      <c r="L691" s="163"/>
      <c r="S691" s="897" t="b">
        <f>ROUND(SUM('T3 MET'!E72:E73),$D$691)=0</f>
        <v>1</v>
      </c>
    </row>
    <row r="692" spans="1:26" outlineLevel="1">
      <c r="A692" s="894"/>
      <c r="B692" s="894"/>
      <c r="C692" s="898" t="s">
        <v>310</v>
      </c>
      <c r="D692" s="908"/>
      <c r="J692" s="163"/>
      <c r="K692" s="163"/>
      <c r="L692" s="163"/>
      <c r="S692" s="189">
        <f>ROUND(SUM('T3 MET'!E72:E73),$D$691)</f>
        <v>0</v>
      </c>
    </row>
    <row r="693" spans="1:26" outlineLevel="1">
      <c r="A693" s="894"/>
      <c r="B693" s="894"/>
      <c r="C693" s="898" t="s">
        <v>311</v>
      </c>
      <c r="D693" s="908"/>
      <c r="J693" s="163"/>
      <c r="K693" s="163"/>
      <c r="L693" s="163"/>
      <c r="S693" s="189">
        <f>0</f>
        <v>0</v>
      </c>
    </row>
    <row r="694" spans="1:26" s="184" customFormat="1" ht="18.75">
      <c r="A694" s="173" t="s">
        <v>13</v>
      </c>
      <c r="B694" s="174" t="s">
        <v>14</v>
      </c>
      <c r="C694" s="175" t="s">
        <v>314</v>
      </c>
      <c r="D694" s="912"/>
      <c r="E694" s="891"/>
      <c r="F694" s="891"/>
      <c r="G694" s="891"/>
      <c r="H694" s="891"/>
      <c r="I694" s="891"/>
      <c r="J694" s="891"/>
      <c r="K694" s="891"/>
      <c r="L694" s="891"/>
      <c r="M694" s="891"/>
      <c r="N694" s="891"/>
      <c r="O694" s="891"/>
      <c r="P694" s="891"/>
      <c r="Q694" s="891"/>
      <c r="R694" s="163"/>
      <c r="S694" s="891"/>
      <c r="T694" s="891"/>
      <c r="U694" s="891"/>
      <c r="V694" s="891"/>
      <c r="W694" s="891"/>
      <c r="X694" s="889"/>
      <c r="Y694" s="889"/>
      <c r="Z694" s="889"/>
    </row>
    <row r="695" spans="1:26" s="909" customFormat="1">
      <c r="A695" s="893" t="s">
        <v>234</v>
      </c>
      <c r="B695" s="894" t="s">
        <v>277</v>
      </c>
      <c r="C695" s="906" t="s">
        <v>278</v>
      </c>
      <c r="D695" s="881">
        <v>3</v>
      </c>
      <c r="E695" s="889"/>
      <c r="F695" s="889"/>
      <c r="G695" s="889"/>
      <c r="H695" s="889"/>
      <c r="I695" s="889"/>
      <c r="R695" s="163"/>
      <c r="S695" s="897" t="b">
        <f>ROUND('T2 NSA'!C78,$D$695)=ROUND(SUM('T3 NSA'!D12,'T3 NSA'!D23,'T3 NSA'!D30,'T3 NSA'!D37,'T3 NSA'!D44,'T3 NSA'!D51,'T3 NSA'!D58,'T3 NSA'!D65,'T3 NSA'!D81,'T3 NSA'!D92,'T3 NSA'!D103,'T3 NSA'!D109,'T3 NSA'!D120,'T3 NSA'!D131,'T3 NSA'!D142,'T3 NSA'!D153,'T3 NSA'!D160,'T3 NSA'!D167),$D$695)</f>
        <v>0</v>
      </c>
      <c r="T695" s="897" t="b">
        <f>ROUND('T2 NSA'!D78,$D$695)=ROUND(SUM('T3 NSA'!D13,'T3 NSA'!D24,'T3 NSA'!D31,'T3 NSA'!D38,'T3 NSA'!D45,'T3 NSA'!D52,'T3 NSA'!D59,'T3 NSA'!D66,'T3 NSA'!D82,'T3 NSA'!D93,'T3 NSA'!D104,'T3 NSA'!D110,'T3 NSA'!D121,'T3 NSA'!D132,'T3 NSA'!D143,'T3 NSA'!D154,'T3 NSA'!D161,'T3 NSA'!D168),$D$695)</f>
        <v>0</v>
      </c>
      <c r="U695" s="897" t="b">
        <f>ROUND('T2 NSA'!E78,$D$695)=ROUND(SUM('T3 NSA'!D14,'T3 NSA'!D25,'T3 NSA'!D32,'T3 NSA'!D39,'T3 NSA'!D46,'T3 NSA'!D53,'T3 NSA'!D60,'T3 NSA'!D67,'T3 NSA'!D83,'T3 NSA'!D94,'T3 NSA'!D105,'T3 NSA'!D111,'T3 NSA'!D122,'T3 NSA'!D133,'T3 NSA'!D144,'T3 NSA'!D155,'T3 NSA'!D162,'T3 NSA'!D169),$D$695)</f>
        <v>0</v>
      </c>
      <c r="V695" s="897" t="b">
        <f>ROUND('T2 NSA'!F78,$D$695)=ROUND(SUM('T3 NSA'!D15,'T3 NSA'!D26,'T3 NSA'!D33,'T3 NSA'!D40,'T3 NSA'!D47,'T3 NSA'!D54,'T3 NSA'!D61,'T3 NSA'!D68,'T3 NSA'!D84,'T3 NSA'!D95,'T3 NSA'!D106,'T3 NSA'!D112,'T3 NSA'!D123,'T3 NSA'!D134,'T3 NSA'!D145,'T3 NSA'!D156,'T3 NSA'!D163,'T3 NSA'!D170),$D$695)</f>
        <v>0</v>
      </c>
      <c r="W695" s="897" t="b">
        <f>ROUND('T2 NSA'!G78,$D$695)=ROUND(SUM('T3 NSA'!D16,'T3 NSA'!D27,'T3 NSA'!D34,'T3 NSA'!D41,'T3 NSA'!D48,'T3 NSA'!D55,'T3 NSA'!D62,'T3 NSA'!D69,'T3 NSA'!D85,'T3 NSA'!D96,'T3 NSA'!D107,'T3 NSA'!D113,'T3 NSA'!D124,'T3 NSA'!D135,'T3 NSA'!D146,'T3 NSA'!D157,'T3 NSA'!D164,'T3 NSA'!D171),$D$695)</f>
        <v>0</v>
      </c>
      <c r="X695" s="889"/>
      <c r="Y695" s="889"/>
      <c r="Z695" s="889"/>
    </row>
    <row r="696" spans="1:26" outlineLevel="1">
      <c r="A696" s="894"/>
      <c r="B696" s="894"/>
      <c r="C696" s="907" t="s">
        <v>279</v>
      </c>
      <c r="D696" s="908"/>
      <c r="E696" s="889"/>
      <c r="F696" s="889"/>
      <c r="G696" s="889"/>
      <c r="H696" s="889"/>
      <c r="I696" s="889"/>
      <c r="J696" s="163"/>
      <c r="K696" s="163"/>
      <c r="L696" s="163"/>
      <c r="S696" s="189">
        <f>ROUND('T2 NSA'!C78,$D$695)</f>
        <v>33975.819000000003</v>
      </c>
      <c r="T696" s="189">
        <f>ROUND('T2 NSA'!D78,$D$695)</f>
        <v>34420.455999999998</v>
      </c>
      <c r="U696" s="189">
        <f>ROUND('T2 NSA'!E78,$D$695)</f>
        <v>0</v>
      </c>
      <c r="V696" s="189">
        <f>ROUND('T2 NSA'!F78,$D$695)</f>
        <v>0</v>
      </c>
      <c r="W696" s="189">
        <f>ROUND('T2 NSA'!G78,$D$695)</f>
        <v>0</v>
      </c>
      <c r="X696" s="889"/>
      <c r="Y696" s="889"/>
      <c r="Z696" s="889"/>
    </row>
    <row r="697" spans="1:26" outlineLevel="1">
      <c r="A697" s="894"/>
      <c r="B697" s="894"/>
      <c r="C697" s="907" t="s">
        <v>280</v>
      </c>
      <c r="D697" s="908"/>
      <c r="E697" s="889"/>
      <c r="F697" s="889"/>
      <c r="G697" s="889"/>
      <c r="H697" s="889"/>
      <c r="I697" s="889"/>
      <c r="J697" s="163"/>
      <c r="K697" s="163"/>
      <c r="L697" s="163"/>
      <c r="S697" s="189">
        <f>ROUND(SUM('T3 NSA'!D12,'T3 NSA'!D23,'T3 NSA'!D30,'T3 NSA'!D37,'T3 NSA'!D44,'T3 NSA'!D51,'T3 NSA'!D58,'T3 NSA'!D65,'T3 NSA'!D81,'T3 NSA'!D92,'T3 NSA'!D103,'T3 NSA'!D109,'T3 NSA'!D120,'T3 NSA'!D131,'T3 NSA'!D142,'T3 NSA'!D153,'T3 NSA'!D160,'T3 NSA'!D167),$D$695)</f>
        <v>78813.851999999999</v>
      </c>
      <c r="T697" s="189">
        <f>ROUND(SUM('T3 NSA'!D13,'T3 NSA'!D24,'T3 NSA'!D31,'T3 NSA'!D38,'T3 NSA'!D45,'T3 NSA'!D52,'T3 NSA'!D59,'T3 NSA'!D66,'T3 NSA'!D82,'T3 NSA'!D93,'T3 NSA'!D104,'T3 NSA'!D110,'T3 NSA'!D121,'T3 NSA'!D132,'T3 NSA'!D143,'T3 NSA'!D154,'T3 NSA'!D161,'T3 NSA'!D168),$D$695)</f>
        <v>-4863.9570000000003</v>
      </c>
      <c r="U697" s="189">
        <f>ROUND(SUM('T3 NSA'!D14,'T3 NSA'!D25,'T3 NSA'!D32,'T3 NSA'!D39,'T3 NSA'!D46,'T3 NSA'!D53,'T3 NSA'!D60,'T3 NSA'!D67,'T3 NSA'!D83,'T3 NSA'!D94,'T3 NSA'!D105,'T3 NSA'!D111,'T3 NSA'!D122,'T3 NSA'!D133,'T3 NSA'!D144,'T3 NSA'!D155,'T3 NSA'!D162,'T3 NSA'!D169),$D$695)</f>
        <v>-12286.071</v>
      </c>
      <c r="V697" s="189">
        <f>ROUND(SUM('T3 NSA'!D15,'T3 NSA'!D26,'T3 NSA'!D33,'T3 NSA'!D40,'T3 NSA'!D47,'T3 NSA'!D54,'T3 NSA'!D61,'T3 NSA'!D68,'T3 NSA'!D84,'T3 NSA'!D95,'T3 NSA'!D106,'T3 NSA'!D112,'T3 NSA'!D123,'T3 NSA'!D134,'T3 NSA'!D145,'T3 NSA'!D156,'T3 NSA'!D163,'T3 NSA'!D170),$D$695)</f>
        <v>-51205.788999999997</v>
      </c>
      <c r="W697" s="189">
        <f>ROUND(SUM('T3 NSA'!D16,'T3 NSA'!D27,'T3 NSA'!D34,'T3 NSA'!D41,'T3 NSA'!D48,'T3 NSA'!D55,'T3 NSA'!D62,'T3 NSA'!D69,'T3 NSA'!D85,'T3 NSA'!D96,'T3 NSA'!D107,'T3 NSA'!D113,'T3 NSA'!D124,'T3 NSA'!D135,'T3 NSA'!D146,'T3 NSA'!D157,'T3 NSA'!D164,'T3 NSA'!D171),$D$695)</f>
        <v>8676.2620000000006</v>
      </c>
      <c r="X697" s="889"/>
      <c r="Y697" s="889"/>
      <c r="Z697" s="889"/>
    </row>
    <row r="698" spans="1:26">
      <c r="A698" s="894" t="s">
        <v>205</v>
      </c>
      <c r="B698" s="894" t="s">
        <v>281</v>
      </c>
      <c r="C698" s="906" t="s">
        <v>282</v>
      </c>
      <c r="D698" s="881">
        <v>3</v>
      </c>
      <c r="E698" s="889"/>
      <c r="F698" s="889"/>
      <c r="G698" s="889"/>
      <c r="H698" s="889"/>
      <c r="I698" s="889"/>
      <c r="J698" s="163"/>
      <c r="K698" s="163"/>
      <c r="L698" s="163"/>
      <c r="S698" s="897" t="b">
        <f>ROUND('T2 NSA'!C19,$D$698)=ROUND('T3 NSA'!D12,$D$698)</f>
        <v>1</v>
      </c>
      <c r="T698" s="897" t="b">
        <f>ROUND('T2 NSA'!D19,$D$698)=ROUND('T3 NSA'!D13,$D$698)</f>
        <v>1</v>
      </c>
      <c r="U698" s="897" t="b">
        <f>ROUND('T2 NSA'!E19,$D$698)=ROUND('T3 NSA'!D14,$D$698)</f>
        <v>1</v>
      </c>
      <c r="V698" s="897" t="b">
        <f>ROUND('T2 NSA'!F19,$D$698)=ROUND('T3 NSA'!D15,$D$698)</f>
        <v>1</v>
      </c>
      <c r="W698" s="897" t="b">
        <f>ROUND('T2 NSA'!G19,$D$698)=ROUND('T3 NSA'!D16,$D$698)</f>
        <v>1</v>
      </c>
    </row>
    <row r="699" spans="1:26" outlineLevel="1">
      <c r="A699" s="894"/>
      <c r="B699" s="894"/>
      <c r="C699" s="907" t="s">
        <v>283</v>
      </c>
      <c r="D699" s="908"/>
      <c r="E699" s="889"/>
      <c r="F699" s="889"/>
      <c r="G699" s="889"/>
      <c r="H699" s="889"/>
      <c r="I699" s="889"/>
      <c r="J699" s="163"/>
      <c r="K699" s="163"/>
      <c r="L699" s="163"/>
      <c r="S699" s="189">
        <f>ROUND('T2 NSA'!C19,$D$698)</f>
        <v>0</v>
      </c>
      <c r="T699" s="189">
        <f>ROUND('T2 NSA'!D19,$D$698)</f>
        <v>0</v>
      </c>
      <c r="U699" s="189">
        <f>ROUND('T2 NSA'!E19,$D$698)</f>
        <v>0</v>
      </c>
      <c r="V699" s="189">
        <f>ROUND('T2 NSA'!F19,$D$698)</f>
        <v>0</v>
      </c>
      <c r="W699" s="189">
        <f>ROUND('T2 NSA'!G19,$D$698)</f>
        <v>0</v>
      </c>
    </row>
    <row r="700" spans="1:26" outlineLevel="1">
      <c r="A700" s="894"/>
      <c r="B700" s="894"/>
      <c r="C700" s="907" t="s">
        <v>284</v>
      </c>
      <c r="D700" s="908"/>
      <c r="E700" s="889"/>
      <c r="F700" s="889"/>
      <c r="G700" s="889"/>
      <c r="H700" s="889"/>
      <c r="I700" s="889"/>
      <c r="J700" s="163"/>
      <c r="K700" s="163"/>
      <c r="L700" s="163"/>
      <c r="S700" s="189">
        <f>ROUND('T3 NSA'!D12,$D$698)</f>
        <v>0</v>
      </c>
      <c r="T700" s="189">
        <f>ROUND('T3 NSA'!D13,$D$698)</f>
        <v>0</v>
      </c>
      <c r="U700" s="189">
        <f>ROUND('T3 NSA'!D14,$D$698)</f>
        <v>0</v>
      </c>
      <c r="V700" s="189">
        <f>ROUND('T3 NSA'!D15,$D$698)</f>
        <v>0</v>
      </c>
      <c r="W700" s="189">
        <f>ROUND('T3 NSA'!D16,$D$698)</f>
        <v>0</v>
      </c>
    </row>
    <row r="701" spans="1:26">
      <c r="A701" s="894" t="s">
        <v>213</v>
      </c>
      <c r="B701" s="894" t="s">
        <v>285</v>
      </c>
      <c r="C701" s="906" t="s">
        <v>286</v>
      </c>
      <c r="D701" s="881">
        <v>3</v>
      </c>
      <c r="E701" s="889"/>
      <c r="F701" s="889"/>
      <c r="G701" s="889"/>
      <c r="H701" s="889"/>
      <c r="I701" s="889"/>
      <c r="J701" s="163"/>
      <c r="K701" s="163"/>
      <c r="L701" s="163"/>
      <c r="S701" s="897" t="b">
        <f>ROUND('T2 NSA'!C28,$D$701)=ROUND('T3 NSA'!D30+'T3 NSA'!D37+'T3 NSA'!D44+'T3 NSA'!D51+'T3 NSA'!D58+'T3 NSA'!D65,$D$701)</f>
        <v>0</v>
      </c>
      <c r="T701" s="897" t="b">
        <f>ROUND('T2 NSA'!D28,$D$701)=ROUND('T3 NSA'!D31+'T3 NSA'!D38+'T3 NSA'!D45+'T3 NSA'!D52+'T3 NSA'!D59+'T3 NSA'!D66,$D$701)</f>
        <v>0</v>
      </c>
      <c r="U701" s="897" t="b">
        <f>ROUND('T2 NSA'!E28,$D$701)=ROUND('T3 NSA'!D32+'T3 NSA'!D39+'T3 NSA'!D46+'T3 NSA'!D53+'T3 NSA'!D60+'T3 NSA'!D67,$D$701)</f>
        <v>0</v>
      </c>
      <c r="V701" s="897" t="b">
        <f>ROUND('T2 NSA'!F28,$D$701)=ROUND('T3 NSA'!D33+'T3 NSA'!D40+'T3 NSA'!D47+'T3 NSA'!D54+'T3 NSA'!D61+'T3 NSA'!D68,$D$701)</f>
        <v>0</v>
      </c>
      <c r="W701" s="897" t="b">
        <f>ROUND('T2 NSA'!G28,$D$701)=ROUND('T3 NSA'!D34+'T3 NSA'!D41+'T3 NSA'!D48+'T3 NSA'!D55+'T3 NSA'!D62+'T3 NSA'!D69,$D$701)</f>
        <v>0</v>
      </c>
    </row>
    <row r="702" spans="1:26" outlineLevel="1">
      <c r="A702" s="894"/>
      <c r="B702" s="894"/>
      <c r="C702" s="907" t="s">
        <v>283</v>
      </c>
      <c r="D702" s="908"/>
      <c r="E702" s="889"/>
      <c r="F702" s="889"/>
      <c r="G702" s="889"/>
      <c r="H702" s="889"/>
      <c r="I702" s="889"/>
      <c r="J702" s="163"/>
      <c r="K702" s="163"/>
      <c r="L702" s="163"/>
      <c r="S702" s="189">
        <f>ROUND('T2 NSA'!C28,$D$701)</f>
        <v>-7519.6360000000004</v>
      </c>
      <c r="T702" s="189">
        <f>ROUND('T2 NSA'!D28,$D$701)</f>
        <v>-6608.9989999999998</v>
      </c>
      <c r="U702" s="189">
        <f>ROUND('T2 NSA'!E28,$D$701)</f>
        <v>0</v>
      </c>
      <c r="V702" s="189">
        <f>ROUND('T2 NSA'!F28,$D$701)</f>
        <v>0</v>
      </c>
      <c r="W702" s="189">
        <f>ROUND('T2 NSA'!G28,$D$701)</f>
        <v>0</v>
      </c>
    </row>
    <row r="703" spans="1:26" outlineLevel="1">
      <c r="A703" s="894"/>
      <c r="B703" s="894"/>
      <c r="C703" s="907" t="s">
        <v>284</v>
      </c>
      <c r="D703" s="908"/>
      <c r="E703" s="889"/>
      <c r="F703" s="889"/>
      <c r="G703" s="889"/>
      <c r="H703" s="889"/>
      <c r="I703" s="889"/>
      <c r="J703" s="163"/>
      <c r="K703" s="163"/>
      <c r="L703" s="163"/>
      <c r="S703" s="189">
        <f>ROUND('T3 NSA'!D30+'T3 NSA'!D37+'T3 NSA'!D44+'T3 NSA'!D51+'T3 NSA'!D58+'T3 NSA'!D65,$D$701)</f>
        <v>-3711.058</v>
      </c>
      <c r="T703" s="189">
        <f>ROUND('T3 NSA'!D31+'T3 NSA'!D38+'T3 NSA'!D45+'T3 NSA'!D52+'T3 NSA'!D59+'T3 NSA'!D66,$D$701)</f>
        <v>-3711.058</v>
      </c>
      <c r="U703" s="189">
        <f>ROUND('T3 NSA'!D32+'T3 NSA'!D39+'T3 NSA'!D46+'T3 NSA'!D53+'T3 NSA'!D60+'T3 NSA'!D67,$D$701)</f>
        <v>-3808.3130000000001</v>
      </c>
      <c r="V703" s="189">
        <f>ROUND('T3 NSA'!D33+'T3 NSA'!D40+'T3 NSA'!D47+'T3 NSA'!D54+'T3 NSA'!D61+'T3 NSA'!D68,$D$701)</f>
        <v>-6609.2650000000003</v>
      </c>
      <c r="W703" s="189">
        <f>ROUND('T3 NSA'!D34+'T3 NSA'!D41+'T3 NSA'!D48+'T3 NSA'!D55+'T3 NSA'!D62+'T3 NSA'!D69,$D$701)</f>
        <v>-10417.578</v>
      </c>
    </row>
    <row r="704" spans="1:26">
      <c r="A704" s="894" t="s">
        <v>210</v>
      </c>
      <c r="B704" s="894" t="s">
        <v>287</v>
      </c>
      <c r="C704" s="906" t="s">
        <v>288</v>
      </c>
      <c r="D704" s="881">
        <v>3</v>
      </c>
      <c r="E704" s="889"/>
      <c r="F704" s="889"/>
      <c r="G704" s="889"/>
      <c r="H704" s="889"/>
      <c r="I704" s="889"/>
      <c r="J704" s="163"/>
      <c r="K704" s="163"/>
      <c r="L704" s="163"/>
      <c r="S704" s="897" t="b">
        <f>ROUND('T2 NSA'!C41,$D$704)=ROUND('T3 NSA'!D23,$D$704)</f>
        <v>1</v>
      </c>
      <c r="T704" s="897" t="b">
        <f>ROUND('T2 NSA'!D41,$D$704)=ROUND('T3 NSA'!D24,$D$704)</f>
        <v>1</v>
      </c>
      <c r="U704" s="897" t="b">
        <f>ROUND('T2 NSA'!E41,$D$704)=ROUND('T3 NSA'!D25,$D$704)</f>
        <v>1</v>
      </c>
      <c r="V704" s="897" t="b">
        <f>ROUND('T2 NSA'!F41,$D$704)=ROUND('T3 NSA'!D26,$D$704)</f>
        <v>1</v>
      </c>
      <c r="W704" s="897" t="b">
        <f>ROUND('T2 NSA'!G41,$D$704)=ROUND('T3 NSA'!D27,$D$704)</f>
        <v>1</v>
      </c>
    </row>
    <row r="705" spans="1:23" outlineLevel="1">
      <c r="A705" s="894"/>
      <c r="B705" s="894"/>
      <c r="C705" s="907" t="s">
        <v>283</v>
      </c>
      <c r="D705" s="908"/>
      <c r="E705" s="889"/>
      <c r="F705" s="889"/>
      <c r="G705" s="889"/>
      <c r="H705" s="889"/>
      <c r="I705" s="889"/>
      <c r="J705" s="163"/>
      <c r="K705" s="163"/>
      <c r="L705" s="163"/>
      <c r="S705" s="189">
        <f>ROUND('T2 NSA'!C41,$D$704)</f>
        <v>0</v>
      </c>
      <c r="T705" s="189">
        <f>ROUND('T2 NSA'!D41,$D$704)</f>
        <v>0</v>
      </c>
      <c r="U705" s="189">
        <f>ROUND('T2 NSA'!E41,$D$704)</f>
        <v>0</v>
      </c>
      <c r="V705" s="189">
        <f>ROUND('T2 NSA'!F41,$D$704)</f>
        <v>0</v>
      </c>
      <c r="W705" s="189">
        <f>ROUND('T2 NSA'!G41,$D$704)</f>
        <v>0</v>
      </c>
    </row>
    <row r="706" spans="1:23" outlineLevel="1">
      <c r="A706" s="894"/>
      <c r="B706" s="894"/>
      <c r="C706" s="907" t="s">
        <v>284</v>
      </c>
      <c r="D706" s="908"/>
      <c r="E706" s="889"/>
      <c r="F706" s="889"/>
      <c r="G706" s="889"/>
      <c r="H706" s="889"/>
      <c r="I706" s="889"/>
      <c r="J706" s="163"/>
      <c r="K706" s="163"/>
      <c r="L706" s="163"/>
      <c r="S706" s="189">
        <f>ROUND('T3 NSA'!D23,$D$704)</f>
        <v>0</v>
      </c>
      <c r="T706" s="189">
        <f>ROUND('T3 NSA'!D24,$D$704)</f>
        <v>0</v>
      </c>
      <c r="U706" s="189">
        <f>ROUND('T3 NSA'!D25,$D$704)</f>
        <v>0</v>
      </c>
      <c r="V706" s="189">
        <f>ROUND('T3 NSA'!D26,$D$704)</f>
        <v>0</v>
      </c>
      <c r="W706" s="189">
        <f>ROUND('T3 NSA'!D27,$D$704)</f>
        <v>0</v>
      </c>
    </row>
    <row r="707" spans="1:23">
      <c r="A707" s="894" t="s">
        <v>222</v>
      </c>
      <c r="B707" s="894" t="s">
        <v>289</v>
      </c>
      <c r="C707" s="906" t="s">
        <v>290</v>
      </c>
      <c r="D707" s="881">
        <v>3</v>
      </c>
      <c r="E707" s="889"/>
      <c r="F707" s="889"/>
      <c r="G707" s="889"/>
      <c r="H707" s="889"/>
      <c r="I707" s="889"/>
      <c r="J707" s="163"/>
      <c r="K707" s="163"/>
      <c r="L707" s="163"/>
      <c r="S707" s="897" t="b">
        <f>ROUND('T2 NSA'!C46,$D$707)=ROUND('T3 NSA'!D103+'T3 NSA'!D109,$D$707)</f>
        <v>0</v>
      </c>
      <c r="T707" s="897" t="b">
        <f>ROUND('T2 NSA'!D46,$D$707)=ROUND('T3 NSA'!D104+'T3 NSA'!D110,$D$707)</f>
        <v>0</v>
      </c>
      <c r="U707" s="897" t="b">
        <f>ROUND('T2 NSA'!E46,$D$707)=ROUND('T3 NSA'!D105+'T3 NSA'!D111,$D$707)</f>
        <v>0</v>
      </c>
      <c r="V707" s="897" t="b">
        <f>ROUND('T2 NSA'!F46,$D$707)=ROUND('T3 NSA'!D106+'T3 NSA'!D112,$D$707)</f>
        <v>0</v>
      </c>
      <c r="W707" s="897" t="b">
        <f>ROUND('T2 NSA'!G46,$D$707)=ROUND('T3 NSA'!D107+'T3 NSA'!D113,$D$707)</f>
        <v>0</v>
      </c>
    </row>
    <row r="708" spans="1:23" outlineLevel="1">
      <c r="A708" s="894"/>
      <c r="B708" s="894"/>
      <c r="C708" s="907" t="s">
        <v>283</v>
      </c>
      <c r="D708" s="908"/>
      <c r="E708" s="889"/>
      <c r="F708" s="889"/>
      <c r="G708" s="889"/>
      <c r="H708" s="889"/>
      <c r="I708" s="889"/>
      <c r="J708" s="163"/>
      <c r="K708" s="163"/>
      <c r="L708" s="163"/>
      <c r="S708" s="189">
        <f>ROUND('T2 NSA'!C46,$D$707)</f>
        <v>41495.455000000002</v>
      </c>
      <c r="T708" s="189">
        <f>ROUND('T2 NSA'!D46,$D$707)</f>
        <v>41029.455000000002</v>
      </c>
      <c r="U708" s="189">
        <f>ROUND('T2 NSA'!E46,$D$707)</f>
        <v>0</v>
      </c>
      <c r="V708" s="189">
        <f>ROUND('T2 NSA'!F46,$D$707)</f>
        <v>0</v>
      </c>
      <c r="W708" s="189">
        <f>ROUND('T2 NSA'!G46,$D$707)</f>
        <v>0</v>
      </c>
    </row>
    <row r="709" spans="1:23" outlineLevel="1">
      <c r="A709" s="894"/>
      <c r="B709" s="894"/>
      <c r="C709" s="907" t="s">
        <v>284</v>
      </c>
      <c r="D709" s="908"/>
      <c r="E709" s="889"/>
      <c r="F709" s="889"/>
      <c r="G709" s="889"/>
      <c r="H709" s="889"/>
      <c r="I709" s="889"/>
      <c r="J709" s="163"/>
      <c r="K709" s="163"/>
      <c r="L709" s="163"/>
      <c r="S709" s="189">
        <f>ROUND('T3 NSA'!D103+'T3 NSA'!D109,$D$707)</f>
        <v>0</v>
      </c>
      <c r="T709" s="189">
        <f>ROUND('T3 NSA'!D104+'T3 NSA'!D110,$D$707)</f>
        <v>-1152.8989999999999</v>
      </c>
      <c r="U709" s="189">
        <f>ROUND('T3 NSA'!D105+'T3 NSA'!D111,$D$707)</f>
        <v>-369.83499999999998</v>
      </c>
      <c r="V709" s="189">
        <f>ROUND('T3 NSA'!D106+'T3 NSA'!D112,$D$707)</f>
        <v>-4006.19</v>
      </c>
      <c r="W709" s="189">
        <f>ROUND('T3 NSA'!D107+'T3 NSA'!D113,$D$707)</f>
        <v>-5528.924</v>
      </c>
    </row>
    <row r="710" spans="1:23">
      <c r="A710" s="894" t="s">
        <v>216</v>
      </c>
      <c r="B710" s="894" t="s">
        <v>291</v>
      </c>
      <c r="C710" s="906" t="s">
        <v>292</v>
      </c>
      <c r="D710" s="881">
        <v>3</v>
      </c>
      <c r="E710" s="889"/>
      <c r="F710" s="889"/>
      <c r="G710" s="889"/>
      <c r="H710" s="889"/>
      <c r="I710" s="889"/>
      <c r="J710" s="163"/>
      <c r="K710" s="163"/>
      <c r="L710" s="163"/>
      <c r="S710" s="897" t="b">
        <f>ROUND('T2 NSA'!C54,$D$710)=ROUND('T3 NSA'!D81,$D$710)</f>
        <v>1</v>
      </c>
      <c r="T710" s="897" t="b">
        <f>ROUND('T2 NSA'!D54,$D$710)=ROUND('T3 NSA'!D82,$D$710)</f>
        <v>1</v>
      </c>
      <c r="U710" s="897" t="b">
        <f>ROUND('T2 NSA'!E54,$D$710)=ROUND('T3 NSA'!D83,$D$710)</f>
        <v>1</v>
      </c>
      <c r="V710" s="897" t="b">
        <f>ROUND('T2 NSA'!F54,$D$710)=ROUND('T3 NSA'!D84,$D$710)</f>
        <v>1</v>
      </c>
      <c r="W710" s="897" t="b">
        <f>ROUND('T2 NSA'!G54,$D$710)=ROUND('T3 NSA'!D85,$D$710)</f>
        <v>1</v>
      </c>
    </row>
    <row r="711" spans="1:23" outlineLevel="1">
      <c r="A711" s="894"/>
      <c r="B711" s="894"/>
      <c r="C711" s="907" t="s">
        <v>283</v>
      </c>
      <c r="D711" s="908"/>
      <c r="E711" s="889"/>
      <c r="F711" s="889"/>
      <c r="G711" s="889"/>
      <c r="H711" s="889"/>
      <c r="I711" s="889"/>
      <c r="J711" s="163"/>
      <c r="K711" s="163"/>
      <c r="L711" s="163"/>
      <c r="S711" s="189">
        <f>ROUND('T2 NSA'!C54,$D$710)</f>
        <v>0</v>
      </c>
      <c r="T711" s="189">
        <f>ROUND('T2 NSA'!D54,$D$710)</f>
        <v>0</v>
      </c>
      <c r="U711" s="189">
        <f>ROUND('T2 NSA'!E54,$D$710)</f>
        <v>0</v>
      </c>
      <c r="V711" s="189">
        <f>ROUND('T2 NSA'!F54,$D$710)</f>
        <v>0</v>
      </c>
      <c r="W711" s="189">
        <f>ROUND('T2 NSA'!G54,$D$710)</f>
        <v>0</v>
      </c>
    </row>
    <row r="712" spans="1:23" outlineLevel="1">
      <c r="A712" s="894"/>
      <c r="B712" s="894"/>
      <c r="C712" s="907" t="s">
        <v>284</v>
      </c>
      <c r="D712" s="908"/>
      <c r="E712" s="889"/>
      <c r="F712" s="889"/>
      <c r="G712" s="889"/>
      <c r="H712" s="889"/>
      <c r="I712" s="889"/>
      <c r="J712" s="163"/>
      <c r="K712" s="163"/>
      <c r="L712" s="163"/>
      <c r="S712" s="189">
        <f>ROUND('T3 NSA'!D81,$D$710)</f>
        <v>0</v>
      </c>
      <c r="T712" s="189">
        <f>ROUND('T3 NSA'!D82,$D$710)</f>
        <v>0</v>
      </c>
      <c r="U712" s="189">
        <f>ROUND('T3 NSA'!D83,$D$710)</f>
        <v>0</v>
      </c>
      <c r="V712" s="189">
        <f>ROUND('T3 NSA'!D84,$D$710)</f>
        <v>0</v>
      </c>
      <c r="W712" s="189">
        <f>ROUND('T3 NSA'!D85,$D$710)</f>
        <v>0</v>
      </c>
    </row>
    <row r="713" spans="1:23">
      <c r="A713" s="894" t="s">
        <v>219</v>
      </c>
      <c r="B713" s="894" t="s">
        <v>293</v>
      </c>
      <c r="C713" s="906" t="s">
        <v>294</v>
      </c>
      <c r="D713" s="881">
        <v>3</v>
      </c>
      <c r="E713" s="889"/>
      <c r="F713" s="889"/>
      <c r="G713" s="889"/>
      <c r="H713" s="889"/>
      <c r="I713" s="889"/>
      <c r="J713" s="163"/>
      <c r="K713" s="163"/>
      <c r="L713" s="163"/>
      <c r="S713" s="897" t="b">
        <f>ROUND('T2 NSA'!C59,$D$713)=ROUND('T3 NSA'!D92,$D$713)</f>
        <v>1</v>
      </c>
      <c r="T713" s="897" t="b">
        <f>ROUND('T2 NSA'!D59,$D$713)=ROUND('T3 NSA'!D93,$D$713)</f>
        <v>1</v>
      </c>
      <c r="U713" s="897" t="b">
        <f>ROUND('T2 NSA'!E59,$D$713)=ROUND('T3 NSA'!D94,$D$713)</f>
        <v>1</v>
      </c>
      <c r="V713" s="897" t="b">
        <f>ROUND('T2 NSA'!F59,$D$713)=ROUND('T3 NSA'!D95,$D$713)</f>
        <v>1</v>
      </c>
      <c r="W713" s="897" t="b">
        <f>ROUND('T2 NSA'!G59,$D$713)=ROUND('T3 NSA'!D96,$D$713)</f>
        <v>1</v>
      </c>
    </row>
    <row r="714" spans="1:23" outlineLevel="1">
      <c r="A714" s="894"/>
      <c r="B714" s="894"/>
      <c r="C714" s="907" t="s">
        <v>283</v>
      </c>
      <c r="D714" s="908"/>
      <c r="E714" s="889"/>
      <c r="F714" s="889"/>
      <c r="G714" s="889"/>
      <c r="H714" s="889"/>
      <c r="I714" s="889"/>
      <c r="J714" s="163"/>
      <c r="K714" s="163"/>
      <c r="L714" s="163"/>
      <c r="S714" s="189">
        <f>ROUND('T2 NSA'!C59,$D$713)</f>
        <v>0</v>
      </c>
      <c r="T714" s="189">
        <f>ROUND('T2 NSA'!D59,$D$713)</f>
        <v>0</v>
      </c>
      <c r="U714" s="189">
        <f>ROUND('T2 NSA'!E59,$D$713)</f>
        <v>0</v>
      </c>
      <c r="V714" s="189">
        <f>ROUND('T2 NSA'!F59,$D$713)</f>
        <v>0</v>
      </c>
      <c r="W714" s="189">
        <f>ROUND('T2 NSA'!G59,$D$713)</f>
        <v>0</v>
      </c>
    </row>
    <row r="715" spans="1:23" outlineLevel="1">
      <c r="A715" s="894"/>
      <c r="B715" s="894"/>
      <c r="C715" s="907" t="s">
        <v>284</v>
      </c>
      <c r="D715" s="908"/>
      <c r="E715" s="889"/>
      <c r="F715" s="889"/>
      <c r="G715" s="889"/>
      <c r="H715" s="889"/>
      <c r="I715" s="889"/>
      <c r="J715" s="163"/>
      <c r="K715" s="163"/>
      <c r="L715" s="163"/>
      <c r="S715" s="189">
        <f>ROUND('T3 NSA'!D92,$D$713)</f>
        <v>0</v>
      </c>
      <c r="T715" s="189">
        <f>ROUND('T3 NSA'!D93,$D$713)</f>
        <v>0</v>
      </c>
      <c r="U715" s="189">
        <f>ROUND('T3 NSA'!D94,$D$713)</f>
        <v>0</v>
      </c>
      <c r="V715" s="189">
        <f>ROUND('T3 NSA'!D95,$D$713)</f>
        <v>0</v>
      </c>
      <c r="W715" s="189">
        <f>ROUND('T3 NSA'!D96,$D$713)</f>
        <v>0</v>
      </c>
    </row>
    <row r="716" spans="1:23">
      <c r="A716" s="894" t="s">
        <v>231</v>
      </c>
      <c r="B716" s="894" t="s">
        <v>295</v>
      </c>
      <c r="C716" s="906" t="s">
        <v>296</v>
      </c>
      <c r="D716" s="881">
        <v>3</v>
      </c>
      <c r="E716" s="889"/>
      <c r="F716" s="889"/>
      <c r="G716" s="889"/>
      <c r="H716" s="889"/>
      <c r="I716" s="889"/>
      <c r="J716" s="163"/>
      <c r="K716" s="163"/>
      <c r="L716" s="163"/>
      <c r="S716" s="897" t="b">
        <f>ROUND('T2 NSA'!C63,$D$716)=ROUND('T3 NSA'!D160,$D$716)</f>
        <v>0</v>
      </c>
      <c r="T716" s="897" t="b">
        <f>ROUND('T2 NSA'!D63,$D$716)=ROUND('T3 NSA'!D161,$D$716)</f>
        <v>1</v>
      </c>
      <c r="U716" s="897" t="b">
        <f>ROUND('T2 NSA'!E63,$D$716)=ROUND('T3 NSA'!D162,$D$716)</f>
        <v>1</v>
      </c>
      <c r="V716" s="897" t="b">
        <f>ROUND('T2 NSA'!F63,$D$716)=ROUND('T3 NSA'!D163,$D$716)</f>
        <v>1</v>
      </c>
      <c r="W716" s="897" t="b">
        <f>ROUND('T2 NSA'!G63,$D$716)=ROUND('T3 NSA'!D164,$D$716)</f>
        <v>1</v>
      </c>
    </row>
    <row r="717" spans="1:23" outlineLevel="1">
      <c r="A717" s="894"/>
      <c r="B717" s="894"/>
      <c r="C717" s="907" t="s">
        <v>283</v>
      </c>
      <c r="D717" s="908"/>
      <c r="E717" s="889"/>
      <c r="F717" s="889"/>
      <c r="G717" s="889"/>
      <c r="H717" s="889"/>
      <c r="I717" s="889"/>
      <c r="J717" s="163"/>
      <c r="K717" s="163"/>
      <c r="L717" s="163"/>
      <c r="S717" s="189">
        <f>ROUND('T2 NSA'!C63,$D$716)</f>
        <v>0</v>
      </c>
      <c r="T717" s="189">
        <f>ROUND('T2 NSA'!D63,$D$716)</f>
        <v>0</v>
      </c>
      <c r="U717" s="189">
        <f>ROUND('T2 NSA'!E63,$D$716)</f>
        <v>0</v>
      </c>
      <c r="V717" s="189">
        <f>ROUND('T2 NSA'!F63,$D$716)</f>
        <v>0</v>
      </c>
      <c r="W717" s="189">
        <f>ROUND('T2 NSA'!G63,$D$716)</f>
        <v>0</v>
      </c>
    </row>
    <row r="718" spans="1:23" outlineLevel="1">
      <c r="A718" s="894"/>
      <c r="B718" s="894"/>
      <c r="C718" s="907" t="s">
        <v>284</v>
      </c>
      <c r="D718" s="908"/>
      <c r="E718" s="889"/>
      <c r="F718" s="889"/>
      <c r="G718" s="889"/>
      <c r="H718" s="889"/>
      <c r="I718" s="889"/>
      <c r="J718" s="163"/>
      <c r="K718" s="163"/>
      <c r="L718" s="163"/>
      <c r="S718" s="189">
        <f>ROUND('T3 NSA'!D160,$D$716)</f>
        <v>82524.91</v>
      </c>
      <c r="T718" s="189">
        <f>ROUND('T3 NSA'!D161,$D$716)</f>
        <v>0</v>
      </c>
      <c r="U718" s="189">
        <f>ROUND('T3 NSA'!D162,$D$716)</f>
        <v>0</v>
      </c>
      <c r="V718" s="189">
        <f>ROUND('T3 NSA'!D163,$D$716)</f>
        <v>0</v>
      </c>
      <c r="W718" s="189">
        <f>ROUND('T3 NSA'!D164,$D$716)</f>
        <v>0</v>
      </c>
    </row>
    <row r="719" spans="1:23">
      <c r="A719" s="894" t="s">
        <v>297</v>
      </c>
      <c r="B719" s="894" t="s">
        <v>298</v>
      </c>
      <c r="C719" s="906" t="s">
        <v>299</v>
      </c>
      <c r="D719" s="881">
        <v>3</v>
      </c>
      <c r="E719" s="889"/>
      <c r="F719" s="889"/>
      <c r="G719" s="889"/>
      <c r="H719" s="889"/>
      <c r="I719" s="889"/>
      <c r="J719" s="163"/>
      <c r="K719" s="163"/>
      <c r="L719" s="163"/>
      <c r="S719" s="897" t="b">
        <f>ROUND('T2 NSA'!C66,$D$719)=ROUND('T3 NSA'!D167,$D$719)</f>
        <v>1</v>
      </c>
      <c r="T719" s="897" t="b">
        <f>ROUND('T2 NSA'!D66,$D$719)=ROUND('T3 NSA'!D168,$D$719)</f>
        <v>1</v>
      </c>
      <c r="U719" s="897" t="b">
        <f>ROUND('T2 NSA'!E66,$D$719)=ROUND('T3 NSA'!D169,$D$719)</f>
        <v>1</v>
      </c>
      <c r="V719" s="897" t="b">
        <f>ROUND('T2 NSA'!F66,$D$719)=ROUND('T3 NSA'!D170,$D$719)</f>
        <v>1</v>
      </c>
      <c r="W719" s="897" t="b">
        <f>ROUND('T2 NSA'!G66,$D$719)=ROUND('T3 NSA'!D171,$D$719)</f>
        <v>1</v>
      </c>
    </row>
    <row r="720" spans="1:23" outlineLevel="1">
      <c r="A720" s="894"/>
      <c r="B720" s="894"/>
      <c r="C720" s="907" t="s">
        <v>283</v>
      </c>
      <c r="D720" s="908"/>
      <c r="E720" s="889"/>
      <c r="F720" s="889"/>
      <c r="G720" s="889"/>
      <c r="H720" s="889"/>
      <c r="I720" s="889"/>
      <c r="J720" s="163"/>
      <c r="K720" s="163"/>
      <c r="L720" s="163"/>
      <c r="S720" s="189">
        <f>ROUND('T2 NSA'!C66,$D$719)</f>
        <v>0</v>
      </c>
      <c r="T720" s="189">
        <f>ROUND('T2 NSA'!D66,$D$719)</f>
        <v>0</v>
      </c>
      <c r="U720" s="189">
        <f>ROUND('T2 NSA'!E66,$D$719)</f>
        <v>0</v>
      </c>
      <c r="V720" s="189">
        <f>ROUND('T2 NSA'!F66,$D$719)</f>
        <v>0</v>
      </c>
      <c r="W720" s="189">
        <f>ROUND('T2 NSA'!G66,$D$719)</f>
        <v>0</v>
      </c>
    </row>
    <row r="721" spans="1:23" outlineLevel="1">
      <c r="A721" s="894"/>
      <c r="B721" s="894"/>
      <c r="C721" s="907" t="s">
        <v>284</v>
      </c>
      <c r="D721" s="908"/>
      <c r="E721" s="889"/>
      <c r="F721" s="889"/>
      <c r="G721" s="889"/>
      <c r="H721" s="889"/>
      <c r="I721" s="889"/>
      <c r="J721" s="163"/>
      <c r="K721" s="163"/>
      <c r="L721" s="163"/>
      <c r="S721" s="189">
        <f>ROUND('T3 NSA'!D167,$D$719)</f>
        <v>0</v>
      </c>
      <c r="T721" s="189">
        <f>ROUND('T3 NSA'!D168,$D$719)</f>
        <v>0</v>
      </c>
      <c r="U721" s="189">
        <f>ROUND('T3 NSA'!D169,$D$719)</f>
        <v>0</v>
      </c>
      <c r="V721" s="189">
        <f>ROUND('T3 NSA'!D170,$D$719)</f>
        <v>0</v>
      </c>
      <c r="W721" s="189">
        <f>ROUND('T3 NSA'!D171,$D$719)</f>
        <v>0</v>
      </c>
    </row>
    <row r="722" spans="1:23">
      <c r="A722" s="894" t="s">
        <v>300</v>
      </c>
      <c r="B722" s="894" t="s">
        <v>301</v>
      </c>
      <c r="C722" s="906" t="s">
        <v>302</v>
      </c>
      <c r="D722" s="881">
        <v>3</v>
      </c>
      <c r="E722" s="889"/>
      <c r="F722" s="889"/>
      <c r="G722" s="889"/>
      <c r="H722" s="889"/>
      <c r="I722" s="889"/>
      <c r="J722" s="163"/>
      <c r="K722" s="163"/>
      <c r="L722" s="163"/>
      <c r="S722" s="897" t="b">
        <f>ROUND('T2 NSA'!C73,$D$722)=ROUND('T3 NSA'!D120+'T3 NSA'!D131+'T3 NSA'!D142+'T3 NSA'!D160,$D$722)</f>
        <v>0</v>
      </c>
      <c r="T722" s="897" t="b">
        <f>ROUND('T2 NSA'!D73,$D$722)=ROUND('T3 NSA'!D121+'T3 NSA'!D132+'T3 NSA'!D143+'T3 NSA'!D161,$D$722)</f>
        <v>1</v>
      </c>
      <c r="U722" s="897" t="b">
        <f>ROUND('T2 NSA'!E73,$D$722)=ROUND('T3 NSA'!D122+'T3 NSA'!D133+'T3 NSA'!D144+'T3 NSA'!D162,$D$722)</f>
        <v>0</v>
      </c>
      <c r="V722" s="897" t="b">
        <f>ROUND('T2 NSA'!F73,$D$722)=ROUND('T3 NSA'!D123+'T3 NSA'!D134+'T3 NSA'!D145+'T3 NSA'!D163,$D$722)</f>
        <v>0</v>
      </c>
      <c r="W722" s="897" t="b">
        <f>ROUND('T2 NSA'!G73,$D$722)=ROUND('T3 NSA'!D124+'T3 NSA'!D135+'T3 NSA'!D146+'T3 NSA'!D164,$D$722)</f>
        <v>0</v>
      </c>
    </row>
    <row r="723" spans="1:23" outlineLevel="1">
      <c r="A723" s="894"/>
      <c r="B723" s="894"/>
      <c r="C723" s="907" t="s">
        <v>283</v>
      </c>
      <c r="D723" s="908"/>
      <c r="E723" s="889"/>
      <c r="F723" s="889"/>
      <c r="G723" s="889"/>
      <c r="H723" s="889"/>
      <c r="I723" s="889"/>
      <c r="J723" s="163"/>
      <c r="K723" s="163"/>
      <c r="L723" s="163"/>
      <c r="S723" s="189">
        <f>ROUND('T2 NSA'!C73,$D$722)</f>
        <v>0</v>
      </c>
      <c r="T723" s="189">
        <f>ROUND('T2 NSA'!D73,$D$722)</f>
        <v>0</v>
      </c>
      <c r="U723" s="189">
        <f>ROUND('T2 NSA'!E73,$D$722)</f>
        <v>0</v>
      </c>
      <c r="V723" s="189">
        <f>ROUND('T2 NSA'!F73,$D$722)</f>
        <v>0</v>
      </c>
      <c r="W723" s="189">
        <f>ROUND('T2 NSA'!G73,$D$722)</f>
        <v>0</v>
      </c>
    </row>
    <row r="724" spans="1:23" outlineLevel="1">
      <c r="A724" s="894"/>
      <c r="B724" s="894"/>
      <c r="C724" s="907" t="s">
        <v>284</v>
      </c>
      <c r="D724" s="908"/>
      <c r="E724" s="889"/>
      <c r="F724" s="889"/>
      <c r="G724" s="889"/>
      <c r="H724" s="889"/>
      <c r="I724" s="889"/>
      <c r="J724" s="163"/>
      <c r="K724" s="163"/>
      <c r="L724" s="163"/>
      <c r="S724" s="189">
        <f>ROUND('T3 NSA'!D120+'T3 NSA'!D131+'T3 NSA'!D142+'T3 NSA'!D160,$D$722)</f>
        <v>82524.91</v>
      </c>
      <c r="T724" s="189">
        <f>ROUND('T3 NSA'!D121+'T3 NSA'!D132+'T3 NSA'!D143+'T3 NSA'!D161,$D$722)</f>
        <v>0</v>
      </c>
      <c r="U724" s="189">
        <f>ROUND('T3 NSA'!D122+'T3 NSA'!D133+'T3 NSA'!D144+'T3 NSA'!D162,$D$722)</f>
        <v>-8107.9229999999998</v>
      </c>
      <c r="V724" s="189">
        <f>ROUND('T3 NSA'!D123+'T3 NSA'!D134+'T3 NSA'!D145+'T3 NSA'!D163,$D$722)</f>
        <v>-8764.768</v>
      </c>
      <c r="W724" s="189">
        <f>ROUND('T3 NSA'!D124+'T3 NSA'!D135+'T3 NSA'!D146+'T3 NSA'!D164,$D$722)</f>
        <v>-16872.690999999999</v>
      </c>
    </row>
    <row r="725" spans="1:23" s="889" customFormat="1">
      <c r="A725" s="894" t="s">
        <v>303</v>
      </c>
      <c r="B725" s="894" t="s">
        <v>304</v>
      </c>
      <c r="C725" s="895" t="s">
        <v>305</v>
      </c>
      <c r="D725" s="908"/>
      <c r="L725" s="163"/>
      <c r="M725" s="163"/>
      <c r="R725" s="163"/>
      <c r="S725" s="897" t="b">
        <f>SUM('T3 NSA'!$E$10,'T3 NSA'!$E$12:$E$16,'T3 NSA'!$E$21,'T3 NSA'!$E$23:$E$27,'T3 NSA'!$E$30:$E$34,'T3 NSA'!$E$37:$E$41,'T3 NSA'!$E$44:$E$48,'T3 NSA'!$E$51:$E$55,'T3 NSA'!$E$58:$E$62,'T3 NSA'!$E$65:$E$69,'T3 NSA'!$E$74,'T3 NSA'!$E$79,'T3 NSA'!$E$81:$E$85,'T3 NSA'!$E$90,'T3 NSA'!$E$92:$E$96,'T3 NSA'!$E$101,'T3 NSA'!$E$103:$E$107,'T3 NSA'!$E$109:$E$113)=0</f>
        <v>0</v>
      </c>
      <c r="T725" s="897" t="b">
        <f>SUM('T3 NSA'!$F$12:$F$16,'T3 NSA'!$F$23:$F$27,'T3 NSA'!$F$30:$F$34,'T3 NSA'!$F$37:$F$41,'T3 NSA'!$F$44:$F$48,'T3 NSA'!$F$51:$F$55,'T3 NSA'!$F$58:$F$62,'T3 NSA'!$F$65:$F$69,'T3 NSA'!$F$81:$F$85,'T3 NSA'!$F$92:$F$96,'T3 NSA'!$F$103:$F$107,'T3 NSA'!$F$109:$F$113)=0</f>
        <v>0</v>
      </c>
      <c r="U725" s="897" t="b">
        <f>SUM('T3 NSA'!$G$13:$G$16,'T3 NSA'!$G$24:$G$27,'T3 NSA'!$G$31:$G$34,'T3 NSA'!$G$38:$G$41,'T3 NSA'!$G$45:$G$48,'T3 NSA'!$G$52:$G$55,'T3 NSA'!$G$59:$G$62,'T3 NSA'!$G$66:$G$69,'T3 NSA'!$G$82:$G$85,'T3 NSA'!$G$93:$G$96,'T3 NSA'!$G$104:$G$107,'T3 NSA'!$G$110:$G$113)=0</f>
        <v>0</v>
      </c>
      <c r="V725" s="897" t="b">
        <f>SUM('T3 NSA'!$H$14:$H$16,'T3 NSA'!$H$25:$H$27,'T3 NSA'!$H$32:$H$34,'T3 NSA'!$H$39:$H$41,'T3 NSA'!$H$46:$H$48,'T3 NSA'!$H$53:$H$55,'T3 NSA'!$H$60:$H$62,'T3 NSA'!$H$67:$H$69,'T3 NSA'!$H$83:$H$85,'T3 NSA'!$H$94:$H$96,'T3 NSA'!$H$105:$H$107,'T3 NSA'!$H$111:$H$113)=0</f>
        <v>0</v>
      </c>
      <c r="W725" s="897" t="b">
        <f>SUM('T3 NSA'!$I$15:$I$16,'T3 NSA'!$I$26:$I$27,'T3 NSA'!$I$33:$I$34,'T3 NSA'!$I$40:$I$41,'T3 NSA'!$I$47:$I$48,'T3 NSA'!$I$54:$I$55,'T3 NSA'!$I$61:$I$62,'T3 NSA'!$I$68:$I$69,'T3 NSA'!$I$84:$I$85,'T3 NSA'!$I$95:$I$96,'T3 NSA'!$I$106:$I$107,'T3 NSA'!$I$112:$I$113)=0</f>
        <v>1</v>
      </c>
    </row>
    <row r="726" spans="1:23" outlineLevel="1">
      <c r="A726" s="894"/>
      <c r="B726" s="894"/>
      <c r="C726" s="898" t="s">
        <v>306</v>
      </c>
      <c r="D726" s="908"/>
      <c r="J726" s="163"/>
      <c r="K726" s="163"/>
      <c r="L726" s="163"/>
      <c r="S726" s="189">
        <f>SUM('T3 NSA'!$E$10,'T3 NSA'!$E$12:$E$16,'T3 NSA'!$E$21,'T3 NSA'!$E$23:$E$27,'T3 NSA'!$E$30:$E$34,'T3 NSA'!$E$37:$E$41,'T3 NSA'!$E$44:$E$48,'T3 NSA'!$E$51:$E$55,'T3 NSA'!$E$58:$E$62,'T3 NSA'!$E$65:$E$69,'T3 NSA'!$E$74,'T3 NSA'!$E$79,'T3 NSA'!$E$81:$E$85,'T3 NSA'!$E$90,'T3 NSA'!$E$92:$E$96,'T3 NSA'!$E$101,'T3 NSA'!$E$103:$E$107,'T3 NSA'!$E$109:$E$113)</f>
        <v>-1453</v>
      </c>
      <c r="T726" s="189">
        <f>SUM('T3 NSA'!$F$12:$F$16,'T3 NSA'!$F$23:$F$27,'T3 NSA'!$F$30:$F$34,'T3 NSA'!$F$37:$F$41,'T3 NSA'!$F$44:$F$48,'T3 NSA'!$F$51:$F$55,'T3 NSA'!$F$58:$F$62,'T3 NSA'!$F$65:$F$69,'T3 NSA'!$F$81:$F$85,'T3 NSA'!$F$92:$F$96,'T3 NSA'!$F$103:$F$107,'T3 NSA'!$F$109:$F$113)</f>
        <v>-11057.848118955062</v>
      </c>
      <c r="U726" s="189">
        <f>SUM('T3 NSA'!$G$13:$G$16,'T3 NSA'!$G$24:$G$27,'T3 NSA'!$G$31:$G$34,'T3 NSA'!$G$38:$G$41,'T3 NSA'!$G$45:$G$48,'T3 NSA'!$G$52:$G$55,'T3 NSA'!$G$59:$G$62,'T3 NSA'!$G$66:$G$69,'T3 NSA'!$G$82:$G$85,'T3 NSA'!$G$93:$G$96,'T3 NSA'!$G$104:$G$107,'T3 NSA'!$G$110:$G$113)</f>
        <v>-11327.94938476161</v>
      </c>
      <c r="V726" s="189">
        <f>SUM('T3 NSA'!$H$14:$H$16,'T3 NSA'!$H$25:$H$27,'T3 NSA'!$H$32:$H$34,'T3 NSA'!$H$39:$H$41,'T3 NSA'!$H$46:$H$48,'T3 NSA'!$H$53:$H$55,'T3 NSA'!$H$60:$H$62,'T3 NSA'!$H$67:$H$69,'T3 NSA'!$H$83:$H$85,'T3 NSA'!$H$94:$H$96,'T3 NSA'!$H$105:$H$107,'T3 NSA'!$H$111:$H$113)</f>
        <v>-13218.529591004015</v>
      </c>
      <c r="W726" s="189">
        <f>SUM('T3 NSA'!$I$15:$I$16,'T3 NSA'!$I$26:$I$27,'T3 NSA'!$I$33:$I$34,'T3 NSA'!$I$40:$I$41,'T3 NSA'!$I$47:$I$48,'T3 NSA'!$I$54:$I$55,'T3 NSA'!$I$61:$I$62,'T3 NSA'!$I$68:$I$69,'T3 NSA'!$I$84:$I$85,'T3 NSA'!$I$95:$I$96,'T3 NSA'!$I$106:$I$107,'T3 NSA'!$I$112:$I$113)</f>
        <v>0</v>
      </c>
    </row>
    <row r="727" spans="1:23">
      <c r="A727" s="894" t="s">
        <v>307</v>
      </c>
      <c r="B727" s="894" t="s">
        <v>308</v>
      </c>
      <c r="C727" s="895" t="s">
        <v>309</v>
      </c>
      <c r="D727" s="881">
        <v>3</v>
      </c>
      <c r="J727" s="163"/>
      <c r="K727" s="163"/>
      <c r="L727" s="163"/>
      <c r="S727" s="897" t="b">
        <f>ROUND(SUM('T3 NSA'!E72:E73),$D$727)=0</f>
        <v>1</v>
      </c>
    </row>
    <row r="728" spans="1:23" outlineLevel="1">
      <c r="A728" s="894"/>
      <c r="B728" s="894"/>
      <c r="C728" s="898" t="s">
        <v>310</v>
      </c>
      <c r="D728" s="908"/>
      <c r="J728" s="163"/>
      <c r="K728" s="163"/>
      <c r="L728" s="163"/>
      <c r="S728" s="189">
        <f>ROUND(SUM('T3 NSA'!E72:E73),$D$727)</f>
        <v>0</v>
      </c>
    </row>
    <row r="729" spans="1:23" outlineLevel="1">
      <c r="A729" s="894"/>
      <c r="B729" s="894"/>
      <c r="C729" s="898" t="s">
        <v>311</v>
      </c>
      <c r="D729" s="908"/>
      <c r="J729" s="163"/>
      <c r="K729" s="163"/>
      <c r="L729" s="163"/>
      <c r="S729" s="189">
        <f>0</f>
        <v>0</v>
      </c>
    </row>
    <row r="730" spans="1:23" s="209" customFormat="1">
      <c r="A730" s="207"/>
      <c r="B730" s="208"/>
      <c r="D730" s="210"/>
      <c r="E730" s="210"/>
      <c r="F730" s="210"/>
      <c r="G730" s="210"/>
      <c r="H730" s="210"/>
      <c r="I730" s="210"/>
      <c r="J730" s="210"/>
      <c r="K730" s="210"/>
      <c r="L730" s="210"/>
      <c r="R730" s="163"/>
    </row>
  </sheetData>
  <mergeCells count="13">
    <mergeCell ref="S8:W8"/>
    <mergeCell ref="A172:C173"/>
    <mergeCell ref="S172:W172"/>
    <mergeCell ref="A6:B6"/>
    <mergeCell ref="A1:C1"/>
    <mergeCell ref="A2:B2"/>
    <mergeCell ref="A3:B3"/>
    <mergeCell ref="A4:B4"/>
    <mergeCell ref="A5:B5"/>
    <mergeCell ref="A7:B7"/>
    <mergeCell ref="A9:C9"/>
    <mergeCell ref="M8:Q8"/>
    <mergeCell ref="E8:L8"/>
  </mergeCells>
  <conditionalFormatting sqref="E14:Q14 E17:Q17 E20:Q20 E11:Q11 F28:Q28 E73:Q73 E35:Q35 E41:Q41 E55:Q55 E52:Q52 E61:Q61 E58:Q58 E89:Q89 E86:Q86 E83:Q83 E38:Q38 F46:Q46 E100:Q100 E109:Q109 E106:Q106 E103:Q103 F94:Q94 E151:Q151 E154:Q154 E157:Q157 E118:Q118 E97:Q97 E64:Q64 E160:Q160 E166:Q166 E49:Q49 E112:Q112 F25:Q25 S28:T28 S11:T11 S20:T20 S17:T17 S14:T14 S112:T112 S49:T49 S166:T166 S160:T160 S64:T64 S97:T97 S118:T118 S157:T157 S154:T154 S151:T151 S94:T94 S103:T103 S106:T106 S109:T109 S100:T100 S46:T46 S38:T38 S83:T83 S86:T86 S89:T89 S58:T58 S61:T61 S52:T52 S55:T55 S41:T41 S35:T35 S73:T73 S25:T25">
    <cfRule type="containsErrors" dxfId="764" priority="757" stopIfTrue="1">
      <formula>ISERROR(E11)</formula>
    </cfRule>
    <cfRule type="expression" dxfId="763" priority="762" stopIfTrue="1">
      <formula>OR(E12=0,E13=0)</formula>
    </cfRule>
    <cfRule type="cellIs" dxfId="762" priority="763" stopIfTrue="1" operator="equal">
      <formula>FALSE</formula>
    </cfRule>
    <cfRule type="cellIs" dxfId="761" priority="764" stopIfTrue="1" operator="equal">
      <formula>TRUE</formula>
    </cfRule>
    <cfRule type="containsText" dxfId="760" priority="765" stopIfTrue="1" operator="containsText" text="N/A">
      <formula>NOT(ISERROR(SEARCH("N/A",E11)))</formula>
    </cfRule>
  </conditionalFormatting>
  <conditionalFormatting sqref="E67:Q67 E163:Q163 E115:Q115 S115:T115 S163:T163 S67:T67">
    <cfRule type="containsErrors" dxfId="759" priority="751" stopIfTrue="1">
      <formula>ISERROR(E67)</formula>
    </cfRule>
    <cfRule type="expression" dxfId="758" priority="758" stopIfTrue="1">
      <formula>(E68=0)</formula>
    </cfRule>
    <cfRule type="cellIs" dxfId="757" priority="759" stopIfTrue="1" operator="equal">
      <formula>FALSE</formula>
    </cfRule>
    <cfRule type="cellIs" dxfId="756" priority="760" stopIfTrue="1" operator="equal">
      <formula>TRUE</formula>
    </cfRule>
    <cfRule type="containsText" dxfId="755" priority="761" stopIfTrue="1" operator="containsText" text="N/A">
      <formula>NOT(ISERROR(SEARCH("N/A",E67)))</formula>
    </cfRule>
  </conditionalFormatting>
  <conditionalFormatting sqref="E121:Q121 E169:Q169 S169:T169 S121:T121">
    <cfRule type="containsErrors" dxfId="754" priority="752" stopIfTrue="1">
      <formula>ISERROR(E121)</formula>
    </cfRule>
    <cfRule type="cellIs" dxfId="753" priority="753" stopIfTrue="1" operator="equal">
      <formula>FALSE</formula>
    </cfRule>
    <cfRule type="expression" dxfId="752" priority="754" stopIfTrue="1">
      <formula>OR(E122=0,E123=0)</formula>
    </cfRule>
    <cfRule type="cellIs" dxfId="751" priority="755" stopIfTrue="1" operator="equal">
      <formula>TRUE</formula>
    </cfRule>
    <cfRule type="containsText" dxfId="750" priority="756" stopIfTrue="1" operator="containsText" text="N/A">
      <formula>NOT(ISERROR(SEARCH("N/A",E121)))</formula>
    </cfRule>
  </conditionalFormatting>
  <conditionalFormatting sqref="E31:Q31 S31:T31">
    <cfRule type="containsErrors" dxfId="749" priority="746" stopIfTrue="1">
      <formula>ISERROR(E31)</formula>
    </cfRule>
    <cfRule type="expression" dxfId="748" priority="747" stopIfTrue="1">
      <formula>OR(E32=0,E33=0)</formula>
    </cfRule>
    <cfRule type="cellIs" dxfId="747" priority="748" stopIfTrue="1" operator="equal">
      <formula>FALSE</formula>
    </cfRule>
    <cfRule type="cellIs" dxfId="746" priority="749" stopIfTrue="1" operator="equal">
      <formula>TRUE</formula>
    </cfRule>
    <cfRule type="containsText" dxfId="745" priority="750" stopIfTrue="1" operator="containsText" text="N/A">
      <formula>NOT(ISERROR(SEARCH("N/A",E31)))</formula>
    </cfRule>
  </conditionalFormatting>
  <conditionalFormatting sqref="E134:Q134 S134:T134">
    <cfRule type="containsErrors" dxfId="744" priority="736" stopIfTrue="1">
      <formula>ISERROR(E134)</formula>
    </cfRule>
    <cfRule type="expression" dxfId="743" priority="737" stopIfTrue="1">
      <formula>OR(E135=0,E136=0)</formula>
    </cfRule>
    <cfRule type="cellIs" dxfId="742" priority="738" stopIfTrue="1" operator="equal">
      <formula>FALSE</formula>
    </cfRule>
    <cfRule type="cellIs" dxfId="741" priority="739" stopIfTrue="1" operator="equal">
      <formula>TRUE</formula>
    </cfRule>
    <cfRule type="containsText" dxfId="740" priority="740" stopIfTrue="1" operator="containsText" text="N/A">
      <formula>NOT(ISERROR(SEARCH("N/A",E134)))</formula>
    </cfRule>
  </conditionalFormatting>
  <conditionalFormatting sqref="E131:Q131 S131:T131">
    <cfRule type="containsErrors" dxfId="739" priority="741" stopIfTrue="1">
      <formula>ISERROR(E131)</formula>
    </cfRule>
    <cfRule type="expression" dxfId="738" priority="742" stopIfTrue="1">
      <formula>OR(E132=0,E133=0)</formula>
    </cfRule>
    <cfRule type="cellIs" dxfId="737" priority="743" stopIfTrue="1" operator="equal">
      <formula>FALSE</formula>
    </cfRule>
    <cfRule type="cellIs" dxfId="736" priority="744" stopIfTrue="1" operator="equal">
      <formula>TRUE</formula>
    </cfRule>
    <cfRule type="containsText" dxfId="735" priority="745" stopIfTrue="1" operator="containsText" text="N/A">
      <formula>NOT(ISERROR(SEARCH("N/A",E131)))</formula>
    </cfRule>
  </conditionalFormatting>
  <conditionalFormatting sqref="E137:Q137 S137:T137">
    <cfRule type="containsErrors" dxfId="734" priority="731" stopIfTrue="1">
      <formula>ISERROR(E137)</formula>
    </cfRule>
    <cfRule type="expression" dxfId="733" priority="732" stopIfTrue="1">
      <formula>OR(E138=0,E139=0)</formula>
    </cfRule>
    <cfRule type="cellIs" dxfId="732" priority="733" stopIfTrue="1" operator="equal">
      <formula>FALSE</formula>
    </cfRule>
    <cfRule type="cellIs" dxfId="731" priority="734" stopIfTrue="1" operator="equal">
      <formula>TRUE</formula>
    </cfRule>
    <cfRule type="containsText" dxfId="730" priority="735" stopIfTrue="1" operator="containsText" text="N/A">
      <formula>NOT(ISERROR(SEARCH("N/A",E137)))</formula>
    </cfRule>
  </conditionalFormatting>
  <conditionalFormatting sqref="K23:Q23 S23:T23">
    <cfRule type="containsErrors" dxfId="729" priority="766" stopIfTrue="1">
      <formula>ISERROR(K23)</formula>
    </cfRule>
    <cfRule type="expression" dxfId="728" priority="767" stopIfTrue="1">
      <formula>OR(K24=0,#REF!=0)</formula>
    </cfRule>
    <cfRule type="cellIs" dxfId="727" priority="768" stopIfTrue="1" operator="equal">
      <formula>FALSE</formula>
    </cfRule>
    <cfRule type="cellIs" dxfId="726" priority="769" stopIfTrue="1" operator="equal">
      <formula>TRUE</formula>
    </cfRule>
    <cfRule type="containsText" dxfId="725" priority="770" stopIfTrue="1" operator="containsText" text="N/A">
      <formula>NOT(ISERROR(SEARCH("N/A",K23)))</formula>
    </cfRule>
  </conditionalFormatting>
  <conditionalFormatting sqref="E70:Q70 S70:T70">
    <cfRule type="containsErrors" dxfId="724" priority="726" stopIfTrue="1">
      <formula>ISERROR(E70)</formula>
    </cfRule>
    <cfRule type="expression" dxfId="723" priority="727" stopIfTrue="1">
      <formula>OR(E71=0,E72=0)</formula>
    </cfRule>
    <cfRule type="cellIs" dxfId="722" priority="728" stopIfTrue="1" operator="equal">
      <formula>FALSE</formula>
    </cfRule>
    <cfRule type="cellIs" dxfId="721" priority="729" stopIfTrue="1" operator="equal">
      <formula>TRUE</formula>
    </cfRule>
    <cfRule type="containsText" dxfId="720" priority="730" stopIfTrue="1" operator="containsText" text="N/A">
      <formula>NOT(ISERROR(SEARCH("N/A",E70)))</formula>
    </cfRule>
  </conditionalFormatting>
  <conditionalFormatting sqref="M76:Q76 S76:T76">
    <cfRule type="containsErrors" dxfId="719" priority="721" stopIfTrue="1">
      <formula>ISERROR(M76)</formula>
    </cfRule>
    <cfRule type="expression" dxfId="718" priority="722" stopIfTrue="1">
      <formula>OR(M77=0,M78=0)</formula>
    </cfRule>
    <cfRule type="cellIs" dxfId="717" priority="723" stopIfTrue="1" operator="equal">
      <formula>FALSE</formula>
    </cfRule>
    <cfRule type="cellIs" dxfId="716" priority="724" stopIfTrue="1" operator="equal">
      <formula>TRUE</formula>
    </cfRule>
    <cfRule type="containsText" dxfId="715" priority="725" stopIfTrue="1" operator="containsText" text="N/A">
      <formula>NOT(ISERROR(SEARCH("N/A",M76)))</formula>
    </cfRule>
  </conditionalFormatting>
  <conditionalFormatting sqref="M79:Q79 S79:T79">
    <cfRule type="containsErrors" dxfId="714" priority="716" stopIfTrue="1">
      <formula>ISERROR(M79)</formula>
    </cfRule>
    <cfRule type="expression" dxfId="713" priority="717" stopIfTrue="1">
      <formula>OR(M80=0,M81=0)</formula>
    </cfRule>
    <cfRule type="cellIs" dxfId="712" priority="718" stopIfTrue="1" operator="equal">
      <formula>FALSE</formula>
    </cfRule>
    <cfRule type="cellIs" dxfId="711" priority="719" stopIfTrue="1" operator="equal">
      <formula>TRUE</formula>
    </cfRule>
    <cfRule type="containsText" dxfId="710" priority="720" stopIfTrue="1" operator="containsText" text="N/A">
      <formula>NOT(ISERROR(SEARCH("N/A",M79)))</formula>
    </cfRule>
  </conditionalFormatting>
  <conditionalFormatting sqref="M124:Q124 S124:T124">
    <cfRule type="containsErrors" dxfId="709" priority="711" stopIfTrue="1">
      <formula>ISERROR(M124)</formula>
    </cfRule>
    <cfRule type="expression" dxfId="708" priority="712" stopIfTrue="1">
      <formula>OR(M125=0,M126=0)</formula>
    </cfRule>
    <cfRule type="cellIs" dxfId="707" priority="713" stopIfTrue="1" operator="equal">
      <formula>FALSE</formula>
    </cfRule>
    <cfRule type="cellIs" dxfId="706" priority="714" stopIfTrue="1" operator="equal">
      <formula>TRUE</formula>
    </cfRule>
    <cfRule type="containsText" dxfId="705" priority="715" stopIfTrue="1" operator="containsText" text="N/A">
      <formula>NOT(ISERROR(SEARCH("N/A",M124)))</formula>
    </cfRule>
  </conditionalFormatting>
  <conditionalFormatting sqref="M127:Q127 S127:T127">
    <cfRule type="containsErrors" dxfId="704" priority="706" stopIfTrue="1">
      <formula>ISERROR(M127)</formula>
    </cfRule>
    <cfRule type="expression" dxfId="703" priority="707" stopIfTrue="1">
      <formula>OR(M128=0,M129=0)</formula>
    </cfRule>
    <cfRule type="cellIs" dxfId="702" priority="708" stopIfTrue="1" operator="equal">
      <formula>FALSE</formula>
    </cfRule>
    <cfRule type="cellIs" dxfId="701" priority="709" stopIfTrue="1" operator="equal">
      <formula>TRUE</formula>
    </cfRule>
    <cfRule type="containsText" dxfId="700" priority="710" stopIfTrue="1" operator="containsText" text="N/A">
      <formula>NOT(ISERROR(SEARCH("N/A",M127)))</formula>
    </cfRule>
  </conditionalFormatting>
  <conditionalFormatting sqref="E142:Q142 S142:T142">
    <cfRule type="containsErrors" dxfId="699" priority="696" stopIfTrue="1">
      <formula>ISERROR(E142)</formula>
    </cfRule>
    <cfRule type="expression" dxfId="698" priority="697" stopIfTrue="1">
      <formula>OR(E143=0,E144=0)</formula>
    </cfRule>
    <cfRule type="cellIs" dxfId="697" priority="698" stopIfTrue="1" operator="equal">
      <formula>FALSE</formula>
    </cfRule>
    <cfRule type="cellIs" dxfId="696" priority="699" stopIfTrue="1" operator="equal">
      <formula>TRUE</formula>
    </cfRule>
    <cfRule type="containsText" dxfId="695" priority="700" stopIfTrue="1" operator="containsText" text="N/A">
      <formula>NOT(ISERROR(SEARCH("N/A",E142)))</formula>
    </cfRule>
  </conditionalFormatting>
  <conditionalFormatting sqref="E145:Q145 S145:T145">
    <cfRule type="containsErrors" dxfId="694" priority="691" stopIfTrue="1">
      <formula>ISERROR(E145)</formula>
    </cfRule>
    <cfRule type="expression" dxfId="693" priority="692" stopIfTrue="1">
      <formula>OR(E146=0,E147=0)</formula>
    </cfRule>
    <cfRule type="cellIs" dxfId="692" priority="693" stopIfTrue="1" operator="equal">
      <formula>FALSE</formula>
    </cfRule>
    <cfRule type="cellIs" dxfId="691" priority="694" stopIfTrue="1" operator="equal">
      <formula>TRUE</formula>
    </cfRule>
    <cfRule type="containsText" dxfId="690" priority="695" stopIfTrue="1" operator="containsText" text="N/A">
      <formula>NOT(ISERROR(SEARCH("N/A",E145)))</formula>
    </cfRule>
  </conditionalFormatting>
  <conditionalFormatting sqref="E148:Q148 S148:T148">
    <cfRule type="containsErrors" dxfId="689" priority="686" stopIfTrue="1">
      <formula>ISERROR(E148)</formula>
    </cfRule>
    <cfRule type="expression" dxfId="688" priority="687" stopIfTrue="1">
      <formula>OR(E149=0,E150=0)</formula>
    </cfRule>
    <cfRule type="cellIs" dxfId="687" priority="688" stopIfTrue="1" operator="equal">
      <formula>FALSE</formula>
    </cfRule>
    <cfRule type="cellIs" dxfId="686" priority="689" stopIfTrue="1" operator="equal">
      <formula>TRUE</formula>
    </cfRule>
    <cfRule type="containsText" dxfId="685" priority="690" stopIfTrue="1" operator="containsText" text="N/A">
      <formula>NOT(ISERROR(SEARCH("N/A",E148)))</formula>
    </cfRule>
  </conditionalFormatting>
  <conditionalFormatting sqref="E140:Q140 S140:T140">
    <cfRule type="containsErrors" dxfId="684" priority="701" stopIfTrue="1">
      <formula>ISERROR(E140)</formula>
    </cfRule>
    <cfRule type="expression" dxfId="683" priority="702" stopIfTrue="1">
      <formula>OR(E141=0,#REF!=0)</formula>
    </cfRule>
    <cfRule type="cellIs" dxfId="682" priority="703" stopIfTrue="1" operator="equal">
      <formula>FALSE</formula>
    </cfRule>
    <cfRule type="cellIs" dxfId="681" priority="704" stopIfTrue="1" operator="equal">
      <formula>TRUE</formula>
    </cfRule>
    <cfRule type="containsText" dxfId="680" priority="705" stopIfTrue="1" operator="containsText" text="N/A">
      <formula>NOT(ISERROR(SEARCH("N/A",E140)))</formula>
    </cfRule>
  </conditionalFormatting>
  <conditionalFormatting sqref="S199:W199">
    <cfRule type="containsErrors" dxfId="679" priority="666" stopIfTrue="1">
      <formula>ISERROR(S199)</formula>
    </cfRule>
    <cfRule type="cellIs" dxfId="678" priority="667" stopIfTrue="1" operator="equal">
      <formula>FALSE</formula>
    </cfRule>
    <cfRule type="expression" dxfId="677" priority="668" stopIfTrue="1">
      <formula>OR(S200=0,S201=0)</formula>
    </cfRule>
    <cfRule type="cellIs" dxfId="676" priority="669" stopIfTrue="1" operator="equal">
      <formula>TRUE</formula>
    </cfRule>
    <cfRule type="containsText" dxfId="675" priority="670" stopIfTrue="1" operator="containsText" text="N/A">
      <formula>NOT(ISERROR(SEARCH("N/A",S199)))</formula>
    </cfRule>
  </conditionalFormatting>
  <conditionalFormatting sqref="S259:W259">
    <cfRule type="containsErrors" dxfId="674" priority="661" stopIfTrue="1">
      <formula>ISERROR(S259)</formula>
    </cfRule>
    <cfRule type="cellIs" dxfId="673" priority="662" stopIfTrue="1" operator="equal">
      <formula>FALSE</formula>
    </cfRule>
    <cfRule type="expression" dxfId="672" priority="663" stopIfTrue="1">
      <formula>OR(S260=0,S261=0)</formula>
    </cfRule>
    <cfRule type="cellIs" dxfId="671" priority="664" stopIfTrue="1" operator="equal">
      <formula>TRUE</formula>
    </cfRule>
    <cfRule type="containsText" dxfId="670" priority="665" stopIfTrue="1" operator="containsText" text="N/A">
      <formula>NOT(ISERROR(SEARCH("N/A",S259)))</formula>
    </cfRule>
  </conditionalFormatting>
  <conditionalFormatting sqref="S175:W175">
    <cfRule type="containsErrors" dxfId="669" priority="676" stopIfTrue="1">
      <formula>ISERROR(S175)</formula>
    </cfRule>
    <cfRule type="cellIs" dxfId="668" priority="677" stopIfTrue="1" operator="equal">
      <formula>FALSE</formula>
    </cfRule>
    <cfRule type="expression" dxfId="667" priority="678" stopIfTrue="1">
      <formula>OR(S176=0,S177=0)</formula>
    </cfRule>
    <cfRule type="cellIs" dxfId="666" priority="679" stopIfTrue="1" operator="equal">
      <formula>TRUE</formula>
    </cfRule>
    <cfRule type="containsText" dxfId="665" priority="680" stopIfTrue="1" operator="containsText" text="N/A">
      <formula>NOT(ISERROR(SEARCH("N/A",S175)))</formula>
    </cfRule>
  </conditionalFormatting>
  <conditionalFormatting sqref="S181:W181">
    <cfRule type="containsErrors" dxfId="664" priority="671" stopIfTrue="1">
      <formula>ISERROR(S181)</formula>
    </cfRule>
    <cfRule type="cellIs" dxfId="663" priority="672" stopIfTrue="1" operator="equal">
      <formula>FALSE</formula>
    </cfRule>
    <cfRule type="expression" dxfId="662" priority="673" stopIfTrue="1">
      <formula>OR(S182=0,S183=0)</formula>
    </cfRule>
    <cfRule type="cellIs" dxfId="661" priority="674" stopIfTrue="1" operator="equal">
      <formula>TRUE</formula>
    </cfRule>
    <cfRule type="containsText" dxfId="660" priority="675" stopIfTrue="1" operator="containsText" text="N/A">
      <formula>NOT(ISERROR(SEARCH("N/A",S181)))</formula>
    </cfRule>
  </conditionalFormatting>
  <conditionalFormatting sqref="S178:W178">
    <cfRule type="containsErrors" dxfId="659" priority="656" stopIfTrue="1">
      <formula>ISERROR(S178)</formula>
    </cfRule>
    <cfRule type="cellIs" dxfId="658" priority="657" stopIfTrue="1" operator="equal">
      <formula>FALSE</formula>
    </cfRule>
    <cfRule type="expression" dxfId="657" priority="658" stopIfTrue="1">
      <formula>OR(S179=0,S180=0)</formula>
    </cfRule>
    <cfRule type="cellIs" dxfId="656" priority="659" stopIfTrue="1" operator="equal">
      <formula>TRUE</formula>
    </cfRule>
    <cfRule type="containsText" dxfId="655" priority="660" stopIfTrue="1" operator="containsText" text="N/A">
      <formula>NOT(ISERROR(SEARCH("N/A",S178)))</formula>
    </cfRule>
  </conditionalFormatting>
  <conditionalFormatting sqref="S196:W196">
    <cfRule type="containsErrors" dxfId="654" priority="651" stopIfTrue="1">
      <formula>ISERROR(S196)</formula>
    </cfRule>
    <cfRule type="cellIs" dxfId="653" priority="652" stopIfTrue="1" operator="equal">
      <formula>FALSE</formula>
    </cfRule>
    <cfRule type="expression" dxfId="652" priority="653" stopIfTrue="1">
      <formula>OR(S197=0,S198=0)</formula>
    </cfRule>
    <cfRule type="cellIs" dxfId="651" priority="654" stopIfTrue="1" operator="equal">
      <formula>TRUE</formula>
    </cfRule>
    <cfRule type="containsText" dxfId="650" priority="655" stopIfTrue="1" operator="containsText" text="N/A">
      <formula>NOT(ISERROR(SEARCH("N/A",S196)))</formula>
    </cfRule>
  </conditionalFormatting>
  <conditionalFormatting sqref="S229:W229">
    <cfRule type="containsErrors" dxfId="649" priority="646" stopIfTrue="1">
      <formula>ISERROR(S229)</formula>
    </cfRule>
    <cfRule type="cellIs" dxfId="648" priority="647" stopIfTrue="1" operator="equal">
      <formula>FALSE</formula>
    </cfRule>
    <cfRule type="expression" dxfId="647" priority="648" stopIfTrue="1">
      <formula>OR(S230=0,S231=0)</formula>
    </cfRule>
    <cfRule type="cellIs" dxfId="646" priority="649" stopIfTrue="1" operator="equal">
      <formula>TRUE</formula>
    </cfRule>
    <cfRule type="containsText" dxfId="645" priority="650" stopIfTrue="1" operator="containsText" text="N/A">
      <formula>NOT(ISERROR(SEARCH("N/A",S229)))</formula>
    </cfRule>
  </conditionalFormatting>
  <conditionalFormatting sqref="S262:W262">
    <cfRule type="containsErrors" dxfId="644" priority="641" stopIfTrue="1">
      <formula>ISERROR(S262)</formula>
    </cfRule>
    <cfRule type="cellIs" dxfId="643" priority="642" stopIfTrue="1" operator="equal">
      <formula>FALSE</formula>
    </cfRule>
    <cfRule type="expression" dxfId="642" priority="643" stopIfTrue="1">
      <formula>OR(S263=0,S264=0)</formula>
    </cfRule>
    <cfRule type="cellIs" dxfId="641" priority="644" stopIfTrue="1" operator="equal">
      <formula>TRUE</formula>
    </cfRule>
    <cfRule type="containsText" dxfId="640" priority="645" stopIfTrue="1" operator="containsText" text="N/A">
      <formula>NOT(ISERROR(SEARCH("N/A",S262)))</formula>
    </cfRule>
  </conditionalFormatting>
  <conditionalFormatting sqref="S265:W265">
    <cfRule type="containsErrors" dxfId="639" priority="636" stopIfTrue="1">
      <formula>ISERROR(S265)</formula>
    </cfRule>
    <cfRule type="cellIs" dxfId="638" priority="637" stopIfTrue="1" operator="equal">
      <formula>FALSE</formula>
    </cfRule>
    <cfRule type="expression" dxfId="637" priority="638" stopIfTrue="1">
      <formula>OR(S266=0,S267=0)</formula>
    </cfRule>
    <cfRule type="cellIs" dxfId="636" priority="639" stopIfTrue="1" operator="equal">
      <formula>TRUE</formula>
    </cfRule>
    <cfRule type="containsText" dxfId="635" priority="640" stopIfTrue="1" operator="containsText" text="N/A">
      <formula>NOT(ISERROR(SEARCH("N/A",S265)))</formula>
    </cfRule>
  </conditionalFormatting>
  <conditionalFormatting sqref="S268:W268">
    <cfRule type="containsErrors" dxfId="634" priority="631" stopIfTrue="1">
      <formula>ISERROR(S268)</formula>
    </cfRule>
    <cfRule type="cellIs" dxfId="633" priority="632" stopIfTrue="1" operator="equal">
      <formula>FALSE</formula>
    </cfRule>
    <cfRule type="expression" dxfId="632" priority="633" stopIfTrue="1">
      <formula>OR(S269=0,S270=0)</formula>
    </cfRule>
    <cfRule type="cellIs" dxfId="631" priority="634" stopIfTrue="1" operator="equal">
      <formula>TRUE</formula>
    </cfRule>
    <cfRule type="containsText" dxfId="630" priority="635" stopIfTrue="1" operator="containsText" text="N/A">
      <formula>NOT(ISERROR(SEARCH("N/A",S268)))</formula>
    </cfRule>
  </conditionalFormatting>
  <conditionalFormatting sqref="S232:W232">
    <cfRule type="containsErrors" dxfId="629" priority="626" stopIfTrue="1">
      <formula>ISERROR(S232)</formula>
    </cfRule>
    <cfRule type="cellIs" dxfId="628" priority="627" stopIfTrue="1" operator="equal">
      <formula>FALSE</formula>
    </cfRule>
    <cfRule type="expression" dxfId="627" priority="628" stopIfTrue="1">
      <formula>OR(S233=0,S234=0)</formula>
    </cfRule>
    <cfRule type="cellIs" dxfId="626" priority="629" stopIfTrue="1" operator="equal">
      <formula>TRUE</formula>
    </cfRule>
    <cfRule type="containsText" dxfId="625" priority="630" stopIfTrue="1" operator="containsText" text="N/A">
      <formula>NOT(ISERROR(SEARCH("N/A",S232)))</formula>
    </cfRule>
  </conditionalFormatting>
  <conditionalFormatting sqref="S235:W235">
    <cfRule type="containsErrors" dxfId="624" priority="621" stopIfTrue="1">
      <formula>ISERROR(S235)</formula>
    </cfRule>
    <cfRule type="cellIs" dxfId="623" priority="622" stopIfTrue="1" operator="equal">
      <formula>FALSE</formula>
    </cfRule>
    <cfRule type="expression" dxfId="622" priority="623" stopIfTrue="1">
      <formula>OR(S236=0,S237=0)</formula>
    </cfRule>
    <cfRule type="cellIs" dxfId="621" priority="624" stopIfTrue="1" operator="equal">
      <formula>TRUE</formula>
    </cfRule>
    <cfRule type="containsText" dxfId="620" priority="625" stopIfTrue="1" operator="containsText" text="N/A">
      <formula>NOT(ISERROR(SEARCH("N/A",S235)))</formula>
    </cfRule>
  </conditionalFormatting>
  <conditionalFormatting sqref="S238:W238">
    <cfRule type="containsErrors" dxfId="619" priority="616" stopIfTrue="1">
      <formula>ISERROR(S238)</formula>
    </cfRule>
    <cfRule type="cellIs" dxfId="618" priority="617" stopIfTrue="1" operator="equal">
      <formula>FALSE</formula>
    </cfRule>
    <cfRule type="expression" dxfId="617" priority="618" stopIfTrue="1">
      <formula>OR(S239=0,S240=0)</formula>
    </cfRule>
    <cfRule type="cellIs" dxfId="616" priority="619" stopIfTrue="1" operator="equal">
      <formula>TRUE</formula>
    </cfRule>
    <cfRule type="containsText" dxfId="615" priority="620" stopIfTrue="1" operator="containsText" text="N/A">
      <formula>NOT(ISERROR(SEARCH("N/A",S238)))</formula>
    </cfRule>
  </conditionalFormatting>
  <conditionalFormatting sqref="S241:W241">
    <cfRule type="containsErrors" dxfId="614" priority="611" stopIfTrue="1">
      <formula>ISERROR(S241)</formula>
    </cfRule>
    <cfRule type="cellIs" dxfId="613" priority="612" stopIfTrue="1" operator="equal">
      <formula>FALSE</formula>
    </cfRule>
    <cfRule type="expression" dxfId="612" priority="613" stopIfTrue="1">
      <formula>OR(S242=0,S243=0)</formula>
    </cfRule>
    <cfRule type="cellIs" dxfId="611" priority="614" stopIfTrue="1" operator="equal">
      <formula>TRUE</formula>
    </cfRule>
    <cfRule type="containsText" dxfId="610" priority="615" stopIfTrue="1" operator="containsText" text="N/A">
      <formula>NOT(ISERROR(SEARCH("N/A",S241)))</formula>
    </cfRule>
  </conditionalFormatting>
  <conditionalFormatting sqref="S244:W244">
    <cfRule type="containsErrors" dxfId="609" priority="606" stopIfTrue="1">
      <formula>ISERROR(S244)</formula>
    </cfRule>
    <cfRule type="cellIs" dxfId="608" priority="607" stopIfTrue="1" operator="equal">
      <formula>FALSE</formula>
    </cfRule>
    <cfRule type="expression" dxfId="607" priority="608" stopIfTrue="1">
      <formula>OR(S245=0,S246=0)</formula>
    </cfRule>
    <cfRule type="cellIs" dxfId="606" priority="609" stopIfTrue="1" operator="equal">
      <formula>TRUE</formula>
    </cfRule>
    <cfRule type="containsText" dxfId="605" priority="610" stopIfTrue="1" operator="containsText" text="N/A">
      <formula>NOT(ISERROR(SEARCH("N/A",S244)))</formula>
    </cfRule>
  </conditionalFormatting>
  <conditionalFormatting sqref="S247:W247">
    <cfRule type="containsErrors" dxfId="604" priority="601" stopIfTrue="1">
      <formula>ISERROR(S247)</formula>
    </cfRule>
    <cfRule type="cellIs" dxfId="603" priority="602" stopIfTrue="1" operator="equal">
      <formula>FALSE</formula>
    </cfRule>
    <cfRule type="expression" dxfId="602" priority="603" stopIfTrue="1">
      <formula>OR(S248=0,S249=0)</formula>
    </cfRule>
    <cfRule type="cellIs" dxfId="601" priority="604" stopIfTrue="1" operator="equal">
      <formula>TRUE</formula>
    </cfRule>
    <cfRule type="containsText" dxfId="600" priority="605" stopIfTrue="1" operator="containsText" text="N/A">
      <formula>NOT(ISERROR(SEARCH("N/A",S247)))</formula>
    </cfRule>
  </conditionalFormatting>
  <conditionalFormatting sqref="S250:W250">
    <cfRule type="containsErrors" dxfId="599" priority="596" stopIfTrue="1">
      <formula>ISERROR(S250)</formula>
    </cfRule>
    <cfRule type="cellIs" dxfId="598" priority="597" stopIfTrue="1" operator="equal">
      <formula>FALSE</formula>
    </cfRule>
    <cfRule type="expression" dxfId="597" priority="598" stopIfTrue="1">
      <formula>OR(S251=0,S252=0)</formula>
    </cfRule>
    <cfRule type="cellIs" dxfId="596" priority="599" stopIfTrue="1" operator="equal">
      <formula>TRUE</formula>
    </cfRule>
    <cfRule type="containsText" dxfId="595" priority="600" stopIfTrue="1" operator="containsText" text="N/A">
      <formula>NOT(ISERROR(SEARCH("N/A",S250)))</formula>
    </cfRule>
  </conditionalFormatting>
  <conditionalFormatting sqref="S253:W253">
    <cfRule type="containsErrors" dxfId="594" priority="591" stopIfTrue="1">
      <formula>ISERROR(S253)</formula>
    </cfRule>
    <cfRule type="cellIs" dxfId="593" priority="592" stopIfTrue="1" operator="equal">
      <formula>FALSE</formula>
    </cfRule>
    <cfRule type="expression" dxfId="592" priority="593" stopIfTrue="1">
      <formula>OR(S254=0,S255=0)</formula>
    </cfRule>
    <cfRule type="cellIs" dxfId="591" priority="594" stopIfTrue="1" operator="equal">
      <formula>TRUE</formula>
    </cfRule>
    <cfRule type="containsText" dxfId="590" priority="595" stopIfTrue="1" operator="containsText" text="N/A">
      <formula>NOT(ISERROR(SEARCH("N/A",S253)))</formula>
    </cfRule>
  </conditionalFormatting>
  <conditionalFormatting sqref="S226:W226">
    <cfRule type="containsErrors" dxfId="589" priority="586" stopIfTrue="1">
      <formula>ISERROR(S226)</formula>
    </cfRule>
    <cfRule type="cellIs" dxfId="588" priority="587" stopIfTrue="1" operator="equal">
      <formula>FALSE</formula>
    </cfRule>
    <cfRule type="expression" dxfId="587" priority="588" stopIfTrue="1">
      <formula>OR(S227=0,S228=0)</formula>
    </cfRule>
    <cfRule type="cellIs" dxfId="586" priority="589" stopIfTrue="1" operator="equal">
      <formula>TRUE</formula>
    </cfRule>
    <cfRule type="containsText" dxfId="585" priority="590" stopIfTrue="1" operator="containsText" text="N/A">
      <formula>NOT(ISERROR(SEARCH("N/A",S226)))</formula>
    </cfRule>
  </conditionalFormatting>
  <conditionalFormatting sqref="S256:W256">
    <cfRule type="containsErrors" dxfId="584" priority="581" stopIfTrue="1">
      <formula>ISERROR(S256)</formula>
    </cfRule>
    <cfRule type="cellIs" dxfId="583" priority="582" stopIfTrue="1" operator="equal">
      <formula>FALSE</formula>
    </cfRule>
    <cfRule type="expression" dxfId="582" priority="583" stopIfTrue="1">
      <formula>OR(S257=0,S258=0)</formula>
    </cfRule>
    <cfRule type="cellIs" dxfId="581" priority="584" stopIfTrue="1" operator="equal">
      <formula>TRUE</formula>
    </cfRule>
    <cfRule type="containsText" dxfId="580" priority="585" stopIfTrue="1" operator="containsText" text="N/A">
      <formula>NOT(ISERROR(SEARCH("N/A",S256)))</formula>
    </cfRule>
  </conditionalFormatting>
  <conditionalFormatting sqref="S343:W343">
    <cfRule type="containsErrors" dxfId="579" priority="516" stopIfTrue="1">
      <formula>ISERROR(S343)</formula>
    </cfRule>
    <cfRule type="cellIs" dxfId="578" priority="517" stopIfTrue="1" operator="equal">
      <formula>FALSE</formula>
    </cfRule>
    <cfRule type="expression" dxfId="577" priority="518" stopIfTrue="1">
      <formula>OR(S344=0,S345=0)</formula>
    </cfRule>
    <cfRule type="cellIs" dxfId="576" priority="519" stopIfTrue="1" operator="equal">
      <formula>TRUE</formula>
    </cfRule>
    <cfRule type="containsText" dxfId="575" priority="520" stopIfTrue="1" operator="containsText" text="N/A">
      <formula>NOT(ISERROR(SEARCH("N/A",S343)))</formula>
    </cfRule>
  </conditionalFormatting>
  <conditionalFormatting sqref="S349:W349">
    <cfRule type="containsErrors" dxfId="574" priority="506" stopIfTrue="1">
      <formula>ISERROR(S349)</formula>
    </cfRule>
    <cfRule type="cellIs" dxfId="573" priority="507" stopIfTrue="1" operator="equal">
      <formula>FALSE</formula>
    </cfRule>
    <cfRule type="expression" dxfId="572" priority="508" stopIfTrue="1">
      <formula>OR(S350=0,S351=0)</formula>
    </cfRule>
    <cfRule type="cellIs" dxfId="571" priority="509" stopIfTrue="1" operator="equal">
      <formula>TRUE</formula>
    </cfRule>
    <cfRule type="containsText" dxfId="570" priority="510" stopIfTrue="1" operator="containsText" text="N/A">
      <formula>NOT(ISERROR(SEARCH("N/A",S349)))</formula>
    </cfRule>
  </conditionalFormatting>
  <conditionalFormatting sqref="S355:W355">
    <cfRule type="containsErrors" dxfId="569" priority="496" stopIfTrue="1">
      <formula>ISERROR(S355)</formula>
    </cfRule>
    <cfRule type="cellIs" dxfId="568" priority="497" stopIfTrue="1" operator="equal">
      <formula>FALSE</formula>
    </cfRule>
    <cfRule type="expression" dxfId="567" priority="498" stopIfTrue="1">
      <formula>OR(S356=0,S357=0)</formula>
    </cfRule>
    <cfRule type="cellIs" dxfId="566" priority="499" stopIfTrue="1" operator="equal">
      <formula>TRUE</formula>
    </cfRule>
    <cfRule type="containsText" dxfId="565" priority="500" stopIfTrue="1" operator="containsText" text="N/A">
      <formula>NOT(ISERROR(SEARCH("N/A",S355)))</formula>
    </cfRule>
  </conditionalFormatting>
  <conditionalFormatting sqref="S298:W298 S300:W300 S302:W302 S296:W296">
    <cfRule type="containsErrors" dxfId="564" priority="681" stopIfTrue="1">
      <formula>ISERROR(S296)</formula>
    </cfRule>
    <cfRule type="cellIs" dxfId="563" priority="682" stopIfTrue="1" operator="equal">
      <formula>FALSE</formula>
    </cfRule>
    <cfRule type="expression" dxfId="562" priority="683" stopIfTrue="1">
      <formula>OR(S297=0,#REF!=0)</formula>
    </cfRule>
    <cfRule type="cellIs" dxfId="561" priority="684" stopIfTrue="1" operator="equal">
      <formula>TRUE</formula>
    </cfRule>
    <cfRule type="containsText" dxfId="560" priority="685" stopIfTrue="1" operator="containsText" text="N/A">
      <formula>NOT(ISERROR(SEARCH("N/A",S296)))</formula>
    </cfRule>
  </conditionalFormatting>
  <conditionalFormatting sqref="S272:W272">
    <cfRule type="containsErrors" dxfId="559" priority="576" stopIfTrue="1">
      <formula>ISERROR(S272)</formula>
    </cfRule>
    <cfRule type="cellIs" dxfId="558" priority="577" stopIfTrue="1" operator="equal">
      <formula>FALSE</formula>
    </cfRule>
    <cfRule type="expression" dxfId="557" priority="578" stopIfTrue="1">
      <formula>OR(S273=0,S274=0)</formula>
    </cfRule>
    <cfRule type="cellIs" dxfId="556" priority="579" stopIfTrue="1" operator="equal">
      <formula>TRUE</formula>
    </cfRule>
    <cfRule type="containsText" dxfId="555" priority="580" stopIfTrue="1" operator="containsText" text="N/A">
      <formula>NOT(ISERROR(SEARCH("N/A",S272)))</formula>
    </cfRule>
  </conditionalFormatting>
  <conditionalFormatting sqref="S278:W278">
    <cfRule type="containsErrors" dxfId="554" priority="571" stopIfTrue="1">
      <formula>ISERROR(S278)</formula>
    </cfRule>
    <cfRule type="cellIs" dxfId="553" priority="572" stopIfTrue="1" operator="equal">
      <formula>FALSE</formula>
    </cfRule>
    <cfRule type="expression" dxfId="552" priority="573" stopIfTrue="1">
      <formula>OR(S279=0,S280=0)</formula>
    </cfRule>
    <cfRule type="cellIs" dxfId="551" priority="574" stopIfTrue="1" operator="equal">
      <formula>TRUE</formula>
    </cfRule>
    <cfRule type="containsText" dxfId="550" priority="575" stopIfTrue="1" operator="containsText" text="N/A">
      <formula>NOT(ISERROR(SEARCH("N/A",S278)))</formula>
    </cfRule>
  </conditionalFormatting>
  <conditionalFormatting sqref="S304:W304">
    <cfRule type="containsErrors" dxfId="549" priority="566" stopIfTrue="1">
      <formula>ISERROR(S304)</formula>
    </cfRule>
    <cfRule type="cellIs" dxfId="548" priority="567" stopIfTrue="1" operator="equal">
      <formula>FALSE</formula>
    </cfRule>
    <cfRule type="expression" dxfId="547" priority="568" stopIfTrue="1">
      <formula>OR(S305=0,S306=0)</formula>
    </cfRule>
    <cfRule type="cellIs" dxfId="546" priority="569" stopIfTrue="1" operator="equal">
      <formula>TRUE</formula>
    </cfRule>
    <cfRule type="containsText" dxfId="545" priority="570" stopIfTrue="1" operator="containsText" text="N/A">
      <formula>NOT(ISERROR(SEARCH("N/A",S304)))</formula>
    </cfRule>
  </conditionalFormatting>
  <conditionalFormatting sqref="S364:W364">
    <cfRule type="containsErrors" dxfId="544" priority="561" stopIfTrue="1">
      <formula>ISERROR(S364)</formula>
    </cfRule>
    <cfRule type="cellIs" dxfId="543" priority="562" stopIfTrue="1" operator="equal">
      <formula>FALSE</formula>
    </cfRule>
    <cfRule type="expression" dxfId="542" priority="563" stopIfTrue="1">
      <formula>OR(S365=0,S366=0)</formula>
    </cfRule>
    <cfRule type="cellIs" dxfId="541" priority="564" stopIfTrue="1" operator="equal">
      <formula>TRUE</formula>
    </cfRule>
    <cfRule type="containsText" dxfId="540" priority="565" stopIfTrue="1" operator="containsText" text="N/A">
      <formula>NOT(ISERROR(SEARCH("N/A",S364)))</formula>
    </cfRule>
  </conditionalFormatting>
  <conditionalFormatting sqref="S275:W275">
    <cfRule type="containsErrors" dxfId="539" priority="556" stopIfTrue="1">
      <formula>ISERROR(S275)</formula>
    </cfRule>
    <cfRule type="cellIs" dxfId="538" priority="557" stopIfTrue="1" operator="equal">
      <formula>FALSE</formula>
    </cfRule>
    <cfRule type="expression" dxfId="537" priority="558" stopIfTrue="1">
      <formula>OR(S276=0,S277=0)</formula>
    </cfRule>
    <cfRule type="cellIs" dxfId="536" priority="559" stopIfTrue="1" operator="equal">
      <formula>TRUE</formula>
    </cfRule>
    <cfRule type="containsText" dxfId="535" priority="560" stopIfTrue="1" operator="containsText" text="N/A">
      <formula>NOT(ISERROR(SEARCH("N/A",S275)))</formula>
    </cfRule>
  </conditionalFormatting>
  <conditionalFormatting sqref="S334:W334">
    <cfRule type="containsErrors" dxfId="534" priority="546" stopIfTrue="1">
      <formula>ISERROR(S334)</formula>
    </cfRule>
    <cfRule type="cellIs" dxfId="533" priority="547" stopIfTrue="1" operator="equal">
      <formula>FALSE</formula>
    </cfRule>
    <cfRule type="expression" dxfId="532" priority="548" stopIfTrue="1">
      <formula>OR(S335=0,S336=0)</formula>
    </cfRule>
    <cfRule type="cellIs" dxfId="531" priority="549" stopIfTrue="1" operator="equal">
      <formula>TRUE</formula>
    </cfRule>
    <cfRule type="containsText" dxfId="530" priority="550" stopIfTrue="1" operator="containsText" text="N/A">
      <formula>NOT(ISERROR(SEARCH("N/A",S334)))</formula>
    </cfRule>
  </conditionalFormatting>
  <conditionalFormatting sqref="S367:W367">
    <cfRule type="containsErrors" dxfId="529" priority="541" stopIfTrue="1">
      <formula>ISERROR(S367)</formula>
    </cfRule>
    <cfRule type="cellIs" dxfId="528" priority="542" stopIfTrue="1" operator="equal">
      <formula>FALSE</formula>
    </cfRule>
    <cfRule type="expression" dxfId="527" priority="543" stopIfTrue="1">
      <formula>OR(S368=0,S369=0)</formula>
    </cfRule>
    <cfRule type="cellIs" dxfId="526" priority="544" stopIfTrue="1" operator="equal">
      <formula>TRUE</formula>
    </cfRule>
    <cfRule type="containsText" dxfId="525" priority="545" stopIfTrue="1" operator="containsText" text="N/A">
      <formula>NOT(ISERROR(SEARCH("N/A",S367)))</formula>
    </cfRule>
  </conditionalFormatting>
  <conditionalFormatting sqref="S293:W293">
    <cfRule type="containsErrors" dxfId="524" priority="551" stopIfTrue="1">
      <formula>ISERROR(S293)</formula>
    </cfRule>
    <cfRule type="cellIs" dxfId="523" priority="552" stopIfTrue="1" operator="equal">
      <formula>FALSE</formula>
    </cfRule>
    <cfRule type="expression" dxfId="522" priority="553" stopIfTrue="1">
      <formula>OR(S294=0,S295=0)</formula>
    </cfRule>
    <cfRule type="cellIs" dxfId="521" priority="554" stopIfTrue="1" operator="equal">
      <formula>TRUE</formula>
    </cfRule>
    <cfRule type="containsText" dxfId="520" priority="555" stopIfTrue="1" operator="containsText" text="N/A">
      <formula>NOT(ISERROR(SEARCH("N/A",S293)))</formula>
    </cfRule>
  </conditionalFormatting>
  <conditionalFormatting sqref="S337:W337">
    <cfRule type="containsErrors" dxfId="519" priority="526" stopIfTrue="1">
      <formula>ISERROR(S337)</formula>
    </cfRule>
    <cfRule type="cellIs" dxfId="518" priority="527" stopIfTrue="1" operator="equal">
      <formula>FALSE</formula>
    </cfRule>
    <cfRule type="expression" dxfId="517" priority="528" stopIfTrue="1">
      <formula>OR(S338=0,S339=0)</formula>
    </cfRule>
    <cfRule type="cellIs" dxfId="516" priority="529" stopIfTrue="1" operator="equal">
      <formula>TRUE</formula>
    </cfRule>
    <cfRule type="containsText" dxfId="515" priority="530" stopIfTrue="1" operator="containsText" text="N/A">
      <formula>NOT(ISERROR(SEARCH("N/A",S337)))</formula>
    </cfRule>
  </conditionalFormatting>
  <conditionalFormatting sqref="S370:W370">
    <cfRule type="containsErrors" dxfId="514" priority="536" stopIfTrue="1">
      <formula>ISERROR(S370)</formula>
    </cfRule>
    <cfRule type="cellIs" dxfId="513" priority="537" stopIfTrue="1" operator="equal">
      <formula>FALSE</formula>
    </cfRule>
    <cfRule type="expression" dxfId="512" priority="538" stopIfTrue="1">
      <formula>OR(S371=0,S372=0)</formula>
    </cfRule>
    <cfRule type="cellIs" dxfId="511" priority="539" stopIfTrue="1" operator="equal">
      <formula>TRUE</formula>
    </cfRule>
    <cfRule type="containsText" dxfId="510" priority="540" stopIfTrue="1" operator="containsText" text="N/A">
      <formula>NOT(ISERROR(SEARCH("N/A",S370)))</formula>
    </cfRule>
  </conditionalFormatting>
  <conditionalFormatting sqref="S340:W340">
    <cfRule type="containsErrors" dxfId="509" priority="521" stopIfTrue="1">
      <formula>ISERROR(S340)</formula>
    </cfRule>
    <cfRule type="cellIs" dxfId="508" priority="522" stopIfTrue="1" operator="equal">
      <formula>FALSE</formula>
    </cfRule>
    <cfRule type="expression" dxfId="507" priority="523" stopIfTrue="1">
      <formula>OR(S341=0,S342=0)</formula>
    </cfRule>
    <cfRule type="cellIs" dxfId="506" priority="524" stopIfTrue="1" operator="equal">
      <formula>TRUE</formula>
    </cfRule>
    <cfRule type="containsText" dxfId="505" priority="525" stopIfTrue="1" operator="containsText" text="N/A">
      <formula>NOT(ISERROR(SEARCH("N/A",S340)))</formula>
    </cfRule>
  </conditionalFormatting>
  <conditionalFormatting sqref="S373:W373">
    <cfRule type="containsErrors" dxfId="504" priority="531" stopIfTrue="1">
      <formula>ISERROR(S373)</formula>
    </cfRule>
    <cfRule type="cellIs" dxfId="503" priority="532" stopIfTrue="1" operator="equal">
      <formula>FALSE</formula>
    </cfRule>
    <cfRule type="expression" dxfId="502" priority="533" stopIfTrue="1">
      <formula>OR(S374=0,S375=0)</formula>
    </cfRule>
    <cfRule type="cellIs" dxfId="501" priority="534" stopIfTrue="1" operator="equal">
      <formula>TRUE</formula>
    </cfRule>
    <cfRule type="containsText" dxfId="500" priority="535" stopIfTrue="1" operator="containsText" text="N/A">
      <formula>NOT(ISERROR(SEARCH("N/A",S373)))</formula>
    </cfRule>
  </conditionalFormatting>
  <conditionalFormatting sqref="S346:W346">
    <cfRule type="containsErrors" dxfId="499" priority="511" stopIfTrue="1">
      <formula>ISERROR(S346)</formula>
    </cfRule>
    <cfRule type="cellIs" dxfId="498" priority="512" stopIfTrue="1" operator="equal">
      <formula>FALSE</formula>
    </cfRule>
    <cfRule type="expression" dxfId="497" priority="513" stopIfTrue="1">
      <formula>OR(S347=0,S348=0)</formula>
    </cfRule>
    <cfRule type="cellIs" dxfId="496" priority="514" stopIfTrue="1" operator="equal">
      <formula>TRUE</formula>
    </cfRule>
    <cfRule type="containsText" dxfId="495" priority="515" stopIfTrue="1" operator="containsText" text="N/A">
      <formula>NOT(ISERROR(SEARCH("N/A",S346)))</formula>
    </cfRule>
  </conditionalFormatting>
  <conditionalFormatting sqref="S352:W352">
    <cfRule type="containsErrors" dxfId="494" priority="501" stopIfTrue="1">
      <formula>ISERROR(S352)</formula>
    </cfRule>
    <cfRule type="cellIs" dxfId="493" priority="502" stopIfTrue="1" operator="equal">
      <formula>FALSE</formula>
    </cfRule>
    <cfRule type="expression" dxfId="492" priority="503" stopIfTrue="1">
      <formula>OR(S353=0,S354=0)</formula>
    </cfRule>
    <cfRule type="cellIs" dxfId="491" priority="504" stopIfTrue="1" operator="equal">
      <formula>TRUE</formula>
    </cfRule>
    <cfRule type="containsText" dxfId="490" priority="505" stopIfTrue="1" operator="containsText" text="N/A">
      <formula>NOT(ISERROR(SEARCH("N/A",S352)))</formula>
    </cfRule>
  </conditionalFormatting>
  <conditionalFormatting sqref="S358:W358">
    <cfRule type="containsErrors" dxfId="489" priority="491" stopIfTrue="1">
      <formula>ISERROR(S358)</formula>
    </cfRule>
    <cfRule type="cellIs" dxfId="488" priority="492" stopIfTrue="1" operator="equal">
      <formula>FALSE</formula>
    </cfRule>
    <cfRule type="expression" dxfId="487" priority="493" stopIfTrue="1">
      <formula>OR(S359=0,S360=0)</formula>
    </cfRule>
    <cfRule type="cellIs" dxfId="486" priority="494" stopIfTrue="1" operator="equal">
      <formula>TRUE</formula>
    </cfRule>
    <cfRule type="containsText" dxfId="485" priority="495" stopIfTrue="1" operator="containsText" text="N/A">
      <formula>NOT(ISERROR(SEARCH("N/A",S358)))</formula>
    </cfRule>
  </conditionalFormatting>
  <conditionalFormatting sqref="S331:W331">
    <cfRule type="containsErrors" dxfId="484" priority="486" stopIfTrue="1">
      <formula>ISERROR(S331)</formula>
    </cfRule>
    <cfRule type="cellIs" dxfId="483" priority="487" stopIfTrue="1" operator="equal">
      <formula>FALSE</formula>
    </cfRule>
    <cfRule type="expression" dxfId="482" priority="488" stopIfTrue="1">
      <formula>OR(S332=0,S333=0)</formula>
    </cfRule>
    <cfRule type="cellIs" dxfId="481" priority="489" stopIfTrue="1" operator="equal">
      <formula>TRUE</formula>
    </cfRule>
    <cfRule type="containsText" dxfId="480" priority="490" stopIfTrue="1" operator="containsText" text="N/A">
      <formula>NOT(ISERROR(SEARCH("N/A",S331)))</formula>
    </cfRule>
  </conditionalFormatting>
  <conditionalFormatting sqref="S361:W361">
    <cfRule type="containsErrors" dxfId="479" priority="481" stopIfTrue="1">
      <formula>ISERROR(S361)</formula>
    </cfRule>
    <cfRule type="cellIs" dxfId="478" priority="482" stopIfTrue="1" operator="equal">
      <formula>FALSE</formula>
    </cfRule>
    <cfRule type="expression" dxfId="477" priority="483" stopIfTrue="1">
      <formula>OR(S362=0,S363=0)</formula>
    </cfRule>
    <cfRule type="cellIs" dxfId="476" priority="484" stopIfTrue="1" operator="equal">
      <formula>TRUE</formula>
    </cfRule>
    <cfRule type="containsText" dxfId="475" priority="485" stopIfTrue="1" operator="containsText" text="N/A">
      <formula>NOT(ISERROR(SEARCH("N/A",S361)))</formula>
    </cfRule>
  </conditionalFormatting>
  <conditionalFormatting sqref="S472:W472">
    <cfRule type="containsErrors" dxfId="474" priority="436" stopIfTrue="1">
      <formula>ISERROR(S472)</formula>
    </cfRule>
    <cfRule type="cellIs" dxfId="473" priority="437" stopIfTrue="1" operator="equal">
      <formula>FALSE</formula>
    </cfRule>
    <cfRule type="expression" dxfId="472" priority="438" stopIfTrue="1">
      <formula>OR(S473=0,S474=0)</formula>
    </cfRule>
    <cfRule type="cellIs" dxfId="471" priority="439" stopIfTrue="1" operator="equal">
      <formula>TRUE</formula>
    </cfRule>
    <cfRule type="containsText" dxfId="470" priority="440" stopIfTrue="1" operator="containsText" text="N/A">
      <formula>NOT(ISERROR(SEARCH("N/A",S472)))</formula>
    </cfRule>
  </conditionalFormatting>
  <conditionalFormatting sqref="S454:W454">
    <cfRule type="containsErrors" dxfId="469" priority="401" stopIfTrue="1">
      <formula>ISERROR(S454)</formula>
    </cfRule>
    <cfRule type="cellIs" dxfId="468" priority="402" stopIfTrue="1" operator="equal">
      <formula>FALSE</formula>
    </cfRule>
    <cfRule type="expression" dxfId="467" priority="403" stopIfTrue="1">
      <formula>OR(S455=0,S456=0)</formula>
    </cfRule>
    <cfRule type="cellIs" dxfId="466" priority="404" stopIfTrue="1" operator="equal">
      <formula>TRUE</formula>
    </cfRule>
    <cfRule type="containsText" dxfId="465" priority="405" stopIfTrue="1" operator="containsText" text="N/A">
      <formula>NOT(ISERROR(SEARCH("N/A",S454)))</formula>
    </cfRule>
  </conditionalFormatting>
  <conditionalFormatting sqref="S577:W577">
    <cfRule type="containsErrors" dxfId="464" priority="331" stopIfTrue="1">
      <formula>ISERROR(S577)</formula>
    </cfRule>
    <cfRule type="cellIs" dxfId="463" priority="332" stopIfTrue="1" operator="equal">
      <formula>FALSE</formula>
    </cfRule>
    <cfRule type="expression" dxfId="462" priority="333" stopIfTrue="1">
      <formula>OR(S578=0,S579=0)</formula>
    </cfRule>
    <cfRule type="cellIs" dxfId="461" priority="334" stopIfTrue="1" operator="equal">
      <formula>TRUE</formula>
    </cfRule>
    <cfRule type="containsText" dxfId="460" priority="335" stopIfTrue="1" operator="containsText" text="N/A">
      <formula>NOT(ISERROR(SEARCH("N/A",S577)))</formula>
    </cfRule>
  </conditionalFormatting>
  <conditionalFormatting sqref="S451:W451">
    <cfRule type="containsErrors" dxfId="459" priority="406" stopIfTrue="1">
      <formula>ISERROR(S451)</formula>
    </cfRule>
    <cfRule type="cellIs" dxfId="458" priority="407" stopIfTrue="1" operator="equal">
      <formula>FALSE</formula>
    </cfRule>
    <cfRule type="expression" dxfId="457" priority="408" stopIfTrue="1">
      <formula>OR(S452=0,S453=0)</formula>
    </cfRule>
    <cfRule type="cellIs" dxfId="456" priority="409" stopIfTrue="1" operator="equal">
      <formula>TRUE</formula>
    </cfRule>
    <cfRule type="containsText" dxfId="455" priority="410" stopIfTrue="1" operator="containsText" text="N/A">
      <formula>NOT(ISERROR(SEARCH("N/A",S451)))</formula>
    </cfRule>
  </conditionalFormatting>
  <conditionalFormatting sqref="S475:W475">
    <cfRule type="containsErrors" dxfId="454" priority="431" stopIfTrue="1">
      <formula>ISERROR(S475)</formula>
    </cfRule>
    <cfRule type="cellIs" dxfId="453" priority="432" stopIfTrue="1" operator="equal">
      <formula>FALSE</formula>
    </cfRule>
    <cfRule type="expression" dxfId="452" priority="433" stopIfTrue="1">
      <formula>OR(S476=0,S477=0)</formula>
    </cfRule>
    <cfRule type="cellIs" dxfId="451" priority="434" stopIfTrue="1" operator="equal">
      <formula>TRUE</formula>
    </cfRule>
    <cfRule type="containsText" dxfId="450" priority="435" stopIfTrue="1" operator="containsText" text="N/A">
      <formula>NOT(ISERROR(SEARCH("N/A",S475)))</formula>
    </cfRule>
  </conditionalFormatting>
  <conditionalFormatting sqref="S478:W478">
    <cfRule type="containsErrors" dxfId="449" priority="426" stopIfTrue="1">
      <formula>ISERROR(S478)</formula>
    </cfRule>
    <cfRule type="cellIs" dxfId="448" priority="427" stopIfTrue="1" operator="equal">
      <formula>FALSE</formula>
    </cfRule>
    <cfRule type="expression" dxfId="447" priority="428" stopIfTrue="1">
      <formula>OR(S479=0,S480=0)</formula>
    </cfRule>
    <cfRule type="cellIs" dxfId="446" priority="429" stopIfTrue="1" operator="equal">
      <formula>TRUE</formula>
    </cfRule>
    <cfRule type="containsText" dxfId="445" priority="430" stopIfTrue="1" operator="containsText" text="N/A">
      <formula>NOT(ISERROR(SEARCH("N/A",S478)))</formula>
    </cfRule>
  </conditionalFormatting>
  <conditionalFormatting sqref="S559:W559">
    <cfRule type="containsErrors" dxfId="444" priority="296" stopIfTrue="1">
      <formula>ISERROR(S559)</formula>
    </cfRule>
    <cfRule type="cellIs" dxfId="443" priority="297" stopIfTrue="1" operator="equal">
      <formula>FALSE</formula>
    </cfRule>
    <cfRule type="expression" dxfId="442" priority="298" stopIfTrue="1">
      <formula>OR(S560=0,S561=0)</formula>
    </cfRule>
    <cfRule type="cellIs" dxfId="441" priority="299" stopIfTrue="1" operator="equal">
      <formula>TRUE</formula>
    </cfRule>
    <cfRule type="containsText" dxfId="440" priority="300" stopIfTrue="1" operator="containsText" text="N/A">
      <formula>NOT(ISERROR(SEARCH("N/A",S559)))</formula>
    </cfRule>
  </conditionalFormatting>
  <conditionalFormatting sqref="S457:W457">
    <cfRule type="containsErrors" dxfId="439" priority="396" stopIfTrue="1">
      <formula>ISERROR(S457)</formula>
    </cfRule>
    <cfRule type="cellIs" dxfId="438" priority="397" stopIfTrue="1" operator="equal">
      <formula>FALSE</formula>
    </cfRule>
    <cfRule type="expression" dxfId="437" priority="398" stopIfTrue="1">
      <formula>OR(S458=0,S459=0)</formula>
    </cfRule>
    <cfRule type="cellIs" dxfId="436" priority="399" stopIfTrue="1" operator="equal">
      <formula>TRUE</formula>
    </cfRule>
    <cfRule type="containsText" dxfId="435" priority="400" stopIfTrue="1" operator="containsText" text="N/A">
      <formula>NOT(ISERROR(SEARCH("N/A",S457)))</formula>
    </cfRule>
  </conditionalFormatting>
  <conditionalFormatting sqref="S556:W556">
    <cfRule type="containsErrors" dxfId="434" priority="301" stopIfTrue="1">
      <formula>ISERROR(S556)</formula>
    </cfRule>
    <cfRule type="cellIs" dxfId="433" priority="302" stopIfTrue="1" operator="equal">
      <formula>FALSE</formula>
    </cfRule>
    <cfRule type="expression" dxfId="432" priority="303" stopIfTrue="1">
      <formula>OR(S557=0,S558=0)</formula>
    </cfRule>
    <cfRule type="cellIs" dxfId="431" priority="304" stopIfTrue="1" operator="equal">
      <formula>TRUE</formula>
    </cfRule>
    <cfRule type="containsText" dxfId="430" priority="305" stopIfTrue="1" operator="containsText" text="N/A">
      <formula>NOT(ISERROR(SEARCH("N/A",S556)))</formula>
    </cfRule>
  </conditionalFormatting>
  <conditionalFormatting sqref="S403:W403 S405:W405 S407:W407 S401:W401">
    <cfRule type="containsErrors" dxfId="429" priority="476" stopIfTrue="1">
      <formula>ISERROR(S401)</formula>
    </cfRule>
    <cfRule type="cellIs" dxfId="428" priority="477" stopIfTrue="1" operator="equal">
      <formula>FALSE</formula>
    </cfRule>
    <cfRule type="expression" dxfId="427" priority="478" stopIfTrue="1">
      <formula>OR(S402=0,#REF!=0)</formula>
    </cfRule>
    <cfRule type="cellIs" dxfId="426" priority="479" stopIfTrue="1" operator="equal">
      <formula>TRUE</formula>
    </cfRule>
    <cfRule type="containsText" dxfId="425" priority="480" stopIfTrue="1" operator="containsText" text="N/A">
      <formula>NOT(ISERROR(SEARCH("N/A",S401)))</formula>
    </cfRule>
  </conditionalFormatting>
  <conditionalFormatting sqref="S377:W377">
    <cfRule type="containsErrors" dxfId="424" priority="471" stopIfTrue="1">
      <formula>ISERROR(S377)</formula>
    </cfRule>
    <cfRule type="cellIs" dxfId="423" priority="472" stopIfTrue="1" operator="equal">
      <formula>FALSE</formula>
    </cfRule>
    <cfRule type="expression" dxfId="422" priority="473" stopIfTrue="1">
      <formula>OR(S378=0,S379=0)</formula>
    </cfRule>
    <cfRule type="cellIs" dxfId="421" priority="474" stopIfTrue="1" operator="equal">
      <formula>TRUE</formula>
    </cfRule>
    <cfRule type="containsText" dxfId="420" priority="475" stopIfTrue="1" operator="containsText" text="N/A">
      <formula>NOT(ISERROR(SEARCH("N/A",S377)))</formula>
    </cfRule>
  </conditionalFormatting>
  <conditionalFormatting sqref="S383:W383">
    <cfRule type="containsErrors" dxfId="419" priority="466" stopIfTrue="1">
      <formula>ISERROR(S383)</formula>
    </cfRule>
    <cfRule type="cellIs" dxfId="418" priority="467" stopIfTrue="1" operator="equal">
      <formula>FALSE</formula>
    </cfRule>
    <cfRule type="expression" dxfId="417" priority="468" stopIfTrue="1">
      <formula>OR(S384=0,S385=0)</formula>
    </cfRule>
    <cfRule type="cellIs" dxfId="416" priority="469" stopIfTrue="1" operator="equal">
      <formula>TRUE</formula>
    </cfRule>
    <cfRule type="containsText" dxfId="415" priority="470" stopIfTrue="1" operator="containsText" text="N/A">
      <formula>NOT(ISERROR(SEARCH("N/A",S383)))</formula>
    </cfRule>
  </conditionalFormatting>
  <conditionalFormatting sqref="S409:W409">
    <cfRule type="containsErrors" dxfId="414" priority="461" stopIfTrue="1">
      <formula>ISERROR(S409)</formula>
    </cfRule>
    <cfRule type="cellIs" dxfId="413" priority="462" stopIfTrue="1" operator="equal">
      <formula>FALSE</formula>
    </cfRule>
    <cfRule type="expression" dxfId="412" priority="463" stopIfTrue="1">
      <formula>OR(S410=0,S411=0)</formula>
    </cfRule>
    <cfRule type="cellIs" dxfId="411" priority="464" stopIfTrue="1" operator="equal">
      <formula>TRUE</formula>
    </cfRule>
    <cfRule type="containsText" dxfId="410" priority="465" stopIfTrue="1" operator="containsText" text="N/A">
      <formula>NOT(ISERROR(SEARCH("N/A",S409)))</formula>
    </cfRule>
  </conditionalFormatting>
  <conditionalFormatting sqref="S469:W469">
    <cfRule type="containsErrors" dxfId="409" priority="456" stopIfTrue="1">
      <formula>ISERROR(S469)</formula>
    </cfRule>
    <cfRule type="cellIs" dxfId="408" priority="457" stopIfTrue="1" operator="equal">
      <formula>FALSE</formula>
    </cfRule>
    <cfRule type="expression" dxfId="407" priority="458" stopIfTrue="1">
      <formula>OR(S470=0,S471=0)</formula>
    </cfRule>
    <cfRule type="cellIs" dxfId="406" priority="459" stopIfTrue="1" operator="equal">
      <formula>TRUE</formula>
    </cfRule>
    <cfRule type="containsText" dxfId="405" priority="460" stopIfTrue="1" operator="containsText" text="N/A">
      <formula>NOT(ISERROR(SEARCH("N/A",S469)))</formula>
    </cfRule>
  </conditionalFormatting>
  <conditionalFormatting sqref="S380:W380">
    <cfRule type="containsErrors" dxfId="404" priority="451" stopIfTrue="1">
      <formula>ISERROR(S380)</formula>
    </cfRule>
    <cfRule type="cellIs" dxfId="403" priority="452" stopIfTrue="1" operator="equal">
      <formula>FALSE</formula>
    </cfRule>
    <cfRule type="expression" dxfId="402" priority="453" stopIfTrue="1">
      <formula>OR(S381=0,S382=0)</formula>
    </cfRule>
    <cfRule type="cellIs" dxfId="401" priority="454" stopIfTrue="1" operator="equal">
      <formula>TRUE</formula>
    </cfRule>
    <cfRule type="containsText" dxfId="400" priority="455" stopIfTrue="1" operator="containsText" text="N/A">
      <formula>NOT(ISERROR(SEARCH("N/A",S380)))</formula>
    </cfRule>
  </conditionalFormatting>
  <conditionalFormatting sqref="S439:W439">
    <cfRule type="containsErrors" dxfId="399" priority="441" stopIfTrue="1">
      <formula>ISERROR(S439)</formula>
    </cfRule>
    <cfRule type="cellIs" dxfId="398" priority="442" stopIfTrue="1" operator="equal">
      <formula>FALSE</formula>
    </cfRule>
    <cfRule type="expression" dxfId="397" priority="443" stopIfTrue="1">
      <formula>OR(S440=0,S441=0)</formula>
    </cfRule>
    <cfRule type="cellIs" dxfId="396" priority="444" stopIfTrue="1" operator="equal">
      <formula>TRUE</formula>
    </cfRule>
    <cfRule type="containsText" dxfId="395" priority="445" stopIfTrue="1" operator="containsText" text="N/A">
      <formula>NOT(ISERROR(SEARCH("N/A",S439)))</formula>
    </cfRule>
  </conditionalFormatting>
  <conditionalFormatting sqref="S398:W398">
    <cfRule type="containsErrors" dxfId="394" priority="446" stopIfTrue="1">
      <formula>ISERROR(S398)</formula>
    </cfRule>
    <cfRule type="cellIs" dxfId="393" priority="447" stopIfTrue="1" operator="equal">
      <formula>FALSE</formula>
    </cfRule>
    <cfRule type="expression" dxfId="392" priority="448" stopIfTrue="1">
      <formula>OR(S399=0,S400=0)</formula>
    </cfRule>
    <cfRule type="cellIs" dxfId="391" priority="449" stopIfTrue="1" operator="equal">
      <formula>TRUE</formula>
    </cfRule>
    <cfRule type="containsText" dxfId="390" priority="450" stopIfTrue="1" operator="containsText" text="N/A">
      <formula>NOT(ISERROR(SEARCH("N/A",S398)))</formula>
    </cfRule>
  </conditionalFormatting>
  <conditionalFormatting sqref="S442:W442">
    <cfRule type="containsErrors" dxfId="389" priority="421" stopIfTrue="1">
      <formula>ISERROR(S442)</formula>
    </cfRule>
    <cfRule type="cellIs" dxfId="388" priority="422" stopIfTrue="1" operator="equal">
      <formula>FALSE</formula>
    </cfRule>
    <cfRule type="expression" dxfId="387" priority="423" stopIfTrue="1">
      <formula>OR(S443=0,S444=0)</formula>
    </cfRule>
    <cfRule type="cellIs" dxfId="386" priority="424" stopIfTrue="1" operator="equal">
      <formula>TRUE</formula>
    </cfRule>
    <cfRule type="containsText" dxfId="385" priority="425" stopIfTrue="1" operator="containsText" text="N/A">
      <formula>NOT(ISERROR(SEARCH("N/A",S442)))</formula>
    </cfRule>
  </conditionalFormatting>
  <conditionalFormatting sqref="S445:W445">
    <cfRule type="containsErrors" dxfId="384" priority="416" stopIfTrue="1">
      <formula>ISERROR(S445)</formula>
    </cfRule>
    <cfRule type="cellIs" dxfId="383" priority="417" stopIfTrue="1" operator="equal">
      <formula>FALSE</formula>
    </cfRule>
    <cfRule type="expression" dxfId="382" priority="418" stopIfTrue="1">
      <formula>OR(S446=0,S447=0)</formula>
    </cfRule>
    <cfRule type="cellIs" dxfId="381" priority="419" stopIfTrue="1" operator="equal">
      <formula>TRUE</formula>
    </cfRule>
    <cfRule type="containsText" dxfId="380" priority="420" stopIfTrue="1" operator="containsText" text="N/A">
      <formula>NOT(ISERROR(SEARCH("N/A",S445)))</formula>
    </cfRule>
  </conditionalFormatting>
  <conditionalFormatting sqref="S448:W448">
    <cfRule type="containsErrors" dxfId="379" priority="411" stopIfTrue="1">
      <formula>ISERROR(S448)</formula>
    </cfRule>
    <cfRule type="cellIs" dxfId="378" priority="412" stopIfTrue="1" operator="equal">
      <formula>FALSE</formula>
    </cfRule>
    <cfRule type="expression" dxfId="377" priority="413" stopIfTrue="1">
      <formula>OR(S449=0,S450=0)</formula>
    </cfRule>
    <cfRule type="cellIs" dxfId="376" priority="414" stopIfTrue="1" operator="equal">
      <formula>TRUE</formula>
    </cfRule>
    <cfRule type="containsText" dxfId="375" priority="415" stopIfTrue="1" operator="containsText" text="N/A">
      <formula>NOT(ISERROR(SEARCH("N/A",S448)))</formula>
    </cfRule>
  </conditionalFormatting>
  <conditionalFormatting sqref="S463:W463">
    <cfRule type="containsErrors" dxfId="374" priority="386" stopIfTrue="1">
      <formula>ISERROR(S463)</formula>
    </cfRule>
    <cfRule type="cellIs" dxfId="373" priority="387" stopIfTrue="1" operator="equal">
      <formula>FALSE</formula>
    </cfRule>
    <cfRule type="expression" dxfId="372" priority="388" stopIfTrue="1">
      <formula>OR(S464=0,S465=0)</formula>
    </cfRule>
    <cfRule type="cellIs" dxfId="371" priority="389" stopIfTrue="1" operator="equal">
      <formula>TRUE</formula>
    </cfRule>
    <cfRule type="containsText" dxfId="370" priority="390" stopIfTrue="1" operator="containsText" text="N/A">
      <formula>NOT(ISERROR(SEARCH("N/A",S463)))</formula>
    </cfRule>
  </conditionalFormatting>
  <conditionalFormatting sqref="S460:W460">
    <cfRule type="containsErrors" dxfId="369" priority="391" stopIfTrue="1">
      <formula>ISERROR(S460)</formula>
    </cfRule>
    <cfRule type="cellIs" dxfId="368" priority="392" stopIfTrue="1" operator="equal">
      <formula>FALSE</formula>
    </cfRule>
    <cfRule type="expression" dxfId="367" priority="393" stopIfTrue="1">
      <formula>OR(S461=0,S462=0)</formula>
    </cfRule>
    <cfRule type="cellIs" dxfId="366" priority="394" stopIfTrue="1" operator="equal">
      <formula>TRUE</formula>
    </cfRule>
    <cfRule type="containsText" dxfId="365" priority="395" stopIfTrue="1" operator="containsText" text="N/A">
      <formula>NOT(ISERROR(SEARCH("N/A",S460)))</formula>
    </cfRule>
  </conditionalFormatting>
  <conditionalFormatting sqref="S436:W436">
    <cfRule type="containsErrors" dxfId="364" priority="381" stopIfTrue="1">
      <formula>ISERROR(S436)</formula>
    </cfRule>
    <cfRule type="cellIs" dxfId="363" priority="382" stopIfTrue="1" operator="equal">
      <formula>FALSE</formula>
    </cfRule>
    <cfRule type="expression" dxfId="362" priority="383" stopIfTrue="1">
      <formula>OR(S437=0,S438=0)</formula>
    </cfRule>
    <cfRule type="cellIs" dxfId="361" priority="384" stopIfTrue="1" operator="equal">
      <formula>TRUE</formula>
    </cfRule>
    <cfRule type="containsText" dxfId="360" priority="385" stopIfTrue="1" operator="containsText" text="N/A">
      <formula>NOT(ISERROR(SEARCH("N/A",S436)))</formula>
    </cfRule>
  </conditionalFormatting>
  <conditionalFormatting sqref="S466:W466">
    <cfRule type="containsErrors" dxfId="359" priority="376" stopIfTrue="1">
      <formula>ISERROR(S466)</formula>
    </cfRule>
    <cfRule type="cellIs" dxfId="358" priority="377" stopIfTrue="1" operator="equal">
      <formula>FALSE</formula>
    </cfRule>
    <cfRule type="expression" dxfId="357" priority="378" stopIfTrue="1">
      <formula>OR(S467=0,S468=0)</formula>
    </cfRule>
    <cfRule type="cellIs" dxfId="356" priority="379" stopIfTrue="1" operator="equal">
      <formula>TRUE</formula>
    </cfRule>
    <cfRule type="containsText" dxfId="355" priority="380" stopIfTrue="1" operator="containsText" text="N/A">
      <formula>NOT(ISERROR(SEARCH("N/A",S466)))</formula>
    </cfRule>
  </conditionalFormatting>
  <conditionalFormatting sqref="S580:W580">
    <cfRule type="containsErrors" dxfId="354" priority="326" stopIfTrue="1">
      <formula>ISERROR(S580)</formula>
    </cfRule>
    <cfRule type="cellIs" dxfId="353" priority="327" stopIfTrue="1" operator="equal">
      <formula>FALSE</formula>
    </cfRule>
    <cfRule type="expression" dxfId="352" priority="328" stopIfTrue="1">
      <formula>OR(S581=0,S582=0)</formula>
    </cfRule>
    <cfRule type="cellIs" dxfId="351" priority="329" stopIfTrue="1" operator="equal">
      <formula>TRUE</formula>
    </cfRule>
    <cfRule type="containsText" dxfId="350" priority="330" stopIfTrue="1" operator="containsText" text="N/A">
      <formula>NOT(ISERROR(SEARCH("N/A",S580)))</formula>
    </cfRule>
  </conditionalFormatting>
  <conditionalFormatting sqref="S583:W583">
    <cfRule type="containsErrors" dxfId="349" priority="321" stopIfTrue="1">
      <formula>ISERROR(S583)</formula>
    </cfRule>
    <cfRule type="cellIs" dxfId="348" priority="322" stopIfTrue="1" operator="equal">
      <formula>FALSE</formula>
    </cfRule>
    <cfRule type="expression" dxfId="347" priority="323" stopIfTrue="1">
      <formula>OR(S584=0,S585=0)</formula>
    </cfRule>
    <cfRule type="cellIs" dxfId="346" priority="324" stopIfTrue="1" operator="equal">
      <formula>TRUE</formula>
    </cfRule>
    <cfRule type="containsText" dxfId="345" priority="325" stopIfTrue="1" operator="containsText" text="N/A">
      <formula>NOT(ISERROR(SEARCH("N/A",S583)))</formula>
    </cfRule>
  </conditionalFormatting>
  <conditionalFormatting sqref="S562:W562">
    <cfRule type="containsErrors" dxfId="344" priority="291" stopIfTrue="1">
      <formula>ISERROR(S562)</formula>
    </cfRule>
    <cfRule type="cellIs" dxfId="343" priority="292" stopIfTrue="1" operator="equal">
      <formula>FALSE</formula>
    </cfRule>
    <cfRule type="expression" dxfId="342" priority="293" stopIfTrue="1">
      <formula>OR(S563=0,S564=0)</formula>
    </cfRule>
    <cfRule type="cellIs" dxfId="341" priority="294" stopIfTrue="1" operator="equal">
      <formula>TRUE</formula>
    </cfRule>
    <cfRule type="containsText" dxfId="340" priority="295" stopIfTrue="1" operator="containsText" text="N/A">
      <formula>NOT(ISERROR(SEARCH("N/A",S562)))</formula>
    </cfRule>
  </conditionalFormatting>
  <conditionalFormatting sqref="S508:W508 S510:W510 S512:W512 S506:W506">
    <cfRule type="containsErrors" dxfId="339" priority="371" stopIfTrue="1">
      <formula>ISERROR(S506)</formula>
    </cfRule>
    <cfRule type="cellIs" dxfId="338" priority="372" stopIfTrue="1" operator="equal">
      <formula>FALSE</formula>
    </cfRule>
    <cfRule type="expression" dxfId="337" priority="373" stopIfTrue="1">
      <formula>OR(S507=0,#REF!=0)</formula>
    </cfRule>
    <cfRule type="cellIs" dxfId="336" priority="374" stopIfTrue="1" operator="equal">
      <formula>TRUE</formula>
    </cfRule>
    <cfRule type="containsText" dxfId="335" priority="375" stopIfTrue="1" operator="containsText" text="N/A">
      <formula>NOT(ISERROR(SEARCH("N/A",S506)))</formula>
    </cfRule>
  </conditionalFormatting>
  <conditionalFormatting sqref="S482:W482">
    <cfRule type="containsErrors" dxfId="334" priority="366" stopIfTrue="1">
      <formula>ISERROR(S482)</formula>
    </cfRule>
    <cfRule type="cellIs" dxfId="333" priority="367" stopIfTrue="1" operator="equal">
      <formula>FALSE</formula>
    </cfRule>
    <cfRule type="expression" dxfId="332" priority="368" stopIfTrue="1">
      <formula>OR(S483=0,S484=0)</formula>
    </cfRule>
    <cfRule type="cellIs" dxfId="331" priority="369" stopIfTrue="1" operator="equal">
      <formula>TRUE</formula>
    </cfRule>
    <cfRule type="containsText" dxfId="330" priority="370" stopIfTrue="1" operator="containsText" text="N/A">
      <formula>NOT(ISERROR(SEARCH("N/A",S482)))</formula>
    </cfRule>
  </conditionalFormatting>
  <conditionalFormatting sqref="S488:W488">
    <cfRule type="containsErrors" dxfId="329" priority="361" stopIfTrue="1">
      <formula>ISERROR(S488)</formula>
    </cfRule>
    <cfRule type="cellIs" dxfId="328" priority="362" stopIfTrue="1" operator="equal">
      <formula>FALSE</formula>
    </cfRule>
    <cfRule type="expression" dxfId="327" priority="363" stopIfTrue="1">
      <formula>OR(S489=0,S490=0)</formula>
    </cfRule>
    <cfRule type="cellIs" dxfId="326" priority="364" stopIfTrue="1" operator="equal">
      <formula>TRUE</formula>
    </cfRule>
    <cfRule type="containsText" dxfId="325" priority="365" stopIfTrue="1" operator="containsText" text="N/A">
      <formula>NOT(ISERROR(SEARCH("N/A",S488)))</formula>
    </cfRule>
  </conditionalFormatting>
  <conditionalFormatting sqref="S514:W514">
    <cfRule type="containsErrors" dxfId="324" priority="356" stopIfTrue="1">
      <formula>ISERROR(S514)</formula>
    </cfRule>
    <cfRule type="cellIs" dxfId="323" priority="357" stopIfTrue="1" operator="equal">
      <formula>FALSE</formula>
    </cfRule>
    <cfRule type="expression" dxfId="322" priority="358" stopIfTrue="1">
      <formula>OR(S515=0,S516=0)</formula>
    </cfRule>
    <cfRule type="cellIs" dxfId="321" priority="359" stopIfTrue="1" operator="equal">
      <formula>TRUE</formula>
    </cfRule>
    <cfRule type="containsText" dxfId="320" priority="360" stopIfTrue="1" operator="containsText" text="N/A">
      <formula>NOT(ISERROR(SEARCH("N/A",S514)))</formula>
    </cfRule>
  </conditionalFormatting>
  <conditionalFormatting sqref="S574:W574">
    <cfRule type="containsErrors" dxfId="319" priority="351" stopIfTrue="1">
      <formula>ISERROR(S574)</formula>
    </cfRule>
    <cfRule type="cellIs" dxfId="318" priority="352" stopIfTrue="1" operator="equal">
      <formula>FALSE</formula>
    </cfRule>
    <cfRule type="expression" dxfId="317" priority="353" stopIfTrue="1">
      <formula>OR(S575=0,S576=0)</formula>
    </cfRule>
    <cfRule type="cellIs" dxfId="316" priority="354" stopIfTrue="1" operator="equal">
      <formula>TRUE</formula>
    </cfRule>
    <cfRule type="containsText" dxfId="315" priority="355" stopIfTrue="1" operator="containsText" text="N/A">
      <formula>NOT(ISERROR(SEARCH("N/A",S574)))</formula>
    </cfRule>
  </conditionalFormatting>
  <conditionalFormatting sqref="S485:W485">
    <cfRule type="containsErrors" dxfId="314" priority="346" stopIfTrue="1">
      <formula>ISERROR(S485)</formula>
    </cfRule>
    <cfRule type="cellIs" dxfId="313" priority="347" stopIfTrue="1" operator="equal">
      <formula>FALSE</formula>
    </cfRule>
    <cfRule type="expression" dxfId="312" priority="348" stopIfTrue="1">
      <formula>OR(S486=0,S487=0)</formula>
    </cfRule>
    <cfRule type="cellIs" dxfId="311" priority="349" stopIfTrue="1" operator="equal">
      <formula>TRUE</formula>
    </cfRule>
    <cfRule type="containsText" dxfId="310" priority="350" stopIfTrue="1" operator="containsText" text="N/A">
      <formula>NOT(ISERROR(SEARCH("N/A",S485)))</formula>
    </cfRule>
  </conditionalFormatting>
  <conditionalFormatting sqref="S544:W544">
    <cfRule type="containsErrors" dxfId="309" priority="336" stopIfTrue="1">
      <formula>ISERROR(S544)</formula>
    </cfRule>
    <cfRule type="cellIs" dxfId="308" priority="337" stopIfTrue="1" operator="equal">
      <formula>FALSE</formula>
    </cfRule>
    <cfRule type="expression" dxfId="307" priority="338" stopIfTrue="1">
      <formula>OR(S545=0,S546=0)</formula>
    </cfRule>
    <cfRule type="cellIs" dxfId="306" priority="339" stopIfTrue="1" operator="equal">
      <formula>TRUE</formula>
    </cfRule>
    <cfRule type="containsText" dxfId="305" priority="340" stopIfTrue="1" operator="containsText" text="N/A">
      <formula>NOT(ISERROR(SEARCH("N/A",S544)))</formula>
    </cfRule>
  </conditionalFormatting>
  <conditionalFormatting sqref="S503:W503">
    <cfRule type="containsErrors" dxfId="304" priority="341" stopIfTrue="1">
      <formula>ISERROR(S503)</formula>
    </cfRule>
    <cfRule type="cellIs" dxfId="303" priority="342" stopIfTrue="1" operator="equal">
      <formula>FALSE</formula>
    </cfRule>
    <cfRule type="expression" dxfId="302" priority="343" stopIfTrue="1">
      <formula>OR(S504=0,S505=0)</formula>
    </cfRule>
    <cfRule type="cellIs" dxfId="301" priority="344" stopIfTrue="1" operator="equal">
      <formula>TRUE</formula>
    </cfRule>
    <cfRule type="containsText" dxfId="300" priority="345" stopIfTrue="1" operator="containsText" text="N/A">
      <formula>NOT(ISERROR(SEARCH("N/A",S503)))</formula>
    </cfRule>
  </conditionalFormatting>
  <conditionalFormatting sqref="S547:W547">
    <cfRule type="containsErrors" dxfId="299" priority="316" stopIfTrue="1">
      <formula>ISERROR(S547)</formula>
    </cfRule>
    <cfRule type="cellIs" dxfId="298" priority="317" stopIfTrue="1" operator="equal">
      <formula>FALSE</formula>
    </cfRule>
    <cfRule type="expression" dxfId="297" priority="318" stopIfTrue="1">
      <formula>OR(S548=0,S549=0)</formula>
    </cfRule>
    <cfRule type="cellIs" dxfId="296" priority="319" stopIfTrue="1" operator="equal">
      <formula>TRUE</formula>
    </cfRule>
    <cfRule type="containsText" dxfId="295" priority="320" stopIfTrue="1" operator="containsText" text="N/A">
      <formula>NOT(ISERROR(SEARCH("N/A",S547)))</formula>
    </cfRule>
  </conditionalFormatting>
  <conditionalFormatting sqref="S550:W550">
    <cfRule type="containsErrors" dxfId="294" priority="311" stopIfTrue="1">
      <formula>ISERROR(S550)</formula>
    </cfRule>
    <cfRule type="cellIs" dxfId="293" priority="312" stopIfTrue="1" operator="equal">
      <formula>FALSE</formula>
    </cfRule>
    <cfRule type="expression" dxfId="292" priority="313" stopIfTrue="1">
      <formula>OR(S551=0,S552=0)</formula>
    </cfRule>
    <cfRule type="cellIs" dxfId="291" priority="314" stopIfTrue="1" operator="equal">
      <formula>TRUE</formula>
    </cfRule>
    <cfRule type="containsText" dxfId="290" priority="315" stopIfTrue="1" operator="containsText" text="N/A">
      <formula>NOT(ISERROR(SEARCH("N/A",S550)))</formula>
    </cfRule>
  </conditionalFormatting>
  <conditionalFormatting sqref="S553:W553">
    <cfRule type="containsErrors" dxfId="289" priority="306" stopIfTrue="1">
      <formula>ISERROR(S553)</formula>
    </cfRule>
    <cfRule type="cellIs" dxfId="288" priority="307" stopIfTrue="1" operator="equal">
      <formula>FALSE</formula>
    </cfRule>
    <cfRule type="expression" dxfId="287" priority="308" stopIfTrue="1">
      <formula>OR(S554=0,S555=0)</formula>
    </cfRule>
    <cfRule type="cellIs" dxfId="286" priority="309" stopIfTrue="1" operator="equal">
      <formula>TRUE</formula>
    </cfRule>
    <cfRule type="containsText" dxfId="285" priority="310" stopIfTrue="1" operator="containsText" text="N/A">
      <formula>NOT(ISERROR(SEARCH("N/A",S553)))</formula>
    </cfRule>
  </conditionalFormatting>
  <conditionalFormatting sqref="S568:W568">
    <cfRule type="containsErrors" dxfId="284" priority="281" stopIfTrue="1">
      <formula>ISERROR(S568)</formula>
    </cfRule>
    <cfRule type="cellIs" dxfId="283" priority="282" stopIfTrue="1" operator="equal">
      <formula>FALSE</formula>
    </cfRule>
    <cfRule type="expression" dxfId="282" priority="283" stopIfTrue="1">
      <formula>OR(S569=0,S570=0)</formula>
    </cfRule>
    <cfRule type="cellIs" dxfId="281" priority="284" stopIfTrue="1" operator="equal">
      <formula>TRUE</formula>
    </cfRule>
    <cfRule type="containsText" dxfId="280" priority="285" stopIfTrue="1" operator="containsText" text="N/A">
      <formula>NOT(ISERROR(SEARCH("N/A",S568)))</formula>
    </cfRule>
  </conditionalFormatting>
  <conditionalFormatting sqref="S565:W565">
    <cfRule type="containsErrors" dxfId="279" priority="286" stopIfTrue="1">
      <formula>ISERROR(S565)</formula>
    </cfRule>
    <cfRule type="cellIs" dxfId="278" priority="287" stopIfTrue="1" operator="equal">
      <formula>FALSE</formula>
    </cfRule>
    <cfRule type="expression" dxfId="277" priority="288" stopIfTrue="1">
      <formula>OR(S566=0,S567=0)</formula>
    </cfRule>
    <cfRule type="cellIs" dxfId="276" priority="289" stopIfTrue="1" operator="equal">
      <formula>TRUE</formula>
    </cfRule>
    <cfRule type="containsText" dxfId="275" priority="290" stopIfTrue="1" operator="containsText" text="N/A">
      <formula>NOT(ISERROR(SEARCH("N/A",S565)))</formula>
    </cfRule>
  </conditionalFormatting>
  <conditionalFormatting sqref="S541:W541">
    <cfRule type="containsErrors" dxfId="274" priority="276" stopIfTrue="1">
      <formula>ISERROR(S541)</formula>
    </cfRule>
    <cfRule type="cellIs" dxfId="273" priority="277" stopIfTrue="1" operator="equal">
      <formula>FALSE</formula>
    </cfRule>
    <cfRule type="expression" dxfId="272" priority="278" stopIfTrue="1">
      <formula>OR(S542=0,S543=0)</formula>
    </cfRule>
    <cfRule type="cellIs" dxfId="271" priority="279" stopIfTrue="1" operator="equal">
      <formula>TRUE</formula>
    </cfRule>
    <cfRule type="containsText" dxfId="270" priority="280" stopIfTrue="1" operator="containsText" text="N/A">
      <formula>NOT(ISERROR(SEARCH("N/A",S541)))</formula>
    </cfRule>
  </conditionalFormatting>
  <conditionalFormatting sqref="S571:W571">
    <cfRule type="containsErrors" dxfId="269" priority="271" stopIfTrue="1">
      <formula>ISERROR(S571)</formula>
    </cfRule>
    <cfRule type="cellIs" dxfId="268" priority="272" stopIfTrue="1" operator="equal">
      <formula>FALSE</formula>
    </cfRule>
    <cfRule type="expression" dxfId="267" priority="273" stopIfTrue="1">
      <formula>OR(S572=0,S573=0)</formula>
    </cfRule>
    <cfRule type="cellIs" dxfId="266" priority="274" stopIfTrue="1" operator="equal">
      <formula>TRUE</formula>
    </cfRule>
    <cfRule type="containsText" dxfId="265" priority="275" stopIfTrue="1" operator="containsText" text="N/A">
      <formula>NOT(ISERROR(SEARCH("N/A",S571)))</formula>
    </cfRule>
  </conditionalFormatting>
  <conditionalFormatting sqref="S619">
    <cfRule type="containsErrors" dxfId="264" priority="266" stopIfTrue="1">
      <formula>ISERROR(S619)</formula>
    </cfRule>
    <cfRule type="cellIs" dxfId="263" priority="267" stopIfTrue="1" operator="equal">
      <formula>FALSE</formula>
    </cfRule>
    <cfRule type="expression" dxfId="262" priority="268" stopIfTrue="1">
      <formula>OR(S620=0,S621=0)</formula>
    </cfRule>
    <cfRule type="cellIs" dxfId="261" priority="269" stopIfTrue="1" operator="equal">
      <formula>TRUE</formula>
    </cfRule>
    <cfRule type="containsText" dxfId="260" priority="270" stopIfTrue="1" operator="containsText" text="N/A">
      <formula>NOT(ISERROR(SEARCH("N/A",S619)))</formula>
    </cfRule>
  </conditionalFormatting>
  <conditionalFormatting sqref="S611:W611">
    <cfRule type="containsErrors" dxfId="259" priority="261" stopIfTrue="1">
      <formula>ISERROR(S611)</formula>
    </cfRule>
    <cfRule type="cellIs" dxfId="258" priority="262" stopIfTrue="1" operator="equal">
      <formula>FALSE</formula>
    </cfRule>
    <cfRule type="expression" dxfId="257" priority="263" stopIfTrue="1">
      <formula>OR(S612=0,S613=0)</formula>
    </cfRule>
    <cfRule type="cellIs" dxfId="256" priority="264" stopIfTrue="1" operator="equal">
      <formula>TRUE</formula>
    </cfRule>
    <cfRule type="containsText" dxfId="255" priority="265" stopIfTrue="1" operator="containsText" text="N/A">
      <formula>NOT(ISERROR(SEARCH("N/A",S611)))</formula>
    </cfRule>
  </conditionalFormatting>
  <conditionalFormatting sqref="S608:W608">
    <cfRule type="containsErrors" dxfId="254" priority="256" stopIfTrue="1">
      <formula>ISERROR(S608)</formula>
    </cfRule>
    <cfRule type="cellIs" dxfId="253" priority="257" stopIfTrue="1" operator="equal">
      <formula>FALSE</formula>
    </cfRule>
    <cfRule type="expression" dxfId="252" priority="258" stopIfTrue="1">
      <formula>OR(S609=0,S610=0)</formula>
    </cfRule>
    <cfRule type="cellIs" dxfId="251" priority="259" stopIfTrue="1" operator="equal">
      <formula>TRUE</formula>
    </cfRule>
    <cfRule type="containsText" dxfId="250" priority="260" stopIfTrue="1" operator="containsText" text="N/A">
      <formula>NOT(ISERROR(SEARCH("N/A",S608)))</formula>
    </cfRule>
  </conditionalFormatting>
  <conditionalFormatting sqref="S605:W605">
    <cfRule type="containsErrors" dxfId="249" priority="251" stopIfTrue="1">
      <formula>ISERROR(S605)</formula>
    </cfRule>
    <cfRule type="cellIs" dxfId="248" priority="252" stopIfTrue="1" operator="equal">
      <formula>FALSE</formula>
    </cfRule>
    <cfRule type="expression" dxfId="247" priority="253" stopIfTrue="1">
      <formula>OR(S606=0,S607=0)</formula>
    </cfRule>
    <cfRule type="cellIs" dxfId="246" priority="254" stopIfTrue="1" operator="equal">
      <formula>TRUE</formula>
    </cfRule>
    <cfRule type="containsText" dxfId="245" priority="255" stopIfTrue="1" operator="containsText" text="N/A">
      <formula>NOT(ISERROR(SEARCH("N/A",S605)))</formula>
    </cfRule>
  </conditionalFormatting>
  <conditionalFormatting sqref="S599:W599">
    <cfRule type="containsErrors" dxfId="244" priority="241" stopIfTrue="1">
      <formula>ISERROR(S599)</formula>
    </cfRule>
    <cfRule type="cellIs" dxfId="243" priority="242" stopIfTrue="1" operator="equal">
      <formula>FALSE</formula>
    </cfRule>
    <cfRule type="expression" dxfId="242" priority="243" stopIfTrue="1">
      <formula>OR(S600=0,S601=0)</formula>
    </cfRule>
    <cfRule type="cellIs" dxfId="241" priority="244" stopIfTrue="1" operator="equal">
      <formula>TRUE</formula>
    </cfRule>
    <cfRule type="containsText" dxfId="240" priority="245" stopIfTrue="1" operator="containsText" text="N/A">
      <formula>NOT(ISERROR(SEARCH("N/A",S599)))</formula>
    </cfRule>
  </conditionalFormatting>
  <conditionalFormatting sqref="S602:W602">
    <cfRule type="containsErrors" dxfId="239" priority="246" stopIfTrue="1">
      <formula>ISERROR(S602)</formula>
    </cfRule>
    <cfRule type="cellIs" dxfId="238" priority="247" stopIfTrue="1" operator="equal">
      <formula>FALSE</formula>
    </cfRule>
    <cfRule type="expression" dxfId="237" priority="248" stopIfTrue="1">
      <formula>OR(S603=0,S604=0)</formula>
    </cfRule>
    <cfRule type="cellIs" dxfId="236" priority="249" stopIfTrue="1" operator="equal">
      <formula>TRUE</formula>
    </cfRule>
    <cfRule type="containsText" dxfId="235" priority="250" stopIfTrue="1" operator="containsText" text="N/A">
      <formula>NOT(ISERROR(SEARCH("N/A",S602)))</formula>
    </cfRule>
  </conditionalFormatting>
  <conditionalFormatting sqref="S596:W596">
    <cfRule type="containsErrors" dxfId="234" priority="236" stopIfTrue="1">
      <formula>ISERROR(S596)</formula>
    </cfRule>
    <cfRule type="cellIs" dxfId="233" priority="237" stopIfTrue="1" operator="equal">
      <formula>FALSE</formula>
    </cfRule>
    <cfRule type="expression" dxfId="232" priority="238" stopIfTrue="1">
      <formula>OR(S597=0,S598=0)</formula>
    </cfRule>
    <cfRule type="cellIs" dxfId="231" priority="239" stopIfTrue="1" operator="equal">
      <formula>TRUE</formula>
    </cfRule>
    <cfRule type="containsText" dxfId="230" priority="240" stopIfTrue="1" operator="containsText" text="N/A">
      <formula>NOT(ISERROR(SEARCH("N/A",S596)))</formula>
    </cfRule>
  </conditionalFormatting>
  <conditionalFormatting sqref="S593:W593">
    <cfRule type="containsErrors" dxfId="229" priority="231" stopIfTrue="1">
      <formula>ISERROR(S593)</formula>
    </cfRule>
    <cfRule type="cellIs" dxfId="228" priority="232" stopIfTrue="1" operator="equal">
      <formula>FALSE</formula>
    </cfRule>
    <cfRule type="expression" dxfId="227" priority="233" stopIfTrue="1">
      <formula>OR(S594=0,S595=0)</formula>
    </cfRule>
    <cfRule type="cellIs" dxfId="226" priority="234" stopIfTrue="1" operator="equal">
      <formula>TRUE</formula>
    </cfRule>
    <cfRule type="containsText" dxfId="225" priority="235" stopIfTrue="1" operator="containsText" text="N/A">
      <formula>NOT(ISERROR(SEARCH("N/A",S593)))</formula>
    </cfRule>
  </conditionalFormatting>
  <conditionalFormatting sqref="S590:W590">
    <cfRule type="containsErrors" dxfId="224" priority="226" stopIfTrue="1">
      <formula>ISERROR(S590)</formula>
    </cfRule>
    <cfRule type="cellIs" dxfId="223" priority="227" stopIfTrue="1" operator="equal">
      <formula>FALSE</formula>
    </cfRule>
    <cfRule type="expression" dxfId="222" priority="228" stopIfTrue="1">
      <formula>OR(S591=0,S592=0)</formula>
    </cfRule>
    <cfRule type="cellIs" dxfId="221" priority="229" stopIfTrue="1" operator="equal">
      <formula>TRUE</formula>
    </cfRule>
    <cfRule type="containsText" dxfId="220" priority="230" stopIfTrue="1" operator="containsText" text="N/A">
      <formula>NOT(ISERROR(SEARCH("N/A",S590)))</formula>
    </cfRule>
  </conditionalFormatting>
  <conditionalFormatting sqref="S587:W587">
    <cfRule type="containsErrors" dxfId="219" priority="221" stopIfTrue="1">
      <formula>ISERROR(S587)</formula>
    </cfRule>
    <cfRule type="cellIs" dxfId="218" priority="222" stopIfTrue="1" operator="equal">
      <formula>FALSE</formula>
    </cfRule>
    <cfRule type="expression" dxfId="217" priority="223" stopIfTrue="1">
      <formula>OR(S588=0,S589=0)</formula>
    </cfRule>
    <cfRule type="cellIs" dxfId="216" priority="224" stopIfTrue="1" operator="equal">
      <formula>TRUE</formula>
    </cfRule>
    <cfRule type="containsText" dxfId="215" priority="225" stopIfTrue="1" operator="containsText" text="N/A">
      <formula>NOT(ISERROR(SEARCH("N/A",S587)))</formula>
    </cfRule>
  </conditionalFormatting>
  <conditionalFormatting sqref="S677:W677">
    <cfRule type="containsErrors" dxfId="214" priority="181" stopIfTrue="1">
      <formula>ISERROR(S677)</formula>
    </cfRule>
    <cfRule type="cellIs" dxfId="213" priority="182" stopIfTrue="1" operator="equal">
      <formula>FALSE</formula>
    </cfRule>
    <cfRule type="expression" dxfId="212" priority="183" stopIfTrue="1">
      <formula>OR(S678=0,S679=0)</formula>
    </cfRule>
    <cfRule type="cellIs" dxfId="211" priority="184" stopIfTrue="1" operator="equal">
      <formula>TRUE</formula>
    </cfRule>
    <cfRule type="containsText" dxfId="210" priority="185" stopIfTrue="1" operator="containsText" text="N/A">
      <formula>NOT(ISERROR(SEARCH("N/A",S677)))</formula>
    </cfRule>
  </conditionalFormatting>
  <conditionalFormatting sqref="S674:W674">
    <cfRule type="containsErrors" dxfId="209" priority="186" stopIfTrue="1">
      <formula>ISERROR(S674)</formula>
    </cfRule>
    <cfRule type="cellIs" dxfId="208" priority="187" stopIfTrue="1" operator="equal">
      <formula>FALSE</formula>
    </cfRule>
    <cfRule type="expression" dxfId="207" priority="188" stopIfTrue="1">
      <formula>OR(S675=0,S676=0)</formula>
    </cfRule>
    <cfRule type="cellIs" dxfId="206" priority="189" stopIfTrue="1" operator="equal">
      <formula>TRUE</formula>
    </cfRule>
    <cfRule type="containsText" dxfId="205" priority="190" stopIfTrue="1" operator="containsText" text="N/A">
      <formula>NOT(ISERROR(SEARCH("N/A",S674)))</formula>
    </cfRule>
  </conditionalFormatting>
  <conditionalFormatting sqref="S659:W659">
    <cfRule type="containsErrors" dxfId="204" priority="211" stopIfTrue="1">
      <formula>ISERROR(S659)</formula>
    </cfRule>
    <cfRule type="cellIs" dxfId="203" priority="212" stopIfTrue="1" operator="equal">
      <formula>FALSE</formula>
    </cfRule>
    <cfRule type="expression" dxfId="202" priority="213" stopIfTrue="1">
      <formula>OR(S660=0,S661=0)</formula>
    </cfRule>
    <cfRule type="cellIs" dxfId="201" priority="214" stopIfTrue="1" operator="equal">
      <formula>TRUE</formula>
    </cfRule>
    <cfRule type="containsText" dxfId="200" priority="215" stopIfTrue="1" operator="containsText" text="N/A">
      <formula>NOT(ISERROR(SEARCH("N/A",S659)))</formula>
    </cfRule>
  </conditionalFormatting>
  <conditionalFormatting sqref="S662:W662">
    <cfRule type="containsErrors" dxfId="199" priority="206" stopIfTrue="1">
      <formula>ISERROR(S662)</formula>
    </cfRule>
    <cfRule type="cellIs" dxfId="198" priority="207" stopIfTrue="1" operator="equal">
      <formula>FALSE</formula>
    </cfRule>
    <cfRule type="expression" dxfId="197" priority="208" stopIfTrue="1">
      <formula>OR(S663=0,S664=0)</formula>
    </cfRule>
    <cfRule type="cellIs" dxfId="196" priority="209" stopIfTrue="1" operator="equal">
      <formula>TRUE</formula>
    </cfRule>
    <cfRule type="containsText" dxfId="195" priority="210" stopIfTrue="1" operator="containsText" text="N/A">
      <formula>NOT(ISERROR(SEARCH("N/A",S662)))</formula>
    </cfRule>
  </conditionalFormatting>
  <conditionalFormatting sqref="S680:W680">
    <cfRule type="containsErrors" dxfId="194" priority="176" stopIfTrue="1">
      <formula>ISERROR(S680)</formula>
    </cfRule>
    <cfRule type="cellIs" dxfId="193" priority="177" stopIfTrue="1" operator="equal">
      <formula>FALSE</formula>
    </cfRule>
    <cfRule type="expression" dxfId="192" priority="178" stopIfTrue="1">
      <formula>OR(S681=0,S682=0)</formula>
    </cfRule>
    <cfRule type="cellIs" dxfId="191" priority="179" stopIfTrue="1" operator="equal">
      <formula>TRUE</formula>
    </cfRule>
    <cfRule type="containsText" dxfId="190" priority="180" stopIfTrue="1" operator="containsText" text="N/A">
      <formula>NOT(ISERROR(SEARCH("N/A",S680)))</formula>
    </cfRule>
  </conditionalFormatting>
  <conditionalFormatting sqref="S691">
    <cfRule type="containsErrors" dxfId="189" priority="166" stopIfTrue="1">
      <formula>ISERROR(S691)</formula>
    </cfRule>
    <cfRule type="cellIs" dxfId="188" priority="167" stopIfTrue="1" operator="equal">
      <formula>FALSE</formula>
    </cfRule>
    <cfRule type="expression" dxfId="187" priority="168" stopIfTrue="1">
      <formula>OR(S692=0,S693=0)</formula>
    </cfRule>
    <cfRule type="cellIs" dxfId="186" priority="169" stopIfTrue="1" operator="equal">
      <formula>TRUE</formula>
    </cfRule>
    <cfRule type="containsText" dxfId="185" priority="170" stopIfTrue="1" operator="containsText" text="N/A">
      <formula>NOT(ISERROR(SEARCH("N/A",S691)))</formula>
    </cfRule>
  </conditionalFormatting>
  <conditionalFormatting sqref="T659:W659">
    <cfRule type="containsErrors" dxfId="184" priority="216" stopIfTrue="1">
      <formula>ISERROR(T659)</formula>
    </cfRule>
    <cfRule type="cellIs" dxfId="183" priority="217" stopIfTrue="1" operator="equal">
      <formula>FALSE</formula>
    </cfRule>
    <cfRule type="expression" dxfId="182" priority="218" stopIfTrue="1">
      <formula>OR(T660=0,#REF!=0)</formula>
    </cfRule>
    <cfRule type="cellIs" dxfId="181" priority="219" stopIfTrue="1" operator="equal">
      <formula>TRUE</formula>
    </cfRule>
    <cfRule type="containsText" dxfId="180" priority="220" stopIfTrue="1" operator="containsText" text="N/A">
      <formula>NOT(ISERROR(SEARCH("N/A",T659)))</formula>
    </cfRule>
  </conditionalFormatting>
  <conditionalFormatting sqref="S665:W665">
    <cfRule type="containsErrors" dxfId="179" priority="201" stopIfTrue="1">
      <formula>ISERROR(S665)</formula>
    </cfRule>
    <cfRule type="cellIs" dxfId="178" priority="202" stopIfTrue="1" operator="equal">
      <formula>FALSE</formula>
    </cfRule>
    <cfRule type="expression" dxfId="177" priority="203" stopIfTrue="1">
      <formula>OR(S666=0,S667=0)</formula>
    </cfRule>
    <cfRule type="cellIs" dxfId="176" priority="204" stopIfTrue="1" operator="equal">
      <formula>TRUE</formula>
    </cfRule>
    <cfRule type="containsText" dxfId="175" priority="205" stopIfTrue="1" operator="containsText" text="N/A">
      <formula>NOT(ISERROR(SEARCH("N/A",S665)))</formula>
    </cfRule>
  </conditionalFormatting>
  <conditionalFormatting sqref="S668:W668">
    <cfRule type="containsErrors" dxfId="174" priority="196" stopIfTrue="1">
      <formula>ISERROR(S668)</formula>
    </cfRule>
    <cfRule type="cellIs" dxfId="173" priority="197" stopIfTrue="1" operator="equal">
      <formula>FALSE</formula>
    </cfRule>
    <cfRule type="expression" dxfId="172" priority="198" stopIfTrue="1">
      <formula>OR(S669=0,S670=0)</formula>
    </cfRule>
    <cfRule type="cellIs" dxfId="171" priority="199" stopIfTrue="1" operator="equal">
      <formula>TRUE</formula>
    </cfRule>
    <cfRule type="containsText" dxfId="170" priority="200" stopIfTrue="1" operator="containsText" text="N/A">
      <formula>NOT(ISERROR(SEARCH("N/A",S668)))</formula>
    </cfRule>
  </conditionalFormatting>
  <conditionalFormatting sqref="S671:W671">
    <cfRule type="containsErrors" dxfId="169" priority="191" stopIfTrue="1">
      <formula>ISERROR(S671)</formula>
    </cfRule>
    <cfRule type="cellIs" dxfId="168" priority="192" stopIfTrue="1" operator="equal">
      <formula>FALSE</formula>
    </cfRule>
    <cfRule type="expression" dxfId="167" priority="193" stopIfTrue="1">
      <formula>OR(S672=0,S673=0)</formula>
    </cfRule>
    <cfRule type="cellIs" dxfId="166" priority="194" stopIfTrue="1" operator="equal">
      <formula>TRUE</formula>
    </cfRule>
    <cfRule type="containsText" dxfId="165" priority="195" stopIfTrue="1" operator="containsText" text="N/A">
      <formula>NOT(ISERROR(SEARCH("N/A",S671)))</formula>
    </cfRule>
  </conditionalFormatting>
  <conditionalFormatting sqref="S683:W683">
    <cfRule type="containsErrors" dxfId="164" priority="171" stopIfTrue="1">
      <formula>ISERROR(S683)</formula>
    </cfRule>
    <cfRule type="cellIs" dxfId="163" priority="172" stopIfTrue="1" operator="equal">
      <formula>FALSE</formula>
    </cfRule>
    <cfRule type="expression" dxfId="162" priority="173" stopIfTrue="1">
      <formula>OR(S684=0,S685=0)</formula>
    </cfRule>
    <cfRule type="cellIs" dxfId="161" priority="174" stopIfTrue="1" operator="equal">
      <formula>TRUE</formula>
    </cfRule>
    <cfRule type="containsText" dxfId="160" priority="175" stopIfTrue="1" operator="containsText" text="N/A">
      <formula>NOT(ISERROR(SEARCH("N/A",S683)))</formula>
    </cfRule>
  </conditionalFormatting>
  <conditionalFormatting sqref="S713:W713">
    <cfRule type="containsErrors" dxfId="159" priority="126" stopIfTrue="1">
      <formula>ISERROR(S713)</formula>
    </cfRule>
    <cfRule type="cellIs" dxfId="158" priority="127" stopIfTrue="1" operator="equal">
      <formula>FALSE</formula>
    </cfRule>
    <cfRule type="expression" dxfId="157" priority="128" stopIfTrue="1">
      <formula>OR(S714=0,S715=0)</formula>
    </cfRule>
    <cfRule type="cellIs" dxfId="156" priority="129" stopIfTrue="1" operator="equal">
      <formula>TRUE</formula>
    </cfRule>
    <cfRule type="containsText" dxfId="155" priority="130" stopIfTrue="1" operator="containsText" text="N/A">
      <formula>NOT(ISERROR(SEARCH("N/A",S713)))</formula>
    </cfRule>
  </conditionalFormatting>
  <conditionalFormatting sqref="S710:W710">
    <cfRule type="containsErrors" dxfId="154" priority="131" stopIfTrue="1">
      <formula>ISERROR(S710)</formula>
    </cfRule>
    <cfRule type="cellIs" dxfId="153" priority="132" stopIfTrue="1" operator="equal">
      <formula>FALSE</formula>
    </cfRule>
    <cfRule type="expression" dxfId="152" priority="133" stopIfTrue="1">
      <formula>OR(S711=0,S712=0)</formula>
    </cfRule>
    <cfRule type="cellIs" dxfId="151" priority="134" stopIfTrue="1" operator="equal">
      <formula>TRUE</formula>
    </cfRule>
    <cfRule type="containsText" dxfId="150" priority="135" stopIfTrue="1" operator="containsText" text="N/A">
      <formula>NOT(ISERROR(SEARCH("N/A",S710)))</formula>
    </cfRule>
  </conditionalFormatting>
  <conditionalFormatting sqref="S695:W695">
    <cfRule type="containsErrors" dxfId="149" priority="156" stopIfTrue="1">
      <formula>ISERROR(S695)</formula>
    </cfRule>
    <cfRule type="cellIs" dxfId="148" priority="157" stopIfTrue="1" operator="equal">
      <formula>FALSE</formula>
    </cfRule>
    <cfRule type="expression" dxfId="147" priority="158" stopIfTrue="1">
      <formula>OR(S696=0,S697=0)</formula>
    </cfRule>
    <cfRule type="cellIs" dxfId="146" priority="159" stopIfTrue="1" operator="equal">
      <formula>TRUE</formula>
    </cfRule>
    <cfRule type="containsText" dxfId="145" priority="160" stopIfTrue="1" operator="containsText" text="N/A">
      <formula>NOT(ISERROR(SEARCH("N/A",S695)))</formula>
    </cfRule>
  </conditionalFormatting>
  <conditionalFormatting sqref="S698:W698">
    <cfRule type="containsErrors" dxfId="144" priority="151" stopIfTrue="1">
      <formula>ISERROR(S698)</formula>
    </cfRule>
    <cfRule type="cellIs" dxfId="143" priority="152" stopIfTrue="1" operator="equal">
      <formula>FALSE</formula>
    </cfRule>
    <cfRule type="expression" dxfId="142" priority="153" stopIfTrue="1">
      <formula>OR(S699=0,S700=0)</formula>
    </cfRule>
    <cfRule type="cellIs" dxfId="141" priority="154" stopIfTrue="1" operator="equal">
      <formula>TRUE</formula>
    </cfRule>
    <cfRule type="containsText" dxfId="140" priority="155" stopIfTrue="1" operator="containsText" text="N/A">
      <formula>NOT(ISERROR(SEARCH("N/A",S698)))</formula>
    </cfRule>
  </conditionalFormatting>
  <conditionalFormatting sqref="S716:W716">
    <cfRule type="containsErrors" dxfId="139" priority="121" stopIfTrue="1">
      <formula>ISERROR(S716)</formula>
    </cfRule>
    <cfRule type="cellIs" dxfId="138" priority="122" stopIfTrue="1" operator="equal">
      <formula>FALSE</formula>
    </cfRule>
    <cfRule type="expression" dxfId="137" priority="123" stopIfTrue="1">
      <formula>OR(S717=0,S718=0)</formula>
    </cfRule>
    <cfRule type="cellIs" dxfId="136" priority="124" stopIfTrue="1" operator="equal">
      <formula>TRUE</formula>
    </cfRule>
    <cfRule type="containsText" dxfId="135" priority="125" stopIfTrue="1" operator="containsText" text="N/A">
      <formula>NOT(ISERROR(SEARCH("N/A",S716)))</formula>
    </cfRule>
  </conditionalFormatting>
  <conditionalFormatting sqref="S727">
    <cfRule type="containsErrors" dxfId="134" priority="111" stopIfTrue="1">
      <formula>ISERROR(S727)</formula>
    </cfRule>
    <cfRule type="cellIs" dxfId="133" priority="112" stopIfTrue="1" operator="equal">
      <formula>FALSE</formula>
    </cfRule>
    <cfRule type="expression" dxfId="132" priority="113" stopIfTrue="1">
      <formula>OR(S728=0,S729=0)</formula>
    </cfRule>
    <cfRule type="cellIs" dxfId="131" priority="114" stopIfTrue="1" operator="equal">
      <formula>TRUE</formula>
    </cfRule>
    <cfRule type="containsText" dxfId="130" priority="115" stopIfTrue="1" operator="containsText" text="N/A">
      <formula>NOT(ISERROR(SEARCH("N/A",S727)))</formula>
    </cfRule>
  </conditionalFormatting>
  <conditionalFormatting sqref="T695:W695">
    <cfRule type="containsErrors" dxfId="129" priority="161" stopIfTrue="1">
      <formula>ISERROR(T695)</formula>
    </cfRule>
    <cfRule type="cellIs" dxfId="128" priority="162" stopIfTrue="1" operator="equal">
      <formula>FALSE</formula>
    </cfRule>
    <cfRule type="expression" dxfId="127" priority="163" stopIfTrue="1">
      <formula>OR(T696=0,#REF!=0)</formula>
    </cfRule>
    <cfRule type="cellIs" dxfId="126" priority="164" stopIfTrue="1" operator="equal">
      <formula>TRUE</formula>
    </cfRule>
    <cfRule type="containsText" dxfId="125" priority="165" stopIfTrue="1" operator="containsText" text="N/A">
      <formula>NOT(ISERROR(SEARCH("N/A",T695)))</formula>
    </cfRule>
  </conditionalFormatting>
  <conditionalFormatting sqref="S701:W701">
    <cfRule type="containsErrors" dxfId="124" priority="146" stopIfTrue="1">
      <formula>ISERROR(S701)</formula>
    </cfRule>
    <cfRule type="cellIs" dxfId="123" priority="147" stopIfTrue="1" operator="equal">
      <formula>FALSE</formula>
    </cfRule>
    <cfRule type="expression" dxfId="122" priority="148" stopIfTrue="1">
      <formula>OR(S702=0,S703=0)</formula>
    </cfRule>
    <cfRule type="cellIs" dxfId="121" priority="149" stopIfTrue="1" operator="equal">
      <formula>TRUE</formula>
    </cfRule>
    <cfRule type="containsText" dxfId="120" priority="150" stopIfTrue="1" operator="containsText" text="N/A">
      <formula>NOT(ISERROR(SEARCH("N/A",S701)))</formula>
    </cfRule>
  </conditionalFormatting>
  <conditionalFormatting sqref="S704:W704">
    <cfRule type="containsErrors" dxfId="119" priority="141" stopIfTrue="1">
      <formula>ISERROR(S704)</formula>
    </cfRule>
    <cfRule type="cellIs" dxfId="118" priority="142" stopIfTrue="1" operator="equal">
      <formula>FALSE</formula>
    </cfRule>
    <cfRule type="expression" dxfId="117" priority="143" stopIfTrue="1">
      <formula>OR(S705=0,S706=0)</formula>
    </cfRule>
    <cfRule type="cellIs" dxfId="116" priority="144" stopIfTrue="1" operator="equal">
      <formula>TRUE</formula>
    </cfRule>
    <cfRule type="containsText" dxfId="115" priority="145" stopIfTrue="1" operator="containsText" text="N/A">
      <formula>NOT(ISERROR(SEARCH("N/A",S704)))</formula>
    </cfRule>
  </conditionalFormatting>
  <conditionalFormatting sqref="S707:W707">
    <cfRule type="containsErrors" dxfId="114" priority="136" stopIfTrue="1">
      <formula>ISERROR(S707)</formula>
    </cfRule>
    <cfRule type="cellIs" dxfId="113" priority="137" stopIfTrue="1" operator="equal">
      <formula>FALSE</formula>
    </cfRule>
    <cfRule type="expression" dxfId="112" priority="138" stopIfTrue="1">
      <formula>OR(S708=0,S709=0)</formula>
    </cfRule>
    <cfRule type="cellIs" dxfId="111" priority="139" stopIfTrue="1" operator="equal">
      <formula>TRUE</formula>
    </cfRule>
    <cfRule type="containsText" dxfId="110" priority="140" stopIfTrue="1" operator="containsText" text="N/A">
      <formula>NOT(ISERROR(SEARCH("N/A",S707)))</formula>
    </cfRule>
  </conditionalFormatting>
  <conditionalFormatting sqref="S719:W719">
    <cfRule type="containsErrors" dxfId="109" priority="116" stopIfTrue="1">
      <formula>ISERROR(S719)</formula>
    </cfRule>
    <cfRule type="cellIs" dxfId="108" priority="117" stopIfTrue="1" operator="equal">
      <formula>FALSE</formula>
    </cfRule>
    <cfRule type="expression" dxfId="107" priority="118" stopIfTrue="1">
      <formula>OR(S720=0,S721=0)</formula>
    </cfRule>
    <cfRule type="cellIs" dxfId="106" priority="119" stopIfTrue="1" operator="equal">
      <formula>TRUE</formula>
    </cfRule>
    <cfRule type="containsText" dxfId="105" priority="120" stopIfTrue="1" operator="containsText" text="N/A">
      <formula>NOT(ISERROR(SEARCH("N/A",S719)))</formula>
    </cfRule>
  </conditionalFormatting>
  <conditionalFormatting sqref="M44:Q44 S44:T44">
    <cfRule type="containsErrors" dxfId="104" priority="106" stopIfTrue="1">
      <formula>ISERROR(M44)</formula>
    </cfRule>
    <cfRule type="expression" dxfId="103" priority="107" stopIfTrue="1">
      <formula>OR(M45=0,#REF!=0)</formula>
    </cfRule>
    <cfRule type="cellIs" dxfId="102" priority="108" stopIfTrue="1" operator="equal">
      <formula>FALSE</formula>
    </cfRule>
    <cfRule type="cellIs" dxfId="101" priority="109" stopIfTrue="1" operator="equal">
      <formula>TRUE</formula>
    </cfRule>
    <cfRule type="containsText" dxfId="100" priority="110" stopIfTrue="1" operator="containsText" text="N/A">
      <formula>NOT(ISERROR(SEARCH("N/A",M44)))</formula>
    </cfRule>
  </conditionalFormatting>
  <conditionalFormatting sqref="M92:Q92 S92:T92">
    <cfRule type="containsErrors" dxfId="99" priority="101" stopIfTrue="1">
      <formula>ISERROR(M92)</formula>
    </cfRule>
    <cfRule type="expression" dxfId="98" priority="102" stopIfTrue="1">
      <formula>OR(M93=0,#REF!=0)</formula>
    </cfRule>
    <cfRule type="cellIs" dxfId="97" priority="103" stopIfTrue="1" operator="equal">
      <formula>FALSE</formula>
    </cfRule>
    <cfRule type="cellIs" dxfId="96" priority="104" stopIfTrue="1" operator="equal">
      <formula>TRUE</formula>
    </cfRule>
    <cfRule type="containsText" dxfId="95" priority="105" stopIfTrue="1" operator="containsText" text="N/A">
      <formula>NOT(ISERROR(SEARCH("N/A",M92)))</formula>
    </cfRule>
  </conditionalFormatting>
  <conditionalFormatting sqref="S614:W614">
    <cfRule type="containsErrors" dxfId="94" priority="96" stopIfTrue="1">
      <formula>ISERROR(S614)</formula>
    </cfRule>
    <cfRule type="cellIs" dxfId="93" priority="97" stopIfTrue="1" operator="equal">
      <formula>FALSE</formula>
    </cfRule>
    <cfRule type="expression" dxfId="92" priority="98" stopIfTrue="1">
      <formula>OR(S615=0,S616=0)</formula>
    </cfRule>
    <cfRule type="cellIs" dxfId="91" priority="99" stopIfTrue="1" operator="equal">
      <formula>TRUE</formula>
    </cfRule>
    <cfRule type="containsText" dxfId="90" priority="100" stopIfTrue="1" operator="containsText" text="N/A">
      <formula>NOT(ISERROR(SEARCH("N/A",S614)))</formula>
    </cfRule>
  </conditionalFormatting>
  <conditionalFormatting sqref="S686:W686">
    <cfRule type="containsErrors" dxfId="89" priority="91" stopIfTrue="1">
      <formula>ISERROR(S686)</formula>
    </cfRule>
    <cfRule type="cellIs" dxfId="88" priority="92" stopIfTrue="1" operator="equal">
      <formula>FALSE</formula>
    </cfRule>
    <cfRule type="expression" dxfId="87" priority="93" stopIfTrue="1">
      <formula>OR(S687=0,S688=0)</formula>
    </cfRule>
    <cfRule type="cellIs" dxfId="86" priority="94" stopIfTrue="1" operator="equal">
      <formula>TRUE</formula>
    </cfRule>
    <cfRule type="containsText" dxfId="85" priority="95" stopIfTrue="1" operator="containsText" text="N/A">
      <formula>NOT(ISERROR(SEARCH("N/A",S686)))</formula>
    </cfRule>
  </conditionalFormatting>
  <conditionalFormatting sqref="S722:W722">
    <cfRule type="containsErrors" dxfId="84" priority="86" stopIfTrue="1">
      <formula>ISERROR(S722)</formula>
    </cfRule>
    <cfRule type="cellIs" dxfId="83" priority="87" stopIfTrue="1" operator="equal">
      <formula>FALSE</formula>
    </cfRule>
    <cfRule type="expression" dxfId="82" priority="88" stopIfTrue="1">
      <formula>OR(S723=0,S724=0)</formula>
    </cfRule>
    <cfRule type="cellIs" dxfId="81" priority="89" stopIfTrue="1" operator="equal">
      <formula>TRUE</formula>
    </cfRule>
    <cfRule type="containsText" dxfId="80" priority="90" stopIfTrue="1" operator="containsText" text="N/A">
      <formula>NOT(ISERROR(SEARCH("N/A",S722)))</formula>
    </cfRule>
  </conditionalFormatting>
  <conditionalFormatting sqref="S617:W617">
    <cfRule type="containsErrors" dxfId="79" priority="81" stopIfTrue="1">
      <formula>ISERROR(S617)</formula>
    </cfRule>
    <cfRule type="cellIs" dxfId="78" priority="82" stopIfTrue="1" operator="equal">
      <formula>FALSE</formula>
    </cfRule>
    <cfRule type="expression" dxfId="77" priority="83" stopIfTrue="1">
      <formula>OR(S618=0,S619=0)</formula>
    </cfRule>
    <cfRule type="cellIs" dxfId="76" priority="84" stopIfTrue="1" operator="equal">
      <formula>TRUE</formula>
    </cfRule>
    <cfRule type="containsText" dxfId="75" priority="85" stopIfTrue="1" operator="containsText" text="N/A">
      <formula>NOT(ISERROR(SEARCH("N/A",S617)))</formula>
    </cfRule>
  </conditionalFormatting>
  <conditionalFormatting sqref="S689:W689">
    <cfRule type="containsErrors" dxfId="74" priority="76" stopIfTrue="1">
      <formula>ISERROR(S689)</formula>
    </cfRule>
    <cfRule type="cellIs" dxfId="73" priority="77" stopIfTrue="1" operator="equal">
      <formula>FALSE</formula>
    </cfRule>
    <cfRule type="expression" dxfId="72" priority="78" stopIfTrue="1">
      <formula>OR(S690=0,S691=0)</formula>
    </cfRule>
    <cfRule type="cellIs" dxfId="71" priority="79" stopIfTrue="1" operator="equal">
      <formula>TRUE</formula>
    </cfRule>
    <cfRule type="containsText" dxfId="70" priority="80" stopIfTrue="1" operator="containsText" text="N/A">
      <formula>NOT(ISERROR(SEARCH("N/A",S689)))</formula>
    </cfRule>
  </conditionalFormatting>
  <conditionalFormatting sqref="S725:W725">
    <cfRule type="containsErrors" dxfId="69" priority="71" stopIfTrue="1">
      <formula>ISERROR(S725)</formula>
    </cfRule>
    <cfRule type="cellIs" dxfId="68" priority="72" stopIfTrue="1" operator="equal">
      <formula>FALSE</formula>
    </cfRule>
    <cfRule type="expression" dxfId="67" priority="73" stopIfTrue="1">
      <formula>OR(S726=0,S727=0)</formula>
    </cfRule>
    <cfRule type="cellIs" dxfId="66" priority="74" stopIfTrue="1" operator="equal">
      <formula>TRUE</formula>
    </cfRule>
    <cfRule type="containsText" dxfId="65" priority="75" stopIfTrue="1" operator="containsText" text="N/A">
      <formula>NOT(ISERROR(SEARCH("N/A",S725)))</formula>
    </cfRule>
  </conditionalFormatting>
  <conditionalFormatting sqref="S623:W623">
    <cfRule type="containsErrors" dxfId="64" priority="61" stopIfTrue="1">
      <formula>ISERROR(S623)</formula>
    </cfRule>
    <cfRule type="cellIs" dxfId="63" priority="62" stopIfTrue="1" operator="equal">
      <formula>FALSE</formula>
    </cfRule>
    <cfRule type="expression" dxfId="62" priority="63" stopIfTrue="1">
      <formula>OR(S624=0,S625=0)</formula>
    </cfRule>
    <cfRule type="cellIs" dxfId="61" priority="64" stopIfTrue="1" operator="equal">
      <formula>TRUE</formula>
    </cfRule>
    <cfRule type="containsText" dxfId="60" priority="65" stopIfTrue="1" operator="containsText" text="N/A">
      <formula>NOT(ISERROR(SEARCH("N/A",S623)))</formula>
    </cfRule>
  </conditionalFormatting>
  <conditionalFormatting sqref="S655">
    <cfRule type="containsErrors" dxfId="59" priority="11" stopIfTrue="1">
      <formula>ISERROR(S655)</formula>
    </cfRule>
    <cfRule type="cellIs" dxfId="58" priority="12" stopIfTrue="1" operator="equal">
      <formula>FALSE</formula>
    </cfRule>
    <cfRule type="expression" dxfId="57" priority="13" stopIfTrue="1">
      <formula>OR(S656=0,S657=0)</formula>
    </cfRule>
    <cfRule type="cellIs" dxfId="56" priority="14" stopIfTrue="1" operator="equal">
      <formula>TRUE</formula>
    </cfRule>
    <cfRule type="containsText" dxfId="55" priority="15" stopIfTrue="1" operator="containsText" text="N/A">
      <formula>NOT(ISERROR(SEARCH("N/A",S655)))</formula>
    </cfRule>
  </conditionalFormatting>
  <conditionalFormatting sqref="T623:W623">
    <cfRule type="containsErrors" dxfId="54" priority="66" stopIfTrue="1">
      <formula>ISERROR(T623)</formula>
    </cfRule>
    <cfRule type="cellIs" dxfId="53" priority="67" stopIfTrue="1" operator="equal">
      <formula>FALSE</formula>
    </cfRule>
    <cfRule type="expression" dxfId="52" priority="68" stopIfTrue="1">
      <formula>OR(T624=0,#REF!=0)</formula>
    </cfRule>
    <cfRule type="cellIs" dxfId="51" priority="69" stopIfTrue="1" operator="equal">
      <formula>TRUE</formula>
    </cfRule>
    <cfRule type="containsText" dxfId="50" priority="70" stopIfTrue="1" operator="containsText" text="N/A">
      <formula>NOT(ISERROR(SEARCH("N/A",T623)))</formula>
    </cfRule>
  </conditionalFormatting>
  <conditionalFormatting sqref="S626:W626">
    <cfRule type="containsErrors" dxfId="49" priority="56" stopIfTrue="1">
      <formula>ISERROR(S626)</formula>
    </cfRule>
    <cfRule type="cellIs" dxfId="48" priority="57" stopIfTrue="1" operator="equal">
      <formula>FALSE</formula>
    </cfRule>
    <cfRule type="expression" dxfId="47" priority="58" stopIfTrue="1">
      <formula>OR(S627=0,S628=0)</formula>
    </cfRule>
    <cfRule type="cellIs" dxfId="46" priority="59" stopIfTrue="1" operator="equal">
      <formula>TRUE</formula>
    </cfRule>
    <cfRule type="containsText" dxfId="45" priority="60" stopIfTrue="1" operator="containsText" text="N/A">
      <formula>NOT(ISERROR(SEARCH("N/A",S626)))</formula>
    </cfRule>
  </conditionalFormatting>
  <conditionalFormatting sqref="S629:W629">
    <cfRule type="containsErrors" dxfId="44" priority="51" stopIfTrue="1">
      <formula>ISERROR(S629)</formula>
    </cfRule>
    <cfRule type="cellIs" dxfId="43" priority="52" stopIfTrue="1" operator="equal">
      <formula>FALSE</formula>
    </cfRule>
    <cfRule type="expression" dxfId="42" priority="53" stopIfTrue="1">
      <formula>OR(S630=0,S631=0)</formula>
    </cfRule>
    <cfRule type="cellIs" dxfId="41" priority="54" stopIfTrue="1" operator="equal">
      <formula>TRUE</formula>
    </cfRule>
    <cfRule type="containsText" dxfId="40" priority="55" stopIfTrue="1" operator="containsText" text="N/A">
      <formula>NOT(ISERROR(SEARCH("N/A",S629)))</formula>
    </cfRule>
  </conditionalFormatting>
  <conditionalFormatting sqref="S632:W632">
    <cfRule type="containsErrors" dxfId="39" priority="46" stopIfTrue="1">
      <formula>ISERROR(S632)</formula>
    </cfRule>
    <cfRule type="cellIs" dxfId="38" priority="47" stopIfTrue="1" operator="equal">
      <formula>FALSE</formula>
    </cfRule>
    <cfRule type="expression" dxfId="37" priority="48" stopIfTrue="1">
      <formula>OR(S633=0,S634=0)</formula>
    </cfRule>
    <cfRule type="cellIs" dxfId="36" priority="49" stopIfTrue="1" operator="equal">
      <formula>TRUE</formula>
    </cfRule>
    <cfRule type="containsText" dxfId="35" priority="50" stopIfTrue="1" operator="containsText" text="N/A">
      <formula>NOT(ISERROR(SEARCH("N/A",S632)))</formula>
    </cfRule>
  </conditionalFormatting>
  <conditionalFormatting sqref="S635:W635">
    <cfRule type="containsErrors" dxfId="34" priority="41" stopIfTrue="1">
      <formula>ISERROR(S635)</formula>
    </cfRule>
    <cfRule type="cellIs" dxfId="33" priority="42" stopIfTrue="1" operator="equal">
      <formula>FALSE</formula>
    </cfRule>
    <cfRule type="expression" dxfId="32" priority="43" stopIfTrue="1">
      <formula>OR(S636=0,S637=0)</formula>
    </cfRule>
    <cfRule type="cellIs" dxfId="31" priority="44" stopIfTrue="1" operator="equal">
      <formula>TRUE</formula>
    </cfRule>
    <cfRule type="containsText" dxfId="30" priority="45" stopIfTrue="1" operator="containsText" text="N/A">
      <formula>NOT(ISERROR(SEARCH("N/A",S635)))</formula>
    </cfRule>
  </conditionalFormatting>
  <conditionalFormatting sqref="S638:W638">
    <cfRule type="containsErrors" dxfId="29" priority="36" stopIfTrue="1">
      <formula>ISERROR(S638)</formula>
    </cfRule>
    <cfRule type="cellIs" dxfId="28" priority="37" stopIfTrue="1" operator="equal">
      <formula>FALSE</formula>
    </cfRule>
    <cfRule type="expression" dxfId="27" priority="38" stopIfTrue="1">
      <formula>OR(S639=0,S640=0)</formula>
    </cfRule>
    <cfRule type="cellIs" dxfId="26" priority="39" stopIfTrue="1" operator="equal">
      <formula>TRUE</formula>
    </cfRule>
    <cfRule type="containsText" dxfId="25" priority="40" stopIfTrue="1" operator="containsText" text="N/A">
      <formula>NOT(ISERROR(SEARCH("N/A",S638)))</formula>
    </cfRule>
  </conditionalFormatting>
  <conditionalFormatting sqref="S641:W641">
    <cfRule type="containsErrors" dxfId="24" priority="31" stopIfTrue="1">
      <formula>ISERROR(S641)</formula>
    </cfRule>
    <cfRule type="cellIs" dxfId="23" priority="32" stopIfTrue="1" operator="equal">
      <formula>FALSE</formula>
    </cfRule>
    <cfRule type="expression" dxfId="22" priority="33" stopIfTrue="1">
      <formula>OR(S642=0,S643=0)</formula>
    </cfRule>
    <cfRule type="cellIs" dxfId="21" priority="34" stopIfTrue="1" operator="equal">
      <formula>TRUE</formula>
    </cfRule>
    <cfRule type="containsText" dxfId="20" priority="35" stopIfTrue="1" operator="containsText" text="N/A">
      <formula>NOT(ISERROR(SEARCH("N/A",S641)))</formula>
    </cfRule>
  </conditionalFormatting>
  <conditionalFormatting sqref="S644:W644">
    <cfRule type="containsErrors" dxfId="19" priority="26" stopIfTrue="1">
      <formula>ISERROR(S644)</formula>
    </cfRule>
    <cfRule type="cellIs" dxfId="18" priority="27" stopIfTrue="1" operator="equal">
      <formula>FALSE</formula>
    </cfRule>
    <cfRule type="expression" dxfId="17" priority="28" stopIfTrue="1">
      <formula>OR(S645=0,S646=0)</formula>
    </cfRule>
    <cfRule type="cellIs" dxfId="16" priority="29" stopIfTrue="1" operator="equal">
      <formula>TRUE</formula>
    </cfRule>
    <cfRule type="containsText" dxfId="15" priority="30" stopIfTrue="1" operator="containsText" text="N/A">
      <formula>NOT(ISERROR(SEARCH("N/A",S644)))</formula>
    </cfRule>
  </conditionalFormatting>
  <conditionalFormatting sqref="S647:W647">
    <cfRule type="containsErrors" dxfId="14" priority="21" stopIfTrue="1">
      <formula>ISERROR(S647)</formula>
    </cfRule>
    <cfRule type="cellIs" dxfId="13" priority="22" stopIfTrue="1" operator="equal">
      <formula>FALSE</formula>
    </cfRule>
    <cfRule type="expression" dxfId="12" priority="23" stopIfTrue="1">
      <formula>OR(S648=0,S649=0)</formula>
    </cfRule>
    <cfRule type="cellIs" dxfId="11" priority="24" stopIfTrue="1" operator="equal">
      <formula>TRUE</formula>
    </cfRule>
    <cfRule type="containsText" dxfId="10" priority="25" stopIfTrue="1" operator="containsText" text="N/A">
      <formula>NOT(ISERROR(SEARCH("N/A",S647)))</formula>
    </cfRule>
  </conditionalFormatting>
  <conditionalFormatting sqref="S650:W650">
    <cfRule type="containsErrors" dxfId="9" priority="16" stopIfTrue="1">
      <formula>ISERROR(S650)</formula>
    </cfRule>
    <cfRule type="cellIs" dxfId="8" priority="17" stopIfTrue="1" operator="equal">
      <formula>FALSE</formula>
    </cfRule>
    <cfRule type="expression" dxfId="7" priority="18" stopIfTrue="1">
      <formula>OR(S651=0,S652=0)</formula>
    </cfRule>
    <cfRule type="cellIs" dxfId="6" priority="19" stopIfTrue="1" operator="equal">
      <formula>TRUE</formula>
    </cfRule>
    <cfRule type="containsText" dxfId="5" priority="20" stopIfTrue="1" operator="containsText" text="N/A">
      <formula>NOT(ISERROR(SEARCH("N/A",S650)))</formula>
    </cfRule>
  </conditionalFormatting>
  <conditionalFormatting sqref="S653:W653">
    <cfRule type="containsErrors" dxfId="4" priority="6" stopIfTrue="1">
      <formula>ISERROR(S653)</formula>
    </cfRule>
    <cfRule type="cellIs" dxfId="3" priority="7" stopIfTrue="1" operator="equal">
      <formula>FALSE</formula>
    </cfRule>
    <cfRule type="expression" dxfId="2" priority="8" stopIfTrue="1">
      <formula>OR(S654=0,S655=0)</formula>
    </cfRule>
    <cfRule type="cellIs" dxfId="1" priority="9" stopIfTrue="1" operator="equal">
      <formula>TRUE</formula>
    </cfRule>
    <cfRule type="containsText" dxfId="0" priority="10" stopIfTrue="1" operator="containsText" text="N/A">
      <formula>NOT(ISERROR(SEARCH("N/A",S653)))</formula>
    </cfRule>
  </conditionalFormatting>
  <pageMargins left="0.70866141732283472" right="0.70866141732283472" top="0.43307086614173229" bottom="0.74803149606299213" header="0.31496062992125984" footer="0.31496062992125984"/>
  <pageSetup paperSize="8" scale="49" fitToHeight="10"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pageSetUpPr fitToPage="1"/>
  </sheetPr>
  <dimension ref="A1:Z251"/>
  <sheetViews>
    <sheetView workbookViewId="0">
      <selection activeCell="A2" sqref="A2"/>
    </sheetView>
  </sheetViews>
  <sheetFormatPr defaultColWidth="12.5703125" defaultRowHeight="15"/>
  <cols>
    <col min="1" max="1" width="12.5703125" style="455" customWidth="1"/>
    <col min="2" max="2" width="2.140625" style="386" customWidth="1"/>
    <col min="3" max="3" width="52.5703125" style="386" customWidth="1"/>
    <col min="4" max="4" width="7.7109375" style="386" customWidth="1"/>
    <col min="5" max="5" width="10" style="386" customWidth="1"/>
    <col min="6" max="6" width="10" style="219" customWidth="1"/>
    <col min="7" max="12" width="10" style="386" customWidth="1"/>
    <col min="13" max="13" width="10.7109375" style="386" customWidth="1"/>
    <col min="14" max="14" width="3.42578125" style="386" customWidth="1"/>
    <col min="15" max="15" width="28.85546875" style="386" customWidth="1"/>
    <col min="16" max="16" width="7.7109375" style="386" customWidth="1"/>
    <col min="17" max="17" width="8.42578125" style="386" bestFit="1" customWidth="1"/>
    <col min="18" max="18" width="7.7109375" style="386" customWidth="1"/>
    <col min="19" max="19" width="16.42578125" style="386" customWidth="1"/>
    <col min="20" max="27" width="7.7109375" style="386" customWidth="1"/>
    <col min="28" max="16384" width="12.5703125" style="386"/>
  </cols>
  <sheetData>
    <row r="1" spans="1:26" ht="12" customHeight="1">
      <c r="C1" s="1598" t="s">
        <v>486</v>
      </c>
      <c r="D1" s="1598"/>
      <c r="E1" s="1598"/>
      <c r="F1" s="1598"/>
      <c r="G1" s="1598"/>
      <c r="H1" s="1598"/>
      <c r="I1" s="1598"/>
      <c r="J1" s="1598"/>
      <c r="K1" s="1598"/>
      <c r="L1" s="1598"/>
      <c r="M1" s="1598"/>
      <c r="N1" s="387"/>
      <c r="O1" s="387"/>
      <c r="P1" s="387"/>
      <c r="Q1" s="387"/>
      <c r="R1" s="387"/>
      <c r="S1" s="387"/>
      <c r="T1" s="387"/>
      <c r="U1" s="387"/>
      <c r="V1" s="387"/>
      <c r="W1" s="387"/>
      <c r="X1" s="387"/>
      <c r="Y1" s="387"/>
      <c r="Z1" s="387"/>
    </row>
    <row r="2" spans="1:26" ht="12" customHeight="1">
      <c r="C2" s="793"/>
      <c r="D2" s="388"/>
      <c r="E2" s="388"/>
      <c r="G2" s="388"/>
      <c r="H2" s="388"/>
      <c r="I2" s="388"/>
      <c r="J2" s="388"/>
      <c r="K2" s="388"/>
      <c r="L2" s="388"/>
      <c r="M2" s="388"/>
      <c r="N2" s="388"/>
    </row>
    <row r="3" spans="1:26" ht="12" customHeight="1">
      <c r="C3" s="681" t="str">
        <f>'T2'!A3</f>
        <v>United Kingdom</v>
      </c>
      <c r="D3" s="388"/>
      <c r="E3" s="388"/>
      <c r="G3" s="388"/>
      <c r="H3" s="388"/>
      <c r="I3" s="388"/>
      <c r="J3" s="388"/>
      <c r="K3" s="388"/>
      <c r="L3" s="388"/>
      <c r="M3" s="388"/>
      <c r="N3" s="388"/>
    </row>
    <row r="4" spans="1:26" ht="12" customHeight="1">
      <c r="C4" s="83" t="str">
        <f>'T2'!A4</f>
        <v>Currency : GBP £</v>
      </c>
      <c r="D4" s="388"/>
      <c r="E4" s="793"/>
      <c r="G4" s="388"/>
      <c r="H4" s="388"/>
      <c r="I4" s="388"/>
      <c r="J4" s="388"/>
      <c r="K4" s="388"/>
      <c r="L4" s="388"/>
      <c r="M4" s="388"/>
      <c r="N4" s="388"/>
    </row>
    <row r="5" spans="1:26" ht="12" customHeight="1">
      <c r="C5" s="147" t="str">
        <f>'T2'!A5</f>
        <v>All Entities</v>
      </c>
      <c r="D5" s="388"/>
      <c r="E5" s="390"/>
      <c r="G5" s="390"/>
      <c r="H5" s="388"/>
      <c r="I5" s="388"/>
      <c r="J5" s="388"/>
      <c r="K5" s="388"/>
      <c r="L5" s="388"/>
      <c r="M5" s="388"/>
      <c r="N5" s="388"/>
    </row>
    <row r="6" spans="1:26" ht="12" customHeight="1">
      <c r="C6" s="390"/>
      <c r="D6" s="390"/>
      <c r="E6" s="390"/>
      <c r="F6" s="390"/>
      <c r="G6" s="390"/>
      <c r="H6" s="390"/>
      <c r="I6" s="390"/>
      <c r="J6" s="390"/>
      <c r="K6" s="390"/>
      <c r="L6" s="390"/>
      <c r="M6" s="390"/>
      <c r="N6" s="390"/>
    </row>
    <row r="7" spans="1:26" ht="12" customHeight="1">
      <c r="A7" s="455" t="s">
        <v>487</v>
      </c>
      <c r="C7" s="391" t="s">
        <v>488</v>
      </c>
      <c r="D7" s="392" t="s">
        <v>489</v>
      </c>
      <c r="E7" s="393">
        <v>2020</v>
      </c>
      <c r="F7" s="394">
        <v>2021</v>
      </c>
      <c r="G7" s="394">
        <v>2022</v>
      </c>
      <c r="H7" s="394">
        <v>2023</v>
      </c>
      <c r="I7" s="1057">
        <v>2024</v>
      </c>
      <c r="J7" s="394">
        <v>2025</v>
      </c>
      <c r="K7" s="1057">
        <v>2026</v>
      </c>
      <c r="L7" s="394">
        <v>2027</v>
      </c>
      <c r="M7" s="1048" t="s">
        <v>490</v>
      </c>
      <c r="N7" s="388"/>
    </row>
    <row r="8" spans="1:26" ht="11.1" customHeight="1">
      <c r="B8" s="396"/>
      <c r="C8" s="397"/>
      <c r="D8" s="397"/>
      <c r="E8" s="397"/>
      <c r="F8" s="397"/>
      <c r="G8" s="397"/>
      <c r="H8" s="397"/>
      <c r="I8" s="397"/>
      <c r="M8" s="397"/>
      <c r="N8" s="388"/>
    </row>
    <row r="9" spans="1:26">
      <c r="A9" s="455">
        <v>2018</v>
      </c>
      <c r="B9" s="396"/>
      <c r="C9" s="398" t="s">
        <v>491</v>
      </c>
      <c r="D9" s="475">
        <f>'T3 ANSP'!D9+'T3 MET'!D9+'T3 MET'!D9</f>
        <v>-14298.675647772914</v>
      </c>
      <c r="E9" s="438">
        <f>'T3 ANSP'!E9+'T3 MET'!E9+'T3 MET'!E9</f>
        <v>-14298.944372610684</v>
      </c>
      <c r="F9" s="421">
        <f>'T3 ANSP'!F9+'T3 MET'!F9+'T3 MET'!F9</f>
        <v>0</v>
      </c>
      <c r="G9" s="421">
        <f>'T3 ANSP'!G9+'T3 MET'!G9+'T3 MET'!G9</f>
        <v>0</v>
      </c>
      <c r="H9" s="421">
        <f>'T3 ANSP'!H9+'T3 MET'!H9+'T3 MET'!H9</f>
        <v>0</v>
      </c>
      <c r="I9" s="1408">
        <f>'T3 ANSP'!I9+'T3 MET'!I9+'T3 MET'!I9</f>
        <v>0</v>
      </c>
      <c r="J9" s="1408">
        <f>'T3 ANSP'!J9+'T3 MET'!J9+'T3 MET'!J9</f>
        <v>0</v>
      </c>
      <c r="K9" s="1408">
        <f>'T3 ANSP'!K9+'T3 MET'!K9+'T3 MET'!K9</f>
        <v>0</v>
      </c>
      <c r="L9" s="1408">
        <f>'T3 ANSP'!L9+'T3 MET'!L9+'T3 MET'!L9</f>
        <v>0</v>
      </c>
      <c r="M9" s="1408">
        <f>'T3 ANSP'!M9+'T3 MET'!M9+'T3 MET'!M9</f>
        <v>0</v>
      </c>
      <c r="O9" s="405"/>
    </row>
    <row r="10" spans="1:26">
      <c r="A10" s="455">
        <v>2019</v>
      </c>
      <c r="B10" s="396"/>
      <c r="C10" s="406" t="s">
        <v>492</v>
      </c>
      <c r="D10" s="477">
        <f>'T3 ANSP'!D10+'T3 MET'!D10+'T3 MET'!D10</f>
        <v>-15272.290323478455</v>
      </c>
      <c r="E10" s="441">
        <f>'T3 ANSP'!E10+'T3 MET'!E10+'T3 MET'!E10</f>
        <v>0</v>
      </c>
      <c r="F10" s="423">
        <f>'T3 ANSP'!F10+'T3 MET'!F10+'T3 MET'!F10</f>
        <v>-15272.290323478455</v>
      </c>
      <c r="G10" s="423">
        <f>'T3 ANSP'!G10+'T3 MET'!G10+'T3 MET'!G10</f>
        <v>0</v>
      </c>
      <c r="H10" s="423">
        <f>'T3 ANSP'!H10+'T3 MET'!H10+'T3 MET'!H10</f>
        <v>0</v>
      </c>
      <c r="I10" s="1061">
        <f>'T3 ANSP'!I10+'T3 MET'!I10+'T3 MET'!I10</f>
        <v>0</v>
      </c>
      <c r="J10" s="1061">
        <f>'T3 ANSP'!J10+'T3 MET'!J10+'T3 MET'!J10</f>
        <v>0</v>
      </c>
      <c r="K10" s="1061">
        <f>'T3 ANSP'!K10+'T3 MET'!K10+'T3 MET'!K10</f>
        <v>0</v>
      </c>
      <c r="L10" s="1061">
        <f>'T3 ANSP'!L10+'T3 MET'!L10+'T3 MET'!L10</f>
        <v>0</v>
      </c>
      <c r="M10" s="1061">
        <f>'T3 ANSP'!M10+'T3 MET'!M10+'T3 MET'!M10</f>
        <v>0</v>
      </c>
      <c r="O10" s="405"/>
    </row>
    <row r="11" spans="1:26">
      <c r="A11" s="455" t="s">
        <v>493</v>
      </c>
      <c r="B11" s="396"/>
      <c r="C11" s="413" t="s">
        <v>494</v>
      </c>
      <c r="D11" s="414">
        <f>'T3 ANSP'!D11+'T3 MET'!D11+'T3 MET'!D11</f>
        <v>-29570.965971251368</v>
      </c>
      <c r="E11" s="415">
        <f>'T3 ANSP'!E11+'T3 MET'!E11+'T3 MET'!E11</f>
        <v>-14298.944372610684</v>
      </c>
      <c r="F11" s="416">
        <f>'T3 ANSP'!F11+'T3 MET'!F11+'T3 MET'!F11</f>
        <v>-15272.290323478455</v>
      </c>
      <c r="G11" s="416">
        <f>'T3 ANSP'!G11+'T3 MET'!G11+'T3 MET'!G11</f>
        <v>0</v>
      </c>
      <c r="H11" s="416">
        <f>'T3 ANSP'!H11+'T3 MET'!H11+'T3 MET'!H11</f>
        <v>0</v>
      </c>
      <c r="I11" s="451">
        <f>'T3 ANSP'!I11+'T3 MET'!I11+'T3 MET'!I11</f>
        <v>0</v>
      </c>
      <c r="J11" s="451">
        <f>'T3 ANSP'!J11+'T3 MET'!J11+'T3 MET'!J11</f>
        <v>0</v>
      </c>
      <c r="K11" s="451">
        <f>'T3 ANSP'!K11+'T3 MET'!K11+'T3 MET'!K11</f>
        <v>0</v>
      </c>
      <c r="L11" s="451">
        <f>'T3 ANSP'!L11+'T3 MET'!L11+'T3 MET'!L11</f>
        <v>0</v>
      </c>
      <c r="M11" s="451">
        <f>'T3 ANSP'!M11+'T3 MET'!M11+'T3 MET'!M11</f>
        <v>0</v>
      </c>
      <c r="O11" s="405"/>
    </row>
    <row r="12" spans="1:26">
      <c r="A12" s="455">
        <v>2020</v>
      </c>
      <c r="B12" s="396"/>
      <c r="C12" s="398" t="s">
        <v>495</v>
      </c>
      <c r="D12" s="399">
        <f>'T3 ANSP'!D12+'T3 MET'!D12+'T3 MET'!D12</f>
        <v>-8185.8692167343452</v>
      </c>
      <c r="E12" s="438">
        <f>'T3 ANSP'!E12+'T3 MET'!E12+'T3 MET'!E12</f>
        <v>0</v>
      </c>
      <c r="F12" s="421">
        <f>'T3 ANSP'!F12+'T3 MET'!F12+'T3 MET'!F12</f>
        <v>0</v>
      </c>
      <c r="G12" s="421">
        <f>'T3 ANSP'!G12+'T3 MET'!G12+'T3 MET'!G12</f>
        <v>-8185.8692167343452</v>
      </c>
      <c r="H12" s="421">
        <f>'T3 ANSP'!H12+'T3 MET'!H12+'T3 MET'!H12</f>
        <v>0</v>
      </c>
      <c r="I12" s="423">
        <f>'T3 ANSP'!I12+'T3 MET'!I12+'T3 MET'!I12</f>
        <v>0</v>
      </c>
      <c r="J12" s="423">
        <f>'T3 ANSP'!J12+'T3 MET'!J12+'T3 MET'!J12</f>
        <v>0</v>
      </c>
      <c r="K12" s="423">
        <f>'T3 ANSP'!K12+'T3 MET'!K12+'T3 MET'!K12</f>
        <v>0</v>
      </c>
      <c r="L12" s="423">
        <f>'T3 ANSP'!L12+'T3 MET'!L12+'T3 MET'!L12</f>
        <v>0</v>
      </c>
      <c r="M12" s="437">
        <f>'T3 ANSP'!M12+'T3 MET'!M12+'T3 MET'!M12</f>
        <v>0</v>
      </c>
      <c r="O12" s="405"/>
    </row>
    <row r="13" spans="1:26">
      <c r="A13" s="455">
        <v>2021</v>
      </c>
      <c r="B13" s="396"/>
      <c r="C13" s="406" t="s">
        <v>496</v>
      </c>
      <c r="D13" s="407">
        <f>'T3 ANSP'!D13+'T3 MET'!D13+'T3 MET'!D13</f>
        <v>-3724.4261419339277</v>
      </c>
      <c r="E13" s="441">
        <f>'T3 ANSP'!E13+'T3 MET'!E13+'T3 MET'!E13</f>
        <v>0</v>
      </c>
      <c r="F13" s="423">
        <f>'T3 ANSP'!F13+'T3 MET'!F13+'T3 MET'!F13</f>
        <v>0</v>
      </c>
      <c r="G13" s="423">
        <f>'T3 ANSP'!G13+'T3 MET'!G13+'T3 MET'!G13</f>
        <v>0</v>
      </c>
      <c r="H13" s="423">
        <f>'T3 ANSP'!H13+'T3 MET'!H13+'T3 MET'!H13</f>
        <v>-3724.4261419339277</v>
      </c>
      <c r="I13" s="423">
        <f>'T3 ANSP'!I13+'T3 MET'!I13+'T3 MET'!I13</f>
        <v>0</v>
      </c>
      <c r="J13" s="423">
        <f>'T3 ANSP'!J13+'T3 MET'!J13+'T3 MET'!J13</f>
        <v>0</v>
      </c>
      <c r="K13" s="423">
        <f>'T3 ANSP'!K13+'T3 MET'!K13+'T3 MET'!K13</f>
        <v>0</v>
      </c>
      <c r="L13" s="423">
        <f>'T3 ANSP'!L13+'T3 MET'!L13+'T3 MET'!L13</f>
        <v>0</v>
      </c>
      <c r="M13" s="440">
        <f>'T3 ANSP'!M13+'T3 MET'!M13+'T3 MET'!M13</f>
        <v>0</v>
      </c>
      <c r="O13" s="405"/>
    </row>
    <row r="14" spans="1:26">
      <c r="A14" s="455">
        <v>2022</v>
      </c>
      <c r="B14" s="396"/>
      <c r="C14" s="406" t="s">
        <v>497</v>
      </c>
      <c r="D14" s="407">
        <f>'T3 ANSP'!D14+'T3 MET'!D14+'T3 MET'!D14</f>
        <v>1211.0470623107449</v>
      </c>
      <c r="E14" s="441">
        <f>'T3 ANSP'!E14+'T3 MET'!E14+'T3 MET'!E14</f>
        <v>0</v>
      </c>
      <c r="F14" s="423">
        <f>'T3 ANSP'!F14+'T3 MET'!F14+'T3 MET'!F14</f>
        <v>0</v>
      </c>
      <c r="G14" s="423">
        <f>'T3 ANSP'!G14+'T3 MET'!G14+'T3 MET'!G14</f>
        <v>0</v>
      </c>
      <c r="H14" s="423">
        <f>'T3 ANSP'!H14+'T3 MET'!H14+'T3 MET'!H14</f>
        <v>0</v>
      </c>
      <c r="I14" s="1061">
        <f>'T3 ANSP'!I14+'T3 MET'!I14+'T3 MET'!I14</f>
        <v>1211.0470623107449</v>
      </c>
      <c r="J14" s="423">
        <f>'T3 ANSP'!J14+'T3 MET'!J14+'T3 MET'!J14</f>
        <v>0</v>
      </c>
      <c r="K14" s="423">
        <f>'T3 ANSP'!K14+'T3 MET'!K14+'T3 MET'!K14</f>
        <v>0</v>
      </c>
      <c r="L14" s="423">
        <f>'T3 ANSP'!L14+'T3 MET'!L14+'T3 MET'!L14</f>
        <v>0</v>
      </c>
      <c r="M14" s="440">
        <f>'T3 ANSP'!M14+'T3 MET'!M14+'T3 MET'!M14</f>
        <v>0</v>
      </c>
      <c r="O14" s="405"/>
    </row>
    <row r="15" spans="1:26">
      <c r="A15" s="455" t="s">
        <v>498</v>
      </c>
      <c r="B15" s="396"/>
      <c r="C15" s="413" t="s">
        <v>499</v>
      </c>
      <c r="D15" s="414">
        <f>'T3 ANSP'!D15+'T3 MET'!D15+'T3 MET'!D15</f>
        <v>-10699.248296357528</v>
      </c>
      <c r="E15" s="415">
        <f>'T3 ANSP'!E15+'T3 MET'!E15+'T3 MET'!E15</f>
        <v>0</v>
      </c>
      <c r="F15" s="416">
        <f>'T3 ANSP'!F15+'T3 MET'!F15+'T3 MET'!F15</f>
        <v>0</v>
      </c>
      <c r="G15" s="416">
        <f>'T3 ANSP'!G15+'T3 MET'!G15+'T3 MET'!G15</f>
        <v>-8185.8692167343452</v>
      </c>
      <c r="H15" s="416">
        <f>'T3 ANSP'!H15+'T3 MET'!H15+'T3 MET'!H15</f>
        <v>-3724.4261419339277</v>
      </c>
      <c r="I15" s="416">
        <f>'T3 ANSP'!I15+'T3 MET'!I15+'T3 MET'!I15</f>
        <v>1211.0470623107449</v>
      </c>
      <c r="J15" s="416">
        <f>'T3 ANSP'!J15+'T3 MET'!J15+'T3 MET'!J15</f>
        <v>0</v>
      </c>
      <c r="K15" s="416">
        <f>'T3 ANSP'!K15+'T3 MET'!K15+'T3 MET'!K15</f>
        <v>0</v>
      </c>
      <c r="L15" s="416">
        <f>'T3 ANSP'!L15+'T3 MET'!L15+'T3 MET'!L15</f>
        <v>0</v>
      </c>
      <c r="M15" s="1051">
        <f>'T3 ANSP'!M15+'T3 MET'!M15+'T3 MET'!M15</f>
        <v>0</v>
      </c>
      <c r="O15" s="405"/>
    </row>
    <row r="16" spans="1:26">
      <c r="A16" s="455">
        <v>2023</v>
      </c>
      <c r="B16" s="396"/>
      <c r="C16" s="406" t="s">
        <v>500</v>
      </c>
      <c r="D16" s="407">
        <f>'T3 ANSP'!D16+'T3 MET'!D16+'T3 MET'!D16</f>
        <v>0</v>
      </c>
      <c r="E16" s="441">
        <f>'T3 ANSP'!E16+'T3 MET'!E16+'T3 MET'!E16</f>
        <v>0</v>
      </c>
      <c r="F16" s="423">
        <f>'T3 ANSP'!F16+'T3 MET'!F16+'T3 MET'!F16</f>
        <v>0</v>
      </c>
      <c r="G16" s="423">
        <f>'T3 ANSP'!G16+'T3 MET'!G16+'T3 MET'!G16</f>
        <v>0</v>
      </c>
      <c r="H16" s="423">
        <f>'T3 ANSP'!H16+'T3 MET'!H16+'T3 MET'!H16</f>
        <v>0</v>
      </c>
      <c r="I16" s="423">
        <f>'T3 ANSP'!I16+'T3 MET'!I16+'T3 MET'!I16</f>
        <v>0</v>
      </c>
      <c r="J16" s="1061">
        <f>'T3 ANSP'!J16+'T3 MET'!J16+'T3 MET'!J16</f>
        <v>0</v>
      </c>
      <c r="K16" s="423">
        <f>'T3 ANSP'!K16+'T3 MET'!K16+'T3 MET'!K16</f>
        <v>0</v>
      </c>
      <c r="L16" s="423">
        <f>'T3 ANSP'!L16+'T3 MET'!L16+'T3 MET'!L16</f>
        <v>0</v>
      </c>
      <c r="M16" s="440">
        <f>'T3 ANSP'!M16+'T3 MET'!M16+'T3 MET'!M16</f>
        <v>0</v>
      </c>
      <c r="O16" s="405"/>
    </row>
    <row r="17" spans="1:15">
      <c r="A17" s="455">
        <v>2024</v>
      </c>
      <c r="B17" s="396"/>
      <c r="C17" s="406" t="s">
        <v>501</v>
      </c>
      <c r="D17" s="407">
        <f>'T3 ANSP'!D17+'T3 MET'!D17+'T3 MET'!D17</f>
        <v>0</v>
      </c>
      <c r="E17" s="441">
        <f>'T3 ANSP'!E17+'T3 MET'!E17+'T3 MET'!E17</f>
        <v>0</v>
      </c>
      <c r="F17" s="423">
        <f>'T3 ANSP'!F17+'T3 MET'!F17+'T3 MET'!F17</f>
        <v>0</v>
      </c>
      <c r="G17" s="423">
        <f>'T3 ANSP'!G17+'T3 MET'!G17+'T3 MET'!G17</f>
        <v>0</v>
      </c>
      <c r="H17" s="423">
        <f>'T3 ANSP'!H17+'T3 MET'!H17+'T3 MET'!H17</f>
        <v>0</v>
      </c>
      <c r="I17" s="423">
        <f>'T3 ANSP'!I17+'T3 MET'!I17+'T3 MET'!I17</f>
        <v>0</v>
      </c>
      <c r="J17" s="423">
        <f>'T3 ANSP'!J17+'T3 MET'!J17+'T3 MET'!J17</f>
        <v>0</v>
      </c>
      <c r="K17" s="1061">
        <f>'T3 ANSP'!K17+'T3 MET'!K17+'T3 MET'!K17</f>
        <v>0</v>
      </c>
      <c r="L17" s="423">
        <f>'T3 ANSP'!L17+'T3 MET'!L17+'T3 MET'!L17</f>
        <v>0</v>
      </c>
      <c r="M17" s="440">
        <f>'T3 ANSP'!M17+'T3 MET'!M17+'T3 MET'!M17</f>
        <v>0</v>
      </c>
      <c r="O17" s="405"/>
    </row>
    <row r="18" spans="1:15">
      <c r="A18" s="455">
        <v>2025</v>
      </c>
      <c r="B18" s="396"/>
      <c r="C18" s="406" t="s">
        <v>502</v>
      </c>
      <c r="D18" s="407">
        <f>'T3 ANSP'!D18+'T3 MET'!D18+'T3 MET'!D18</f>
        <v>0</v>
      </c>
      <c r="E18" s="441">
        <f>'T3 ANSP'!E18+'T3 MET'!E18+'T3 MET'!E18</f>
        <v>0</v>
      </c>
      <c r="F18" s="423">
        <f>'T3 ANSP'!F18+'T3 MET'!F18+'T3 MET'!F18</f>
        <v>0</v>
      </c>
      <c r="G18" s="423">
        <f>'T3 ANSP'!G18+'T3 MET'!G18+'T3 MET'!G18</f>
        <v>0</v>
      </c>
      <c r="H18" s="423">
        <f>'T3 ANSP'!H18+'T3 MET'!H18+'T3 MET'!H18</f>
        <v>0</v>
      </c>
      <c r="I18" s="423">
        <f>'T3 ANSP'!I18+'T3 MET'!I18+'T3 MET'!I18</f>
        <v>0</v>
      </c>
      <c r="J18" s="423">
        <f>'T3 ANSP'!J18+'T3 MET'!J18+'T3 MET'!J18</f>
        <v>0</v>
      </c>
      <c r="K18" s="423">
        <f>'T3 ANSP'!K18+'T3 MET'!K18+'T3 MET'!K18</f>
        <v>0</v>
      </c>
      <c r="L18" s="1061">
        <f>'T3 ANSP'!L18+'T3 MET'!L18+'T3 MET'!L18</f>
        <v>0</v>
      </c>
      <c r="M18" s="440">
        <f>'T3 ANSP'!M18+'T3 MET'!M18+'T3 MET'!M18</f>
        <v>0</v>
      </c>
      <c r="O18" s="405"/>
    </row>
    <row r="19" spans="1:15">
      <c r="A19" s="455">
        <v>2026</v>
      </c>
      <c r="B19" s="396"/>
      <c r="C19" s="406" t="s">
        <v>503</v>
      </c>
      <c r="D19" s="407">
        <f>'T3 ANSP'!D19+'T3 MET'!D19+'T3 MET'!D19</f>
        <v>0</v>
      </c>
      <c r="E19" s="441">
        <f>'T3 ANSP'!E19+'T3 MET'!E19+'T3 MET'!E19</f>
        <v>0</v>
      </c>
      <c r="F19" s="423">
        <f>'T3 ANSP'!F19+'T3 MET'!F19+'T3 MET'!F19</f>
        <v>0</v>
      </c>
      <c r="G19" s="423">
        <f>'T3 ANSP'!G19+'T3 MET'!G19+'T3 MET'!G19</f>
        <v>0</v>
      </c>
      <c r="H19" s="423">
        <f>'T3 ANSP'!H19+'T3 MET'!H19+'T3 MET'!H19</f>
        <v>0</v>
      </c>
      <c r="I19" s="423">
        <f>'T3 ANSP'!I19+'T3 MET'!I19+'T3 MET'!I19</f>
        <v>0</v>
      </c>
      <c r="J19" s="423">
        <f>'T3 ANSP'!J19+'T3 MET'!J19+'T3 MET'!J19</f>
        <v>0</v>
      </c>
      <c r="K19" s="423">
        <f>'T3 ANSP'!K19+'T3 MET'!K19+'T3 MET'!K19</f>
        <v>0</v>
      </c>
      <c r="L19" s="423">
        <f>'T3 ANSP'!L19+'T3 MET'!L19+'T3 MET'!L19</f>
        <v>0</v>
      </c>
      <c r="M19" s="440">
        <f>'T3 ANSP'!M19+'T3 MET'!M19+'T3 MET'!M19</f>
        <v>0</v>
      </c>
      <c r="O19" s="405"/>
    </row>
    <row r="20" spans="1:15">
      <c r="A20" s="455">
        <v>2027</v>
      </c>
      <c r="B20" s="396"/>
      <c r="C20" s="426" t="s">
        <v>504</v>
      </c>
      <c r="D20" s="427">
        <f>'T3 ANSP'!D20+'T3 MET'!D20+'T3 MET'!D20</f>
        <v>0</v>
      </c>
      <c r="E20" s="1411">
        <f>'T3 ANSP'!E20+'T3 MET'!E20+'T3 MET'!E20</f>
        <v>0</v>
      </c>
      <c r="F20" s="463">
        <f>'T3 ANSP'!F20+'T3 MET'!F20+'T3 MET'!F20</f>
        <v>0</v>
      </c>
      <c r="G20" s="463">
        <f>'T3 ANSP'!G20+'T3 MET'!G20+'T3 MET'!G20</f>
        <v>0</v>
      </c>
      <c r="H20" s="463">
        <f>'T3 ANSP'!H20+'T3 MET'!H20+'T3 MET'!H20</f>
        <v>0</v>
      </c>
      <c r="I20" s="423">
        <f>'T3 ANSP'!I20+'T3 MET'!I20+'T3 MET'!I20</f>
        <v>0</v>
      </c>
      <c r="J20" s="423">
        <f>'T3 ANSP'!J20+'T3 MET'!J20+'T3 MET'!J20</f>
        <v>0</v>
      </c>
      <c r="K20" s="423">
        <f>'T3 ANSP'!K20+'T3 MET'!K20+'T3 MET'!K20</f>
        <v>0</v>
      </c>
      <c r="L20" s="423">
        <f>'T3 ANSP'!L20+'T3 MET'!L20+'T3 MET'!L20</f>
        <v>0</v>
      </c>
      <c r="M20" s="1077">
        <f>'T3 ANSP'!M20+'T3 MET'!M20+'T3 MET'!M20</f>
        <v>0</v>
      </c>
      <c r="O20" s="405"/>
    </row>
    <row r="21" spans="1:15">
      <c r="A21" s="455" t="s">
        <v>505</v>
      </c>
      <c r="B21" s="396"/>
      <c r="C21" s="431" t="s">
        <v>506</v>
      </c>
      <c r="D21" s="432">
        <f>'T3 ANSP'!D21+'T3 MET'!D21+'T3 MET'!D21</f>
        <v>-40270.214267608899</v>
      </c>
      <c r="E21" s="480">
        <f>'T3 ANSP'!E21+'T3 MET'!E21+'T3 MET'!E21</f>
        <v>-14298.944372610684</v>
      </c>
      <c r="F21" s="434">
        <f>'T3 ANSP'!F21+'T3 MET'!F21+'T3 MET'!F21</f>
        <v>-15272.290323478455</v>
      </c>
      <c r="G21" s="434">
        <f>'T3 ANSP'!G21+'T3 MET'!G21+'T3 MET'!G21</f>
        <v>-8185.8692167343452</v>
      </c>
      <c r="H21" s="434">
        <f>'T3 ANSP'!H21+'T3 MET'!H21+'T3 MET'!H21</f>
        <v>-3724.4261419339277</v>
      </c>
      <c r="I21" s="481">
        <f>'T3 ANSP'!I21+'T3 MET'!I21+'T3 MET'!I21</f>
        <v>1211.0470623107449</v>
      </c>
      <c r="J21" s="481">
        <f>'T3 ANSP'!J21+'T3 MET'!J21+'T3 MET'!J21</f>
        <v>0</v>
      </c>
      <c r="K21" s="481">
        <f>'T3 ANSP'!K21+'T3 MET'!K21+'T3 MET'!K21</f>
        <v>0</v>
      </c>
      <c r="L21" s="481">
        <f>'T3 ANSP'!L21+'T3 MET'!L21+'T3 MET'!L21</f>
        <v>0</v>
      </c>
      <c r="M21" s="1076">
        <f>'T3 ANSP'!M21+'T3 MET'!M21+'T3 MET'!M21</f>
        <v>0</v>
      </c>
      <c r="O21" s="405"/>
    </row>
    <row r="22" spans="1:15">
      <c r="A22" s="758"/>
      <c r="B22" s="396"/>
      <c r="C22" s="482"/>
      <c r="D22" s="1416"/>
      <c r="E22" s="484"/>
      <c r="F22" s="484"/>
      <c r="G22" s="484"/>
      <c r="H22" s="484"/>
      <c r="I22" s="484"/>
      <c r="J22" s="447"/>
      <c r="K22" s="447"/>
      <c r="L22" s="447"/>
      <c r="M22" s="484"/>
      <c r="O22" s="405"/>
    </row>
    <row r="23" spans="1:15">
      <c r="A23" s="455">
        <v>2017</v>
      </c>
      <c r="B23" s="396"/>
      <c r="C23" s="398" t="s">
        <v>507</v>
      </c>
      <c r="D23" s="485">
        <f>'T3 ANSP'!D23+'T3 MET'!D23+'T3 MET'!D23</f>
        <v>0</v>
      </c>
      <c r="E23" s="486">
        <f>'T3 ANSP'!E23+'T3 MET'!E23+'T3 MET'!E23</f>
        <v>0</v>
      </c>
      <c r="F23" s="487">
        <f>'T3 ANSP'!F23+'T3 MET'!F23+'T3 MET'!F23</f>
        <v>0</v>
      </c>
      <c r="G23" s="487">
        <f>'T3 ANSP'!G23+'T3 MET'!G23+'T3 MET'!G23</f>
        <v>0</v>
      </c>
      <c r="H23" s="487">
        <f>'T3 ANSP'!H23+'T3 MET'!H23+'T3 MET'!H23</f>
        <v>0</v>
      </c>
      <c r="I23" s="1064">
        <f>'T3 ANSP'!I23+'T3 MET'!I23+'T3 MET'!I23</f>
        <v>0</v>
      </c>
      <c r="J23" s="1064">
        <f>'T3 ANSP'!J23+'T3 MET'!J23+'T3 MET'!J23</f>
        <v>0</v>
      </c>
      <c r="K23" s="1064">
        <f>'T3 ANSP'!K23+'T3 MET'!K23+'T3 MET'!K23</f>
        <v>0</v>
      </c>
      <c r="L23" s="1064">
        <f>'T3 ANSP'!L23+'T3 MET'!L23+'T3 MET'!L23</f>
        <v>0</v>
      </c>
      <c r="M23" s="437">
        <f>'T3 ANSP'!M23+'T3 MET'!M23+'T3 MET'!M23</f>
        <v>0</v>
      </c>
      <c r="O23" s="405"/>
    </row>
    <row r="24" spans="1:15">
      <c r="A24" s="455">
        <v>2018</v>
      </c>
      <c r="B24" s="396"/>
      <c r="C24" s="406" t="s">
        <v>508</v>
      </c>
      <c r="D24" s="489">
        <f>'T3 ANSP'!D24+'T3 MET'!D24+'T3 MET'!D24</f>
        <v>-52778.573401516776</v>
      </c>
      <c r="E24" s="490">
        <f>'T3 ANSP'!E24+'T3 MET'!E24+'T3 MET'!E24</f>
        <v>-52778.573401516776</v>
      </c>
      <c r="F24" s="491">
        <f>'T3 ANSP'!F24+'T3 MET'!F24+'T3 MET'!F24</f>
        <v>0</v>
      </c>
      <c r="G24" s="491">
        <f>'T3 ANSP'!G24+'T3 MET'!G24+'T3 MET'!G24</f>
        <v>0</v>
      </c>
      <c r="H24" s="491">
        <f>'T3 ANSP'!H24+'T3 MET'!H24+'T3 MET'!H24</f>
        <v>0</v>
      </c>
      <c r="I24" s="1065">
        <f>'T3 ANSP'!I24+'T3 MET'!I24+'T3 MET'!I24</f>
        <v>0</v>
      </c>
      <c r="J24" s="1065">
        <f>'T3 ANSP'!J24+'T3 MET'!J24+'T3 MET'!J24</f>
        <v>0</v>
      </c>
      <c r="K24" s="1065">
        <f>'T3 ANSP'!K24+'T3 MET'!K24+'T3 MET'!K24</f>
        <v>0</v>
      </c>
      <c r="L24" s="1065">
        <f>'T3 ANSP'!L24+'T3 MET'!L24+'T3 MET'!L24</f>
        <v>0</v>
      </c>
      <c r="M24" s="440">
        <f>'T3 ANSP'!M24+'T3 MET'!M24+'T3 MET'!M24</f>
        <v>0</v>
      </c>
      <c r="O24" s="405"/>
    </row>
    <row r="25" spans="1:15">
      <c r="A25" s="455">
        <v>2019</v>
      </c>
      <c r="B25" s="396"/>
      <c r="C25" s="406" t="s">
        <v>509</v>
      </c>
      <c r="D25" s="489">
        <f>'T3 ANSP'!D25+'T3 MET'!D25+'T3 MET'!D25</f>
        <v>-62084.313388410344</v>
      </c>
      <c r="E25" s="441">
        <f>'T3 ANSP'!E25+'T3 MET'!E25+'T3 MET'!E25</f>
        <v>0</v>
      </c>
      <c r="F25" s="491">
        <f>'T3 ANSP'!F25+'T3 MET'!F25+'T3 MET'!F25</f>
        <v>-62084.313388410344</v>
      </c>
      <c r="G25" s="491">
        <f>'T3 ANSP'!G25+'T3 MET'!G25+'T3 MET'!G25</f>
        <v>0</v>
      </c>
      <c r="H25" s="491">
        <f>'T3 ANSP'!H25+'T3 MET'!H25+'T3 MET'!H25</f>
        <v>0</v>
      </c>
      <c r="I25" s="1065">
        <f>'T3 ANSP'!I25+'T3 MET'!I25+'T3 MET'!I25</f>
        <v>0</v>
      </c>
      <c r="J25" s="1065">
        <f>'T3 ANSP'!J25+'T3 MET'!J25+'T3 MET'!J25</f>
        <v>0</v>
      </c>
      <c r="K25" s="1065">
        <f>'T3 ANSP'!K25+'T3 MET'!K25+'T3 MET'!K25</f>
        <v>0</v>
      </c>
      <c r="L25" s="1065">
        <f>'T3 ANSP'!L25+'T3 MET'!L25+'T3 MET'!L25</f>
        <v>0</v>
      </c>
      <c r="M25" s="440">
        <f>'T3 ANSP'!M25+'T3 MET'!M25+'T3 MET'!M25</f>
        <v>0</v>
      </c>
      <c r="O25" s="405"/>
    </row>
    <row r="26" spans="1:15">
      <c r="A26" s="455" t="s">
        <v>493</v>
      </c>
      <c r="B26" s="396"/>
      <c r="C26" s="413" t="s">
        <v>510</v>
      </c>
      <c r="D26" s="414">
        <f>'T3 ANSP'!D26+'T3 MET'!D26+'T3 MET'!D26</f>
        <v>-114862.88678992711</v>
      </c>
      <c r="E26" s="415">
        <f>'T3 ANSP'!E26+'T3 MET'!E26+'T3 MET'!E26</f>
        <v>-52778.573401516776</v>
      </c>
      <c r="F26" s="416">
        <f>'T3 ANSP'!F26+'T3 MET'!F26+'T3 MET'!F26</f>
        <v>-62084.313388410344</v>
      </c>
      <c r="G26" s="416">
        <f>'T3 ANSP'!G26+'T3 MET'!G26+'T3 MET'!G26</f>
        <v>0</v>
      </c>
      <c r="H26" s="416">
        <f>'T3 ANSP'!H26+'T3 MET'!H26+'T3 MET'!H26</f>
        <v>0</v>
      </c>
      <c r="I26" s="451">
        <f>'T3 ANSP'!I26+'T3 MET'!I26+'T3 MET'!I26</f>
        <v>0</v>
      </c>
      <c r="J26" s="451">
        <f>'T3 ANSP'!J26+'T3 MET'!J26+'T3 MET'!J26</f>
        <v>0</v>
      </c>
      <c r="K26" s="451">
        <f>'T3 ANSP'!K26+'T3 MET'!K26+'T3 MET'!K26</f>
        <v>0</v>
      </c>
      <c r="L26" s="451">
        <f>'T3 ANSP'!L26+'T3 MET'!L26+'T3 MET'!L26</f>
        <v>0</v>
      </c>
      <c r="M26" s="1051">
        <f>'T3 ANSP'!M26+'T3 MET'!M26+'T3 MET'!M26</f>
        <v>0</v>
      </c>
      <c r="O26" s="405"/>
    </row>
    <row r="27" spans="1:15">
      <c r="A27" s="455">
        <v>2020</v>
      </c>
      <c r="B27" s="396"/>
      <c r="C27" s="398" t="s">
        <v>511</v>
      </c>
      <c r="D27" s="407">
        <f>'T3 ANSP'!D27+'T3 MET'!D27+'T3 MET'!D27</f>
        <v>0</v>
      </c>
      <c r="E27" s="438">
        <f>'T3 ANSP'!E27+'T3 MET'!E27+'T3 MET'!E27</f>
        <v>0</v>
      </c>
      <c r="F27" s="421">
        <f>'T3 ANSP'!F27+'T3 MET'!F27+'T3 MET'!F27</f>
        <v>0</v>
      </c>
      <c r="G27" s="421">
        <f>'T3 ANSP'!G27+'T3 MET'!G27+'T3 MET'!G27</f>
        <v>0</v>
      </c>
      <c r="H27" s="421">
        <f>'T3 ANSP'!H27+'T3 MET'!H27+'T3 MET'!H27</f>
        <v>0</v>
      </c>
      <c r="I27" s="421">
        <f>'T3 ANSP'!I27+'T3 MET'!I27+'T3 MET'!I27</f>
        <v>0</v>
      </c>
      <c r="J27" s="421">
        <f>'T3 ANSP'!J27+'T3 MET'!J27+'T3 MET'!J27</f>
        <v>0</v>
      </c>
      <c r="K27" s="421">
        <f>'T3 ANSP'!K27+'T3 MET'!K27+'T3 MET'!K27</f>
        <v>0</v>
      </c>
      <c r="L27" s="421">
        <f>'T3 ANSP'!L27+'T3 MET'!L27+'T3 MET'!L27</f>
        <v>0</v>
      </c>
      <c r="M27" s="437">
        <f>'T3 ANSP'!M27+'T3 MET'!M27+'T3 MET'!M27</f>
        <v>0</v>
      </c>
      <c r="O27" s="405"/>
    </row>
    <row r="28" spans="1:15">
      <c r="A28" s="455">
        <v>2021</v>
      </c>
      <c r="B28" s="396"/>
      <c r="C28" s="406" t="s">
        <v>512</v>
      </c>
      <c r="D28" s="407">
        <f>'T3 ANSP'!D28+'T3 MET'!D28+'T3 MET'!D28</f>
        <v>0</v>
      </c>
      <c r="E28" s="441">
        <f>'T3 ANSP'!E28+'T3 MET'!E28+'T3 MET'!E28</f>
        <v>0</v>
      </c>
      <c r="F28" s="423">
        <f>'T3 ANSP'!F28+'T3 MET'!F28+'T3 MET'!F28</f>
        <v>0</v>
      </c>
      <c r="G28" s="423">
        <f>'T3 ANSP'!G28+'T3 MET'!G28+'T3 MET'!G28</f>
        <v>0</v>
      </c>
      <c r="H28" s="423">
        <f>'T3 ANSP'!H28+'T3 MET'!H28+'T3 MET'!H28</f>
        <v>0</v>
      </c>
      <c r="I28" s="1065">
        <f>'T3 ANSP'!I28+'T3 MET'!I28+'T3 MET'!I28</f>
        <v>0</v>
      </c>
      <c r="J28" s="423">
        <f>'T3 ANSP'!J28+'T3 MET'!J28+'T3 MET'!J28</f>
        <v>0</v>
      </c>
      <c r="K28" s="423">
        <f>'T3 ANSP'!K28+'T3 MET'!K28+'T3 MET'!K28</f>
        <v>0</v>
      </c>
      <c r="L28" s="423">
        <f>'T3 ANSP'!L28+'T3 MET'!L28+'T3 MET'!L28</f>
        <v>0</v>
      </c>
      <c r="M28" s="440">
        <f>'T3 ANSP'!M28+'T3 MET'!M28+'T3 MET'!M28</f>
        <v>0</v>
      </c>
      <c r="O28" s="405"/>
    </row>
    <row r="29" spans="1:15">
      <c r="A29" s="455">
        <v>2022</v>
      </c>
      <c r="B29" s="396"/>
      <c r="C29" s="406" t="s">
        <v>513</v>
      </c>
      <c r="D29" s="407">
        <f>'T3 ANSP'!D29+'T3 MET'!D29+'T3 MET'!D29</f>
        <v>0</v>
      </c>
      <c r="E29" s="441">
        <f>'T3 ANSP'!E29+'T3 MET'!E29+'T3 MET'!E29</f>
        <v>0</v>
      </c>
      <c r="F29" s="423">
        <f>'T3 ANSP'!F29+'T3 MET'!F29+'T3 MET'!F29</f>
        <v>0</v>
      </c>
      <c r="G29" s="423">
        <f>'T3 ANSP'!G29+'T3 MET'!G29+'T3 MET'!G29</f>
        <v>0</v>
      </c>
      <c r="H29" s="423">
        <f>'T3 ANSP'!H29+'T3 MET'!H29+'T3 MET'!H29</f>
        <v>0</v>
      </c>
      <c r="I29" s="423">
        <f>'T3 ANSP'!I29+'T3 MET'!I29+'T3 MET'!I29</f>
        <v>0</v>
      </c>
      <c r="J29" s="423">
        <f>'T3 ANSP'!J29+'T3 MET'!J29+'T3 MET'!J29</f>
        <v>0</v>
      </c>
      <c r="K29" s="423">
        <f>'T3 ANSP'!K29+'T3 MET'!K29+'T3 MET'!K29</f>
        <v>0</v>
      </c>
      <c r="L29" s="423">
        <f>'T3 ANSP'!L29+'T3 MET'!L29+'T3 MET'!L29</f>
        <v>0</v>
      </c>
      <c r="M29" s="440">
        <f>'T3 ANSP'!M29+'T3 MET'!M29+'T3 MET'!M29</f>
        <v>0</v>
      </c>
      <c r="O29" s="405"/>
    </row>
    <row r="30" spans="1:15">
      <c r="A30" s="455" t="s">
        <v>498</v>
      </c>
      <c r="B30" s="396"/>
      <c r="C30" s="413" t="s">
        <v>514</v>
      </c>
      <c r="D30" s="414">
        <f>'T3 ANSP'!D30+'T3 MET'!D30+'T3 MET'!D30</f>
        <v>0</v>
      </c>
      <c r="E30" s="415">
        <f>'T3 ANSP'!E30+'T3 MET'!E30+'T3 MET'!E30</f>
        <v>0</v>
      </c>
      <c r="F30" s="416">
        <f>'T3 ANSP'!F30+'T3 MET'!F30+'T3 MET'!F30</f>
        <v>0</v>
      </c>
      <c r="G30" s="416">
        <f>'T3 ANSP'!G30+'T3 MET'!G30+'T3 MET'!G30</f>
        <v>0</v>
      </c>
      <c r="H30" s="416">
        <f>'T3 ANSP'!H30+'T3 MET'!H30+'T3 MET'!H30</f>
        <v>0</v>
      </c>
      <c r="I30" s="416">
        <f>'T3 ANSP'!I30+'T3 MET'!I30+'T3 MET'!I30</f>
        <v>0</v>
      </c>
      <c r="J30" s="416">
        <f>'T3 ANSP'!J30+'T3 MET'!J30+'T3 MET'!J30</f>
        <v>0</v>
      </c>
      <c r="K30" s="416">
        <f>'T3 ANSP'!K30+'T3 MET'!K30+'T3 MET'!K30</f>
        <v>0</v>
      </c>
      <c r="L30" s="416">
        <f>'T3 ANSP'!L30+'T3 MET'!L30+'T3 MET'!L30</f>
        <v>0</v>
      </c>
      <c r="M30" s="1051">
        <f>'T3 ANSP'!M30+'T3 MET'!M30+'T3 MET'!M30</f>
        <v>0</v>
      </c>
      <c r="O30" s="405"/>
    </row>
    <row r="31" spans="1:15">
      <c r="A31" s="455">
        <v>2023</v>
      </c>
      <c r="B31" s="396"/>
      <c r="C31" s="406" t="s">
        <v>515</v>
      </c>
      <c r="D31" s="407">
        <f>'T3 ANSP'!D31+'T3 MET'!D31+'T3 MET'!D31</f>
        <v>0</v>
      </c>
      <c r="E31" s="441">
        <f>'T3 ANSP'!E31+'T3 MET'!E31+'T3 MET'!E31</f>
        <v>0</v>
      </c>
      <c r="F31" s="423">
        <f>'T3 ANSP'!F31+'T3 MET'!F31+'T3 MET'!F31</f>
        <v>0</v>
      </c>
      <c r="G31" s="423">
        <f>'T3 ANSP'!G31+'T3 MET'!G31+'T3 MET'!G31</f>
        <v>0</v>
      </c>
      <c r="H31" s="423">
        <f>'T3 ANSP'!H31+'T3 MET'!H31+'T3 MET'!H31</f>
        <v>0</v>
      </c>
      <c r="I31" s="423">
        <f>'T3 ANSP'!I31+'T3 MET'!I31+'T3 MET'!I31</f>
        <v>0</v>
      </c>
      <c r="J31" s="423">
        <f>'T3 ANSP'!J31+'T3 MET'!J31+'T3 MET'!J31</f>
        <v>0</v>
      </c>
      <c r="K31" s="423">
        <f>'T3 ANSP'!K31+'T3 MET'!K31+'T3 MET'!K31</f>
        <v>0</v>
      </c>
      <c r="L31" s="423">
        <f>'T3 ANSP'!L31+'T3 MET'!L31+'T3 MET'!L31</f>
        <v>0</v>
      </c>
      <c r="M31" s="440">
        <f>'T3 ANSP'!M31+'T3 MET'!M31+'T3 MET'!M31</f>
        <v>0</v>
      </c>
      <c r="O31" s="405"/>
    </row>
    <row r="32" spans="1:15">
      <c r="A32" s="455">
        <v>2024</v>
      </c>
      <c r="B32" s="396"/>
      <c r="C32" s="406" t="s">
        <v>516</v>
      </c>
      <c r="D32" s="407">
        <f>'T3 ANSP'!D32+'T3 MET'!D32+'T3 MET'!D32</f>
        <v>0</v>
      </c>
      <c r="E32" s="441">
        <f>'T3 ANSP'!E32+'T3 MET'!E32+'T3 MET'!E32</f>
        <v>0</v>
      </c>
      <c r="F32" s="423">
        <f>'T3 ANSP'!F32+'T3 MET'!F32+'T3 MET'!F32</f>
        <v>0</v>
      </c>
      <c r="G32" s="423">
        <f>'T3 ANSP'!G32+'T3 MET'!G32+'T3 MET'!G32</f>
        <v>0</v>
      </c>
      <c r="H32" s="423">
        <f>'T3 ANSP'!H32+'T3 MET'!H32+'T3 MET'!H32</f>
        <v>0</v>
      </c>
      <c r="I32" s="423">
        <f>'T3 ANSP'!I32+'T3 MET'!I32+'T3 MET'!I32</f>
        <v>0</v>
      </c>
      <c r="J32" s="423">
        <f>'T3 ANSP'!J32+'T3 MET'!J32+'T3 MET'!J32</f>
        <v>0</v>
      </c>
      <c r="K32" s="423">
        <f>'T3 ANSP'!K32+'T3 MET'!K32+'T3 MET'!K32</f>
        <v>0</v>
      </c>
      <c r="L32" s="423">
        <f>'T3 ANSP'!L32+'T3 MET'!L32+'T3 MET'!L32</f>
        <v>0</v>
      </c>
      <c r="M32" s="440">
        <f>'T3 ANSP'!M32+'T3 MET'!M32+'T3 MET'!M32</f>
        <v>0</v>
      </c>
      <c r="O32" s="405"/>
    </row>
    <row r="33" spans="1:15">
      <c r="A33" s="455">
        <v>2025</v>
      </c>
      <c r="B33" s="396"/>
      <c r="C33" s="406" t="s">
        <v>517</v>
      </c>
      <c r="D33" s="407">
        <f>'T3 ANSP'!D33+'T3 MET'!D33+'T3 MET'!D33</f>
        <v>0</v>
      </c>
      <c r="E33" s="441">
        <f>'T3 ANSP'!E33+'T3 MET'!E33+'T3 MET'!E33</f>
        <v>0</v>
      </c>
      <c r="F33" s="423">
        <f>'T3 ANSP'!F33+'T3 MET'!F33+'T3 MET'!F33</f>
        <v>0</v>
      </c>
      <c r="G33" s="423">
        <f>'T3 ANSP'!G33+'T3 MET'!G33+'T3 MET'!G33</f>
        <v>0</v>
      </c>
      <c r="H33" s="423">
        <f>'T3 ANSP'!H33+'T3 MET'!H33+'T3 MET'!H33</f>
        <v>0</v>
      </c>
      <c r="I33" s="423">
        <f>'T3 ANSP'!I33+'T3 MET'!I33+'T3 MET'!I33</f>
        <v>0</v>
      </c>
      <c r="J33" s="423">
        <f>'T3 ANSP'!J33+'T3 MET'!J33+'T3 MET'!J33</f>
        <v>0</v>
      </c>
      <c r="K33" s="423">
        <f>'T3 ANSP'!K33+'T3 MET'!K33+'T3 MET'!K33</f>
        <v>0</v>
      </c>
      <c r="L33" s="423">
        <f>'T3 ANSP'!L33+'T3 MET'!L33+'T3 MET'!L33</f>
        <v>0</v>
      </c>
      <c r="M33" s="440">
        <f>'T3 ANSP'!M33+'T3 MET'!M33+'T3 MET'!M33</f>
        <v>0</v>
      </c>
      <c r="O33" s="405"/>
    </row>
    <row r="34" spans="1:15">
      <c r="A34" s="455">
        <v>2026</v>
      </c>
      <c r="B34" s="396"/>
      <c r="C34" s="406" t="s">
        <v>518</v>
      </c>
      <c r="D34" s="407">
        <f>'T3 ANSP'!D34+'T3 MET'!D34+'T3 MET'!D34</f>
        <v>0</v>
      </c>
      <c r="E34" s="441">
        <f>'T3 ANSP'!E34+'T3 MET'!E34+'T3 MET'!E34</f>
        <v>0</v>
      </c>
      <c r="F34" s="423">
        <f>'T3 ANSP'!F34+'T3 MET'!F34+'T3 MET'!F34</f>
        <v>0</v>
      </c>
      <c r="G34" s="423">
        <f>'T3 ANSP'!G34+'T3 MET'!G34+'T3 MET'!G34</f>
        <v>0</v>
      </c>
      <c r="H34" s="423">
        <f>'T3 ANSP'!H34+'T3 MET'!H34+'T3 MET'!H34</f>
        <v>0</v>
      </c>
      <c r="I34" s="423">
        <f>'T3 ANSP'!I34+'T3 MET'!I34+'T3 MET'!I34</f>
        <v>0</v>
      </c>
      <c r="J34" s="423">
        <f>'T3 ANSP'!J34+'T3 MET'!J34+'T3 MET'!J34</f>
        <v>0</v>
      </c>
      <c r="K34" s="423">
        <f>'T3 ANSP'!K34+'T3 MET'!K34+'T3 MET'!K34</f>
        <v>0</v>
      </c>
      <c r="L34" s="423">
        <f>'T3 ANSP'!L34+'T3 MET'!L34+'T3 MET'!L34</f>
        <v>0</v>
      </c>
      <c r="M34" s="440">
        <f>'T3 ANSP'!M34+'T3 MET'!M34+'T3 MET'!M34</f>
        <v>0</v>
      </c>
      <c r="O34" s="405"/>
    </row>
    <row r="35" spans="1:15">
      <c r="A35" s="455">
        <v>2027</v>
      </c>
      <c r="B35" s="396"/>
      <c r="C35" s="406" t="s">
        <v>519</v>
      </c>
      <c r="D35" s="427">
        <f>'T3 ANSP'!D35+'T3 MET'!D35+'T3 MET'!D35</f>
        <v>0</v>
      </c>
      <c r="E35" s="1411">
        <f>'T3 ANSP'!E35+'T3 MET'!E35+'T3 MET'!E35</f>
        <v>0</v>
      </c>
      <c r="F35" s="463">
        <f>'T3 ANSP'!F35+'T3 MET'!F35+'T3 MET'!F35</f>
        <v>0</v>
      </c>
      <c r="G35" s="463">
        <f>'T3 ANSP'!G35+'T3 MET'!G35+'T3 MET'!G35</f>
        <v>0</v>
      </c>
      <c r="H35" s="463">
        <f>'T3 ANSP'!H35+'T3 MET'!H35+'T3 MET'!H35</f>
        <v>0</v>
      </c>
      <c r="I35" s="463">
        <f>'T3 ANSP'!I35+'T3 MET'!I35+'T3 MET'!I35</f>
        <v>0</v>
      </c>
      <c r="J35" s="463">
        <f>'T3 ANSP'!J35+'T3 MET'!J35+'T3 MET'!J35</f>
        <v>0</v>
      </c>
      <c r="K35" s="463">
        <f>'T3 ANSP'!K35+'T3 MET'!K35+'T3 MET'!K35</f>
        <v>0</v>
      </c>
      <c r="L35" s="463">
        <f>'T3 ANSP'!L35+'T3 MET'!L35+'T3 MET'!L35</f>
        <v>0</v>
      </c>
      <c r="M35" s="1077">
        <f>'T3 ANSP'!M35+'T3 MET'!M35+'T3 MET'!M35</f>
        <v>0</v>
      </c>
      <c r="O35" s="405"/>
    </row>
    <row r="36" spans="1:15">
      <c r="A36" s="455" t="s">
        <v>505</v>
      </c>
      <c r="B36" s="396"/>
      <c r="C36" s="431" t="s">
        <v>520</v>
      </c>
      <c r="D36" s="480">
        <f>'T3 ANSP'!D36+'T3 MET'!D36+'T3 MET'!D36</f>
        <v>775146.69424862484</v>
      </c>
      <c r="E36" s="480">
        <f>'T3 ANSP'!E36+'T3 MET'!E36+'T3 MET'!E36</f>
        <v>-52778.573401516776</v>
      </c>
      <c r="F36" s="480">
        <f>'T3 ANSP'!F36+'T3 MET'!F36+'T3 MET'!F36</f>
        <v>-62084.313388410344</v>
      </c>
      <c r="G36" s="480">
        <f>'T3 ANSP'!G36+'T3 MET'!G36+'T3 MET'!G36</f>
        <v>0</v>
      </c>
      <c r="H36" s="480">
        <f>'T3 ANSP'!H36+'T3 MET'!H36+'T3 MET'!H36</f>
        <v>85729.290506728183</v>
      </c>
      <c r="I36" s="480">
        <f>'T3 ANSP'!I36+'T3 MET'!I36+'T3 MET'!I36</f>
        <v>87689.264295991496</v>
      </c>
      <c r="J36" s="480">
        <f>'T3 ANSP'!J36+'T3 MET'!J36+'T3 MET'!J36</f>
        <v>90014.205909109281</v>
      </c>
      <c r="K36" s="480">
        <f>'T3 ANSP'!K36+'T3 MET'!K36+'T3 MET'!K36</f>
        <v>92475.777126785251</v>
      </c>
      <c r="L36" s="480">
        <f>'T3 ANSP'!L36+'T3 MET'!L36+'T3 MET'!L36</f>
        <v>94985.269363479718</v>
      </c>
      <c r="M36" s="1076">
        <f>'T3 ANSP'!M36+'T3 MET'!M36+'T3 MET'!M36</f>
        <v>439115.7738364581</v>
      </c>
      <c r="O36" s="405"/>
    </row>
    <row r="37" spans="1:15">
      <c r="A37" s="758"/>
      <c r="B37" s="396"/>
      <c r="C37" s="482"/>
      <c r="D37" s="446"/>
      <c r="E37" s="447"/>
      <c r="F37" s="447"/>
      <c r="G37" s="447"/>
      <c r="H37" s="447"/>
      <c r="I37" s="447"/>
      <c r="J37" s="447"/>
      <c r="K37" s="447"/>
      <c r="L37" s="447"/>
      <c r="M37" s="447"/>
      <c r="O37" s="405"/>
    </row>
    <row r="38" spans="1:15">
      <c r="A38" s="455">
        <v>2020</v>
      </c>
      <c r="B38" s="396"/>
      <c r="C38" s="398" t="s">
        <v>521</v>
      </c>
      <c r="D38" s="443">
        <f>'T3 ANSP'!D38+'T3 MET'!D38+'T3 MET'!D38</f>
        <v>0</v>
      </c>
      <c r="E38" s="438">
        <f>'T3 ANSP'!E38+'T3 MET'!E38+'T3 MET'!E38</f>
        <v>0</v>
      </c>
      <c r="F38" s="421">
        <f>'T3 ANSP'!F38+'T3 MET'!F38+'T3 MET'!F38</f>
        <v>0</v>
      </c>
      <c r="G38" s="487">
        <f>'T3 ANSP'!G38+'T3 MET'!G38+'T3 MET'!G38</f>
        <v>0</v>
      </c>
      <c r="H38" s="421">
        <f>'T3 ANSP'!H38+'T3 MET'!H38+'T3 MET'!H38</f>
        <v>0</v>
      </c>
      <c r="I38" s="1408">
        <f>'T3 ANSP'!I38+'T3 MET'!I38+'T3 MET'!I38</f>
        <v>0</v>
      </c>
      <c r="J38" s="421">
        <f>'T3 ANSP'!J38+'T3 MET'!J38+'T3 MET'!J38</f>
        <v>0</v>
      </c>
      <c r="K38" s="421">
        <f>'T3 ANSP'!K38+'T3 MET'!K38+'T3 MET'!K38</f>
        <v>0</v>
      </c>
      <c r="L38" s="421">
        <f>'T3 ANSP'!L38+'T3 MET'!L38+'T3 MET'!L38</f>
        <v>0</v>
      </c>
      <c r="M38" s="437">
        <f>'T3 ANSP'!M38+'T3 MET'!M38+'T3 MET'!M38</f>
        <v>0</v>
      </c>
      <c r="O38" s="405"/>
    </row>
    <row r="39" spans="1:15">
      <c r="A39" s="455">
        <v>2021</v>
      </c>
      <c r="B39" s="396"/>
      <c r="C39" s="406" t="s">
        <v>522</v>
      </c>
      <c r="D39" s="444">
        <f>'T3 ANSP'!D39+'T3 MET'!D39+'T3 MET'!D39</f>
        <v>0</v>
      </c>
      <c r="E39" s="441">
        <f>'T3 ANSP'!E39+'T3 MET'!E39+'T3 MET'!E39</f>
        <v>0</v>
      </c>
      <c r="F39" s="423">
        <f>'T3 ANSP'!F39+'T3 MET'!F39+'T3 MET'!F39</f>
        <v>0</v>
      </c>
      <c r="G39" s="423">
        <f>'T3 ANSP'!G39+'T3 MET'!G39+'T3 MET'!G39</f>
        <v>0</v>
      </c>
      <c r="H39" s="491">
        <f>'T3 ANSP'!H39+'T3 MET'!H39+'T3 MET'!H39</f>
        <v>0</v>
      </c>
      <c r="I39" s="1061">
        <f>'T3 ANSP'!I39+'T3 MET'!I39+'T3 MET'!I39</f>
        <v>0</v>
      </c>
      <c r="J39" s="423">
        <f>'T3 ANSP'!J39+'T3 MET'!J39+'T3 MET'!J39</f>
        <v>0</v>
      </c>
      <c r="K39" s="423">
        <f>'T3 ANSP'!K39+'T3 MET'!K39+'T3 MET'!K39</f>
        <v>0</v>
      </c>
      <c r="L39" s="423">
        <f>'T3 ANSP'!L39+'T3 MET'!L39+'T3 MET'!L39</f>
        <v>0</v>
      </c>
      <c r="M39" s="440">
        <f>'T3 ANSP'!M39+'T3 MET'!M39+'T3 MET'!M39</f>
        <v>0</v>
      </c>
      <c r="O39" s="405"/>
    </row>
    <row r="40" spans="1:15">
      <c r="A40" s="455">
        <v>2022</v>
      </c>
      <c r="B40" s="396"/>
      <c r="C40" s="406" t="s">
        <v>523</v>
      </c>
      <c r="D40" s="444">
        <f>'T3 ANSP'!D40+'T3 MET'!D40+'T3 MET'!D40</f>
        <v>0</v>
      </c>
      <c r="E40" s="441">
        <f>'T3 ANSP'!E40+'T3 MET'!E40+'T3 MET'!E40</f>
        <v>0</v>
      </c>
      <c r="F40" s="423">
        <f>'T3 ANSP'!F40+'T3 MET'!F40+'T3 MET'!F40</f>
        <v>0</v>
      </c>
      <c r="G40" s="423">
        <f>'T3 ANSP'!G40+'T3 MET'!G40+'T3 MET'!G40</f>
        <v>0</v>
      </c>
      <c r="H40" s="423">
        <f>'T3 ANSP'!H40+'T3 MET'!H40+'T3 MET'!H40</f>
        <v>0</v>
      </c>
      <c r="I40" s="1066">
        <f>'T3 ANSP'!I40+'T3 MET'!I40+'T3 MET'!I40</f>
        <v>0</v>
      </c>
      <c r="J40" s="423">
        <f>'T3 ANSP'!J40+'T3 MET'!J40+'T3 MET'!J40</f>
        <v>0</v>
      </c>
      <c r="K40" s="423">
        <f>'T3 ANSP'!K40+'T3 MET'!K40+'T3 MET'!K40</f>
        <v>0</v>
      </c>
      <c r="L40" s="423">
        <f>'T3 ANSP'!L40+'T3 MET'!L40+'T3 MET'!L40</f>
        <v>0</v>
      </c>
      <c r="M40" s="440">
        <f>'T3 ANSP'!M40+'T3 MET'!M40+'T3 MET'!M40</f>
        <v>0</v>
      </c>
      <c r="O40" s="405"/>
    </row>
    <row r="41" spans="1:15">
      <c r="A41" s="455" t="s">
        <v>498</v>
      </c>
      <c r="B41" s="396"/>
      <c r="C41" s="413" t="s">
        <v>524</v>
      </c>
      <c r="D41" s="414">
        <f>'T3 ANSP'!D41+'T3 MET'!D41+'T3 MET'!D41</f>
        <v>0</v>
      </c>
      <c r="E41" s="415">
        <f>'T3 ANSP'!E41+'T3 MET'!E41+'T3 MET'!E41</f>
        <v>0</v>
      </c>
      <c r="F41" s="416">
        <f>'T3 ANSP'!F41+'T3 MET'!F41+'T3 MET'!F41</f>
        <v>0</v>
      </c>
      <c r="G41" s="416">
        <f>'T3 ANSP'!G41+'T3 MET'!G41+'T3 MET'!G41</f>
        <v>0</v>
      </c>
      <c r="H41" s="416">
        <f>'T3 ANSP'!H41+'T3 MET'!H41+'T3 MET'!H41</f>
        <v>0</v>
      </c>
      <c r="I41" s="416">
        <f>'T3 ANSP'!I41+'T3 MET'!I41+'T3 MET'!I41</f>
        <v>0</v>
      </c>
      <c r="J41" s="416">
        <f>'T3 ANSP'!J41+'T3 MET'!J41+'T3 MET'!J41</f>
        <v>0</v>
      </c>
      <c r="K41" s="416">
        <f>'T3 ANSP'!K41+'T3 MET'!K41+'T3 MET'!K41</f>
        <v>0</v>
      </c>
      <c r="L41" s="416">
        <f>'T3 ANSP'!L41+'T3 MET'!L41+'T3 MET'!L41</f>
        <v>0</v>
      </c>
      <c r="M41" s="1051">
        <f>'T3 ANSP'!M41+'T3 MET'!M41+'T3 MET'!M41</f>
        <v>0</v>
      </c>
      <c r="O41" s="405"/>
    </row>
    <row r="42" spans="1:15">
      <c r="A42" s="455">
        <v>2023</v>
      </c>
      <c r="B42" s="396"/>
      <c r="C42" s="406" t="s">
        <v>525</v>
      </c>
      <c r="D42" s="444">
        <f>'T3 ANSP'!D42+'T3 MET'!D42+'T3 MET'!D42</f>
        <v>0</v>
      </c>
      <c r="E42" s="441">
        <f>'T3 ANSP'!E42+'T3 MET'!E42+'T3 MET'!E42</f>
        <v>0</v>
      </c>
      <c r="F42" s="423">
        <f>'T3 ANSP'!F42+'T3 MET'!F42+'T3 MET'!F42</f>
        <v>0</v>
      </c>
      <c r="G42" s="423">
        <f>'T3 ANSP'!G42+'T3 MET'!G42+'T3 MET'!G42</f>
        <v>0</v>
      </c>
      <c r="H42" s="423">
        <f>'T3 ANSP'!H42+'T3 MET'!H42+'T3 MET'!H42</f>
        <v>0</v>
      </c>
      <c r="I42" s="1061">
        <f>'T3 ANSP'!I42+'T3 MET'!I42+'T3 MET'!I42</f>
        <v>0</v>
      </c>
      <c r="J42" s="447">
        <f>'T3 ANSP'!J42+'T3 MET'!J42+'T3 MET'!J42</f>
        <v>0</v>
      </c>
      <c r="K42" s="447">
        <f>'T3 ANSP'!K42+'T3 MET'!K42+'T3 MET'!K42</f>
        <v>0</v>
      </c>
      <c r="L42" s="421">
        <f>'T3 ANSP'!L42+'T3 MET'!L42+'T3 MET'!L42</f>
        <v>0</v>
      </c>
      <c r="M42" s="437">
        <f>'T3 ANSP'!M42+'T3 MET'!M42+'T3 MET'!M42</f>
        <v>0</v>
      </c>
      <c r="O42" s="405"/>
    </row>
    <row r="43" spans="1:15">
      <c r="A43" s="455">
        <v>2024</v>
      </c>
      <c r="B43" s="396"/>
      <c r="C43" s="406" t="s">
        <v>526</v>
      </c>
      <c r="D43" s="444">
        <f>'T3 ANSP'!D43+'T3 MET'!D43+'T3 MET'!D43</f>
        <v>0</v>
      </c>
      <c r="E43" s="441">
        <f>'T3 ANSP'!E43+'T3 MET'!E43+'T3 MET'!E43</f>
        <v>0</v>
      </c>
      <c r="F43" s="423">
        <f>'T3 ANSP'!F43+'T3 MET'!F43+'T3 MET'!F43</f>
        <v>0</v>
      </c>
      <c r="G43" s="423">
        <f>'T3 ANSP'!G43+'T3 MET'!G43+'T3 MET'!G43</f>
        <v>0</v>
      </c>
      <c r="H43" s="423">
        <f>'T3 ANSP'!H43+'T3 MET'!H43+'T3 MET'!H43</f>
        <v>0</v>
      </c>
      <c r="I43" s="1061">
        <f>'T3 ANSP'!I43+'T3 MET'!I43+'T3 MET'!I43</f>
        <v>0</v>
      </c>
      <c r="J43" s="447">
        <f>'T3 ANSP'!J43+'T3 MET'!J43+'T3 MET'!J43</f>
        <v>0</v>
      </c>
      <c r="K43" s="447">
        <f>'T3 ANSP'!K43+'T3 MET'!K43+'T3 MET'!K43</f>
        <v>0</v>
      </c>
      <c r="L43" s="423">
        <f>'T3 ANSP'!L43+'T3 MET'!L43+'T3 MET'!L43</f>
        <v>0</v>
      </c>
      <c r="M43" s="440">
        <f>'T3 ANSP'!M43+'T3 MET'!M43+'T3 MET'!M43</f>
        <v>0</v>
      </c>
      <c r="O43" s="405"/>
    </row>
    <row r="44" spans="1:15">
      <c r="A44" s="455">
        <v>2025</v>
      </c>
      <c r="B44" s="396"/>
      <c r="C44" s="406" t="s">
        <v>527</v>
      </c>
      <c r="D44" s="444">
        <f>'T3 ANSP'!D44+'T3 MET'!D44+'T3 MET'!D44</f>
        <v>0</v>
      </c>
      <c r="E44" s="441">
        <f>'T3 ANSP'!E44+'T3 MET'!E44+'T3 MET'!E44</f>
        <v>0</v>
      </c>
      <c r="F44" s="423">
        <f>'T3 ANSP'!F44+'T3 MET'!F44+'T3 MET'!F44</f>
        <v>0</v>
      </c>
      <c r="G44" s="423">
        <f>'T3 ANSP'!G44+'T3 MET'!G44+'T3 MET'!G44</f>
        <v>0</v>
      </c>
      <c r="H44" s="423">
        <f>'T3 ANSP'!H44+'T3 MET'!H44+'T3 MET'!H44</f>
        <v>0</v>
      </c>
      <c r="I44" s="1061">
        <f>'T3 ANSP'!I44+'T3 MET'!I44+'T3 MET'!I44</f>
        <v>0</v>
      </c>
      <c r="J44" s="447">
        <f>'T3 ANSP'!J44+'T3 MET'!J44+'T3 MET'!J44</f>
        <v>0</v>
      </c>
      <c r="K44" s="447">
        <f>'T3 ANSP'!K44+'T3 MET'!K44+'T3 MET'!K44</f>
        <v>0</v>
      </c>
      <c r="L44" s="447">
        <f>'T3 ANSP'!L44+'T3 MET'!L44+'T3 MET'!L44</f>
        <v>0</v>
      </c>
      <c r="M44" s="440">
        <f>'T3 ANSP'!M44+'T3 MET'!M44+'T3 MET'!M44</f>
        <v>0</v>
      </c>
      <c r="O44" s="405"/>
    </row>
    <row r="45" spans="1:15">
      <c r="A45" s="455">
        <v>2026</v>
      </c>
      <c r="B45" s="396"/>
      <c r="C45" s="406" t="s">
        <v>528</v>
      </c>
      <c r="D45" s="444">
        <f>'T3 ANSP'!D45+'T3 MET'!D45+'T3 MET'!D45</f>
        <v>0</v>
      </c>
      <c r="E45" s="441">
        <f>'T3 ANSP'!E45+'T3 MET'!E45+'T3 MET'!E45</f>
        <v>0</v>
      </c>
      <c r="F45" s="423">
        <f>'T3 ANSP'!F45+'T3 MET'!F45+'T3 MET'!F45</f>
        <v>0</v>
      </c>
      <c r="G45" s="423">
        <f>'T3 ANSP'!G45+'T3 MET'!G45+'T3 MET'!G45</f>
        <v>0</v>
      </c>
      <c r="H45" s="423">
        <f>'T3 ANSP'!H45+'T3 MET'!H45+'T3 MET'!H45</f>
        <v>0</v>
      </c>
      <c r="I45" s="1061">
        <f>'T3 ANSP'!I45+'T3 MET'!I45+'T3 MET'!I45</f>
        <v>0</v>
      </c>
      <c r="J45" s="447">
        <f>'T3 ANSP'!J45+'T3 MET'!J45+'T3 MET'!J45</f>
        <v>0</v>
      </c>
      <c r="K45" s="447">
        <f>'T3 ANSP'!K45+'T3 MET'!K45+'T3 MET'!K45</f>
        <v>0</v>
      </c>
      <c r="L45" s="447">
        <f>'T3 ANSP'!L45+'T3 MET'!L45+'T3 MET'!L45</f>
        <v>0</v>
      </c>
      <c r="M45" s="440">
        <f>'T3 ANSP'!M45+'T3 MET'!M45+'T3 MET'!M45</f>
        <v>0</v>
      </c>
      <c r="O45" s="405"/>
    </row>
    <row r="46" spans="1:15">
      <c r="A46" s="455">
        <v>2027</v>
      </c>
      <c r="B46" s="396"/>
      <c r="C46" s="406" t="s">
        <v>529</v>
      </c>
      <c r="D46" s="445">
        <f>'T3 ANSP'!D46+'T3 MET'!D46+'T3 MET'!D46</f>
        <v>0</v>
      </c>
      <c r="E46" s="1411">
        <f>'T3 ANSP'!E46+'T3 MET'!E46+'T3 MET'!E46</f>
        <v>0</v>
      </c>
      <c r="F46" s="463">
        <f>'T3 ANSP'!F46+'T3 MET'!F46+'T3 MET'!F46</f>
        <v>0</v>
      </c>
      <c r="G46" s="463">
        <f>'T3 ANSP'!G46+'T3 MET'!G46+'T3 MET'!G46</f>
        <v>0</v>
      </c>
      <c r="H46" s="463">
        <f>'T3 ANSP'!H46+'T3 MET'!H46+'T3 MET'!H46</f>
        <v>0</v>
      </c>
      <c r="I46" s="1415">
        <f>'T3 ANSP'!I46+'T3 MET'!I46+'T3 MET'!I46</f>
        <v>0</v>
      </c>
      <c r="J46" s="447">
        <f>'T3 ANSP'!J46+'T3 MET'!J46+'T3 MET'!J46</f>
        <v>0</v>
      </c>
      <c r="K46" s="447">
        <f>'T3 ANSP'!K46+'T3 MET'!K46+'T3 MET'!K46</f>
        <v>0</v>
      </c>
      <c r="L46" s="447">
        <f>'T3 ANSP'!L46+'T3 MET'!L46+'T3 MET'!L46</f>
        <v>0</v>
      </c>
      <c r="M46" s="1077">
        <f>'T3 ANSP'!M46+'T3 MET'!M46+'T3 MET'!M46</f>
        <v>0</v>
      </c>
      <c r="O46" s="405"/>
    </row>
    <row r="47" spans="1:15">
      <c r="A47" s="455" t="s">
        <v>505</v>
      </c>
      <c r="B47" s="396"/>
      <c r="C47" s="431" t="s">
        <v>530</v>
      </c>
      <c r="D47" s="432">
        <f>'T3 ANSP'!D47+'T3 MET'!D47+'T3 MET'!D47</f>
        <v>0</v>
      </c>
      <c r="E47" s="480">
        <f>'T3 ANSP'!E47+'T3 MET'!E47+'T3 MET'!E47</f>
        <v>0</v>
      </c>
      <c r="F47" s="434">
        <f>'T3 ANSP'!F47+'T3 MET'!F47+'T3 MET'!F47</f>
        <v>0</v>
      </c>
      <c r="G47" s="480">
        <f>'T3 ANSP'!G47+'T3 MET'!G47+'T3 MET'!G47</f>
        <v>0</v>
      </c>
      <c r="H47" s="480">
        <f>'T3 ANSP'!H47+'T3 MET'!H47+'T3 MET'!H47</f>
        <v>0</v>
      </c>
      <c r="I47" s="480">
        <f>'T3 ANSP'!I47+'T3 MET'!I47+'T3 MET'!I47</f>
        <v>0</v>
      </c>
      <c r="J47" s="480">
        <f>'T3 ANSP'!J47+'T3 MET'!J47+'T3 MET'!J47</f>
        <v>0</v>
      </c>
      <c r="K47" s="480">
        <f>'T3 ANSP'!K47+'T3 MET'!K47+'T3 MET'!K47</f>
        <v>0</v>
      </c>
      <c r="L47" s="480">
        <f>'T3 ANSP'!L47+'T3 MET'!L47+'T3 MET'!L47</f>
        <v>0</v>
      </c>
      <c r="M47" s="1076">
        <f>'T3 ANSP'!M47+'T3 MET'!M47+'T3 MET'!M47</f>
        <v>0</v>
      </c>
      <c r="O47" s="405"/>
    </row>
    <row r="48" spans="1:15">
      <c r="A48" s="758"/>
      <c r="B48" s="396"/>
      <c r="C48" s="482"/>
      <c r="D48" s="446"/>
      <c r="E48" s="447"/>
      <c r="F48" s="447"/>
      <c r="G48" s="447"/>
      <c r="H48" s="447"/>
      <c r="I48" s="447"/>
      <c r="J48" s="447"/>
      <c r="K48" s="447"/>
      <c r="L48" s="447"/>
      <c r="M48" s="447"/>
      <c r="O48" s="405"/>
    </row>
    <row r="49" spans="1:15">
      <c r="A49" s="455">
        <v>2020</v>
      </c>
      <c r="B49" s="396"/>
      <c r="C49" s="398" t="s">
        <v>531</v>
      </c>
      <c r="D49" s="443">
        <f>'T3 ANSP'!D49+'T3 MET'!D49+'T3 MET'!D49</f>
        <v>0</v>
      </c>
      <c r="E49" s="438">
        <f>'T3 ANSP'!E49+'T3 MET'!E49+'T3 MET'!E49</f>
        <v>0</v>
      </c>
      <c r="F49" s="421">
        <f>'T3 ANSP'!F49+'T3 MET'!F49+'T3 MET'!F49</f>
        <v>0</v>
      </c>
      <c r="G49" s="421">
        <f>'T3 ANSP'!G49+'T3 MET'!G49+'T3 MET'!G49</f>
        <v>0</v>
      </c>
      <c r="H49" s="421">
        <f>'T3 ANSP'!H49+'T3 MET'!H49+'T3 MET'!H49</f>
        <v>0</v>
      </c>
      <c r="I49" s="421">
        <f>'T3 ANSP'!I49+'T3 MET'!I49+'T3 MET'!I49</f>
        <v>0</v>
      </c>
      <c r="J49" s="421">
        <f>'T3 ANSP'!J49+'T3 MET'!J49+'T3 MET'!J49</f>
        <v>0</v>
      </c>
      <c r="K49" s="421">
        <f>'T3 ANSP'!K49+'T3 MET'!K49+'T3 MET'!K49</f>
        <v>0</v>
      </c>
      <c r="L49" s="421">
        <f>'T3 ANSP'!L49+'T3 MET'!L49+'T3 MET'!L49</f>
        <v>0</v>
      </c>
      <c r="M49" s="437">
        <f>'T3 ANSP'!M49+'T3 MET'!M49+'T3 MET'!M49</f>
        <v>0</v>
      </c>
      <c r="O49" s="405"/>
    </row>
    <row r="50" spans="1:15">
      <c r="A50" s="455">
        <v>2021</v>
      </c>
      <c r="B50" s="396"/>
      <c r="C50" s="406" t="s">
        <v>532</v>
      </c>
      <c r="D50" s="444">
        <f>'T3 ANSP'!D50+'T3 MET'!D50+'T3 MET'!D50</f>
        <v>0</v>
      </c>
      <c r="E50" s="441">
        <f>'T3 ANSP'!E50+'T3 MET'!E50+'T3 MET'!E50</f>
        <v>0</v>
      </c>
      <c r="F50" s="423">
        <f>'T3 ANSP'!F50+'T3 MET'!F50+'T3 MET'!F50</f>
        <v>0</v>
      </c>
      <c r="G50" s="423">
        <f>'T3 ANSP'!G50+'T3 MET'!G50+'T3 MET'!G50</f>
        <v>0</v>
      </c>
      <c r="H50" s="423">
        <f>'T3 ANSP'!H50+'T3 MET'!H50+'T3 MET'!H50</f>
        <v>0</v>
      </c>
      <c r="I50" s="423">
        <f>'T3 ANSP'!I50+'T3 MET'!I50+'T3 MET'!I50</f>
        <v>0</v>
      </c>
      <c r="J50" s="423">
        <f>'T3 ANSP'!J50+'T3 MET'!J50+'T3 MET'!J50</f>
        <v>0</v>
      </c>
      <c r="K50" s="423">
        <f>'T3 ANSP'!K50+'T3 MET'!K50+'T3 MET'!K50</f>
        <v>0</v>
      </c>
      <c r="L50" s="423">
        <f>'T3 ANSP'!L50+'T3 MET'!L50+'T3 MET'!L50</f>
        <v>0</v>
      </c>
      <c r="M50" s="440">
        <f>'T3 ANSP'!M50+'T3 MET'!M50+'T3 MET'!M50</f>
        <v>0</v>
      </c>
      <c r="O50" s="405"/>
    </row>
    <row r="51" spans="1:15">
      <c r="A51" s="455">
        <v>2022</v>
      </c>
      <c r="B51" s="396"/>
      <c r="C51" s="406" t="s">
        <v>533</v>
      </c>
      <c r="D51" s="444">
        <f>'T3 ANSP'!D51+'T3 MET'!D51+'T3 MET'!D51</f>
        <v>0</v>
      </c>
      <c r="E51" s="441">
        <f>'T3 ANSP'!E51+'T3 MET'!E51+'T3 MET'!E51</f>
        <v>0</v>
      </c>
      <c r="F51" s="423">
        <f>'T3 ANSP'!F51+'T3 MET'!F51+'T3 MET'!F51</f>
        <v>0</v>
      </c>
      <c r="G51" s="423">
        <f>'T3 ANSP'!G51+'T3 MET'!G51+'T3 MET'!G51</f>
        <v>0</v>
      </c>
      <c r="H51" s="423">
        <f>'T3 ANSP'!H51+'T3 MET'!H51+'T3 MET'!H51</f>
        <v>0</v>
      </c>
      <c r="I51" s="423">
        <f>'T3 ANSP'!I51+'T3 MET'!I51+'T3 MET'!I51</f>
        <v>0</v>
      </c>
      <c r="J51" s="423">
        <f>'T3 ANSP'!J51+'T3 MET'!J51+'T3 MET'!J51</f>
        <v>0</v>
      </c>
      <c r="K51" s="423">
        <f>'T3 ANSP'!K51+'T3 MET'!K51+'T3 MET'!K51</f>
        <v>0</v>
      </c>
      <c r="L51" s="423">
        <f>'T3 ANSP'!L51+'T3 MET'!L51+'T3 MET'!L51</f>
        <v>0</v>
      </c>
      <c r="M51" s="440">
        <f>'T3 ANSP'!M51+'T3 MET'!M51+'T3 MET'!M51</f>
        <v>0</v>
      </c>
      <c r="O51" s="405"/>
    </row>
    <row r="52" spans="1:15">
      <c r="A52" s="455" t="s">
        <v>498</v>
      </c>
      <c r="B52" s="396"/>
      <c r="C52" s="413" t="s">
        <v>534</v>
      </c>
      <c r="D52" s="414">
        <f>'T3 ANSP'!D52+'T3 MET'!D52+'T3 MET'!D52</f>
        <v>0</v>
      </c>
      <c r="E52" s="415">
        <f>'T3 ANSP'!E52+'T3 MET'!E52+'T3 MET'!E52</f>
        <v>0</v>
      </c>
      <c r="F52" s="416">
        <f>'T3 ANSP'!F52+'T3 MET'!F52+'T3 MET'!F52</f>
        <v>0</v>
      </c>
      <c r="G52" s="416">
        <f>'T3 ANSP'!G52+'T3 MET'!G52+'T3 MET'!G52</f>
        <v>0</v>
      </c>
      <c r="H52" s="416">
        <f>'T3 ANSP'!H52+'T3 MET'!H52+'T3 MET'!H52</f>
        <v>0</v>
      </c>
      <c r="I52" s="416">
        <f>'T3 ANSP'!I52+'T3 MET'!I52+'T3 MET'!I52</f>
        <v>0</v>
      </c>
      <c r="J52" s="416">
        <f>'T3 ANSP'!J52+'T3 MET'!J52+'T3 MET'!J52</f>
        <v>0</v>
      </c>
      <c r="K52" s="416">
        <f>'T3 ANSP'!K52+'T3 MET'!K52+'T3 MET'!K52</f>
        <v>0</v>
      </c>
      <c r="L52" s="416">
        <f>'T3 ANSP'!L52+'T3 MET'!L52+'T3 MET'!L52</f>
        <v>0</v>
      </c>
      <c r="M52" s="1051">
        <f>'T3 ANSP'!M52+'T3 MET'!M52+'T3 MET'!M52</f>
        <v>0</v>
      </c>
      <c r="O52" s="405"/>
    </row>
    <row r="53" spans="1:15">
      <c r="A53" s="455">
        <v>2023</v>
      </c>
      <c r="B53" s="396"/>
      <c r="C53" s="406" t="s">
        <v>535</v>
      </c>
      <c r="D53" s="444">
        <f>'T3 ANSP'!D53+'T3 MET'!D53+'T3 MET'!D53</f>
        <v>0</v>
      </c>
      <c r="E53" s="441">
        <f>'T3 ANSP'!E53+'T3 MET'!E53+'T3 MET'!E53</f>
        <v>0</v>
      </c>
      <c r="F53" s="423">
        <f>'T3 ANSP'!F53+'T3 MET'!F53+'T3 MET'!F53</f>
        <v>0</v>
      </c>
      <c r="G53" s="423">
        <f>'T3 ANSP'!G53+'T3 MET'!G53+'T3 MET'!G53</f>
        <v>0</v>
      </c>
      <c r="H53" s="423">
        <f>'T3 ANSP'!H53+'T3 MET'!H53+'T3 MET'!H53</f>
        <v>0</v>
      </c>
      <c r="I53" s="423">
        <f>'T3 ANSP'!I53+'T3 MET'!I53+'T3 MET'!I53</f>
        <v>0</v>
      </c>
      <c r="J53" s="423">
        <f>'T3 ANSP'!J53+'T3 MET'!J53+'T3 MET'!J53</f>
        <v>0</v>
      </c>
      <c r="K53" s="423">
        <f>'T3 ANSP'!K53+'T3 MET'!K53+'T3 MET'!K53</f>
        <v>0</v>
      </c>
      <c r="L53" s="423">
        <f>'T3 ANSP'!L53+'T3 MET'!L53+'T3 MET'!L53</f>
        <v>0</v>
      </c>
      <c r="M53" s="440">
        <f>'T3 ANSP'!M53+'T3 MET'!M53+'T3 MET'!M53</f>
        <v>0</v>
      </c>
      <c r="O53" s="405"/>
    </row>
    <row r="54" spans="1:15">
      <c r="A54" s="455">
        <v>2024</v>
      </c>
      <c r="B54" s="396"/>
      <c r="C54" s="406" t="s">
        <v>536</v>
      </c>
      <c r="D54" s="444">
        <f>'T3 ANSP'!D54+'T3 MET'!D54+'T3 MET'!D54</f>
        <v>0</v>
      </c>
      <c r="E54" s="441">
        <f>'T3 ANSP'!E54+'T3 MET'!E54+'T3 MET'!E54</f>
        <v>0</v>
      </c>
      <c r="F54" s="423">
        <f>'T3 ANSP'!F54+'T3 MET'!F54+'T3 MET'!F54</f>
        <v>0</v>
      </c>
      <c r="G54" s="423">
        <f>'T3 ANSP'!G54+'T3 MET'!G54+'T3 MET'!G54</f>
        <v>0</v>
      </c>
      <c r="H54" s="423">
        <f>'T3 ANSP'!H54+'T3 MET'!H54+'T3 MET'!H54</f>
        <v>0</v>
      </c>
      <c r="I54" s="423">
        <f>'T3 ANSP'!I54+'T3 MET'!I54+'T3 MET'!I54</f>
        <v>0</v>
      </c>
      <c r="J54" s="423">
        <f>'T3 ANSP'!J54+'T3 MET'!J54+'T3 MET'!J54</f>
        <v>0</v>
      </c>
      <c r="K54" s="423">
        <f>'T3 ANSP'!K54+'T3 MET'!K54+'T3 MET'!K54</f>
        <v>0</v>
      </c>
      <c r="L54" s="423">
        <f>'T3 ANSP'!L54+'T3 MET'!L54+'T3 MET'!L54</f>
        <v>0</v>
      </c>
      <c r="M54" s="440">
        <f>'T3 ANSP'!M54+'T3 MET'!M54+'T3 MET'!M54</f>
        <v>0</v>
      </c>
      <c r="O54" s="405"/>
    </row>
    <row r="55" spans="1:15">
      <c r="A55" s="455">
        <v>2025</v>
      </c>
      <c r="B55" s="396"/>
      <c r="C55" s="406" t="s">
        <v>537</v>
      </c>
      <c r="D55" s="444">
        <f>'T3 ANSP'!D55+'T3 MET'!D55+'T3 MET'!D55</f>
        <v>0</v>
      </c>
      <c r="E55" s="441">
        <f>'T3 ANSP'!E55+'T3 MET'!E55+'T3 MET'!E55</f>
        <v>0</v>
      </c>
      <c r="F55" s="423">
        <f>'T3 ANSP'!F55+'T3 MET'!F55+'T3 MET'!F55</f>
        <v>0</v>
      </c>
      <c r="G55" s="423">
        <f>'T3 ANSP'!G55+'T3 MET'!G55+'T3 MET'!G55</f>
        <v>0</v>
      </c>
      <c r="H55" s="423">
        <f>'T3 ANSP'!H55+'T3 MET'!H55+'T3 MET'!H55</f>
        <v>0</v>
      </c>
      <c r="I55" s="423">
        <f>'T3 ANSP'!I55+'T3 MET'!I55+'T3 MET'!I55</f>
        <v>0</v>
      </c>
      <c r="J55" s="423">
        <f>'T3 ANSP'!J55+'T3 MET'!J55+'T3 MET'!J55</f>
        <v>0</v>
      </c>
      <c r="K55" s="423">
        <f>'T3 ANSP'!K55+'T3 MET'!K55+'T3 MET'!K55</f>
        <v>0</v>
      </c>
      <c r="L55" s="423">
        <f>'T3 ANSP'!L55+'T3 MET'!L55+'T3 MET'!L55</f>
        <v>0</v>
      </c>
      <c r="M55" s="440">
        <f>'T3 ANSP'!M55+'T3 MET'!M55+'T3 MET'!M55</f>
        <v>0</v>
      </c>
      <c r="O55" s="405"/>
    </row>
    <row r="56" spans="1:15">
      <c r="A56" s="455">
        <v>2026</v>
      </c>
      <c r="B56" s="396"/>
      <c r="C56" s="406" t="s">
        <v>538</v>
      </c>
      <c r="D56" s="444">
        <f>'T3 ANSP'!D56+'T3 MET'!D56+'T3 MET'!D56</f>
        <v>0</v>
      </c>
      <c r="E56" s="441">
        <f>'T3 ANSP'!E56+'T3 MET'!E56+'T3 MET'!E56</f>
        <v>0</v>
      </c>
      <c r="F56" s="423">
        <f>'T3 ANSP'!F56+'T3 MET'!F56+'T3 MET'!F56</f>
        <v>0</v>
      </c>
      <c r="G56" s="423">
        <f>'T3 ANSP'!G56+'T3 MET'!G56+'T3 MET'!G56</f>
        <v>0</v>
      </c>
      <c r="H56" s="423">
        <f>'T3 ANSP'!H56+'T3 MET'!H56+'T3 MET'!H56</f>
        <v>0</v>
      </c>
      <c r="I56" s="423">
        <f>'T3 ANSP'!I56+'T3 MET'!I56+'T3 MET'!I56</f>
        <v>0</v>
      </c>
      <c r="J56" s="423">
        <f>'T3 ANSP'!J56+'T3 MET'!J56+'T3 MET'!J56</f>
        <v>0</v>
      </c>
      <c r="K56" s="423">
        <f>'T3 ANSP'!K56+'T3 MET'!K56+'T3 MET'!K56</f>
        <v>0</v>
      </c>
      <c r="L56" s="423">
        <f>'T3 ANSP'!L56+'T3 MET'!L56+'T3 MET'!L56</f>
        <v>0</v>
      </c>
      <c r="M56" s="440">
        <f>'T3 ANSP'!M56+'T3 MET'!M56+'T3 MET'!M56</f>
        <v>0</v>
      </c>
      <c r="O56" s="405"/>
    </row>
    <row r="57" spans="1:15">
      <c r="A57" s="455">
        <v>2027</v>
      </c>
      <c r="B57" s="396"/>
      <c r="C57" s="406" t="s">
        <v>539</v>
      </c>
      <c r="D57" s="445">
        <f>'T3 ANSP'!D57+'T3 MET'!D57+'T3 MET'!D57</f>
        <v>0</v>
      </c>
      <c r="E57" s="1411">
        <f>'T3 ANSP'!E57+'T3 MET'!E57+'T3 MET'!E57</f>
        <v>0</v>
      </c>
      <c r="F57" s="463">
        <f>'T3 ANSP'!F57+'T3 MET'!F57+'T3 MET'!F57</f>
        <v>0</v>
      </c>
      <c r="G57" s="463">
        <f>'T3 ANSP'!G57+'T3 MET'!G57+'T3 MET'!G57</f>
        <v>0</v>
      </c>
      <c r="H57" s="463">
        <f>'T3 ANSP'!H57+'T3 MET'!H57+'T3 MET'!H57</f>
        <v>0</v>
      </c>
      <c r="I57" s="463">
        <f>'T3 ANSP'!I57+'T3 MET'!I57+'T3 MET'!I57</f>
        <v>0</v>
      </c>
      <c r="J57" s="463">
        <f>'T3 ANSP'!J57+'T3 MET'!J57+'T3 MET'!J57</f>
        <v>0</v>
      </c>
      <c r="K57" s="463">
        <f>'T3 ANSP'!K57+'T3 MET'!K57+'T3 MET'!K57</f>
        <v>0</v>
      </c>
      <c r="L57" s="463">
        <f>'T3 ANSP'!L57+'T3 MET'!L57+'T3 MET'!L57</f>
        <v>0</v>
      </c>
      <c r="M57" s="1077">
        <f>'T3 ANSP'!M57+'T3 MET'!M57+'T3 MET'!M57</f>
        <v>0</v>
      </c>
      <c r="O57" s="405"/>
    </row>
    <row r="58" spans="1:15">
      <c r="A58" s="455" t="s">
        <v>505</v>
      </c>
      <c r="B58" s="396"/>
      <c r="C58" s="431" t="s">
        <v>540</v>
      </c>
      <c r="D58" s="432">
        <f>'T3 ANSP'!D58+'T3 MET'!D58+'T3 MET'!D58</f>
        <v>0</v>
      </c>
      <c r="E58" s="480">
        <f>'T3 ANSP'!E58+'T3 MET'!E58+'T3 MET'!E58</f>
        <v>0</v>
      </c>
      <c r="F58" s="434">
        <f>'T3 ANSP'!F58+'T3 MET'!F58+'T3 MET'!F58</f>
        <v>0</v>
      </c>
      <c r="G58" s="434">
        <f>'T3 ANSP'!G58+'T3 MET'!G58+'T3 MET'!G58</f>
        <v>0</v>
      </c>
      <c r="H58" s="434">
        <f>'T3 ANSP'!H58+'T3 MET'!H58+'T3 MET'!H58</f>
        <v>0</v>
      </c>
      <c r="I58" s="434">
        <f>'T3 ANSP'!I58+'T3 MET'!I58+'T3 MET'!I58</f>
        <v>0</v>
      </c>
      <c r="J58" s="434">
        <f>'T3 ANSP'!J58+'T3 MET'!J58+'T3 MET'!J58</f>
        <v>0</v>
      </c>
      <c r="K58" s="434">
        <f>'T3 ANSP'!K58+'T3 MET'!K58+'T3 MET'!K58</f>
        <v>0</v>
      </c>
      <c r="L58" s="434">
        <f>'T3 ANSP'!L58+'T3 MET'!L58+'T3 MET'!L58</f>
        <v>0</v>
      </c>
      <c r="M58" s="1076">
        <f>'T3 ANSP'!M58+'T3 MET'!M58+'T3 MET'!M58</f>
        <v>0</v>
      </c>
      <c r="O58" s="405"/>
    </row>
    <row r="59" spans="1:15">
      <c r="A59" s="758"/>
      <c r="B59" s="396"/>
      <c r="C59" s="482"/>
      <c r="D59" s="447"/>
      <c r="E59" s="447"/>
      <c r="F59" s="447"/>
      <c r="G59" s="447"/>
      <c r="H59" s="447"/>
      <c r="I59" s="447"/>
      <c r="J59" s="447"/>
      <c r="K59" s="447"/>
      <c r="L59" s="447"/>
      <c r="M59" s="447"/>
      <c r="O59" s="405"/>
    </row>
    <row r="60" spans="1:15">
      <c r="A60" s="455">
        <v>2020</v>
      </c>
      <c r="B60" s="396"/>
      <c r="C60" s="398" t="s">
        <v>541</v>
      </c>
      <c r="D60" s="443">
        <f>'T3 ANSP'!D60+'T3 MET'!D60+'T3 MET'!D60</f>
        <v>0</v>
      </c>
      <c r="E60" s="438">
        <f>'T3 ANSP'!E60+'T3 MET'!E60+'T3 MET'!E60</f>
        <v>0</v>
      </c>
      <c r="F60" s="421">
        <f>'T3 ANSP'!F60+'T3 MET'!F60+'T3 MET'!F60</f>
        <v>0</v>
      </c>
      <c r="G60" s="421">
        <f>'T3 ANSP'!G60+'T3 MET'!G60+'T3 MET'!G60</f>
        <v>0</v>
      </c>
      <c r="H60" s="421">
        <f>'T3 ANSP'!H60+'T3 MET'!H60+'T3 MET'!H60</f>
        <v>0</v>
      </c>
      <c r="I60" s="421">
        <f>'T3 ANSP'!I60+'T3 MET'!I60+'T3 MET'!I60</f>
        <v>0</v>
      </c>
      <c r="J60" s="421">
        <f>'T3 ANSP'!J60+'T3 MET'!J60+'T3 MET'!J60</f>
        <v>0</v>
      </c>
      <c r="K60" s="421">
        <f>'T3 ANSP'!K60+'T3 MET'!K60+'T3 MET'!K60</f>
        <v>0</v>
      </c>
      <c r="L60" s="421">
        <f>'T3 ANSP'!L60+'T3 MET'!L60+'T3 MET'!L60</f>
        <v>0</v>
      </c>
      <c r="M60" s="437">
        <f>'T3 ANSP'!M60+'T3 MET'!M60+'T3 MET'!M60</f>
        <v>0</v>
      </c>
      <c r="O60" s="405"/>
    </row>
    <row r="61" spans="1:15">
      <c r="A61" s="455">
        <v>2021</v>
      </c>
      <c r="B61" s="396"/>
      <c r="C61" s="406" t="s">
        <v>542</v>
      </c>
      <c r="D61" s="444">
        <f>'T3 ANSP'!D61+'T3 MET'!D61+'T3 MET'!D61</f>
        <v>0</v>
      </c>
      <c r="E61" s="441">
        <f>'T3 ANSP'!E61+'T3 MET'!E61+'T3 MET'!E61</f>
        <v>0</v>
      </c>
      <c r="F61" s="423">
        <f>'T3 ANSP'!F61+'T3 MET'!F61+'T3 MET'!F61</f>
        <v>0</v>
      </c>
      <c r="G61" s="423">
        <f>'T3 ANSP'!G61+'T3 MET'!G61+'T3 MET'!G61</f>
        <v>0</v>
      </c>
      <c r="H61" s="423">
        <f>'T3 ANSP'!H61+'T3 MET'!H61+'T3 MET'!H61</f>
        <v>0</v>
      </c>
      <c r="I61" s="423">
        <f>'T3 ANSP'!I61+'T3 MET'!I61+'T3 MET'!I61</f>
        <v>0</v>
      </c>
      <c r="J61" s="423">
        <f>'T3 ANSP'!J61+'T3 MET'!J61+'T3 MET'!J61</f>
        <v>0</v>
      </c>
      <c r="K61" s="423">
        <f>'T3 ANSP'!K61+'T3 MET'!K61+'T3 MET'!K61</f>
        <v>0</v>
      </c>
      <c r="L61" s="423">
        <f>'T3 ANSP'!L61+'T3 MET'!L61+'T3 MET'!L61</f>
        <v>0</v>
      </c>
      <c r="M61" s="440">
        <f>'T3 ANSP'!M61+'T3 MET'!M61+'T3 MET'!M61</f>
        <v>0</v>
      </c>
      <c r="O61" s="405"/>
    </row>
    <row r="62" spans="1:15">
      <c r="A62" s="455">
        <v>2022</v>
      </c>
      <c r="B62" s="396"/>
      <c r="C62" s="406" t="s">
        <v>543</v>
      </c>
      <c r="D62" s="444">
        <f>'T3 ANSP'!D62+'T3 MET'!D62+'T3 MET'!D62</f>
        <v>0</v>
      </c>
      <c r="E62" s="441">
        <f>'T3 ANSP'!E62+'T3 MET'!E62+'T3 MET'!E62</f>
        <v>0</v>
      </c>
      <c r="F62" s="423">
        <f>'T3 ANSP'!F62+'T3 MET'!F62+'T3 MET'!F62</f>
        <v>0</v>
      </c>
      <c r="G62" s="423">
        <f>'T3 ANSP'!G62+'T3 MET'!G62+'T3 MET'!G62</f>
        <v>0</v>
      </c>
      <c r="H62" s="423">
        <f>'T3 ANSP'!H62+'T3 MET'!H62+'T3 MET'!H62</f>
        <v>0</v>
      </c>
      <c r="I62" s="423">
        <f>'T3 ANSP'!I62+'T3 MET'!I62+'T3 MET'!I62</f>
        <v>0</v>
      </c>
      <c r="J62" s="423">
        <f>'T3 ANSP'!J62+'T3 MET'!J62+'T3 MET'!J62</f>
        <v>0</v>
      </c>
      <c r="K62" s="423">
        <f>'T3 ANSP'!K62+'T3 MET'!K62+'T3 MET'!K62</f>
        <v>0</v>
      </c>
      <c r="L62" s="423">
        <f>'T3 ANSP'!L62+'T3 MET'!L62+'T3 MET'!L62</f>
        <v>0</v>
      </c>
      <c r="M62" s="440">
        <f>'T3 ANSP'!M62+'T3 MET'!M62+'T3 MET'!M62</f>
        <v>0</v>
      </c>
      <c r="O62" s="405"/>
    </row>
    <row r="63" spans="1:15">
      <c r="A63" s="455" t="s">
        <v>498</v>
      </c>
      <c r="B63" s="396"/>
      <c r="C63" s="413" t="s">
        <v>544</v>
      </c>
      <c r="D63" s="414">
        <f>'T3 ANSP'!D63+'T3 MET'!D63+'T3 MET'!D63</f>
        <v>0</v>
      </c>
      <c r="E63" s="415">
        <f>'T3 ANSP'!E63+'T3 MET'!E63+'T3 MET'!E63</f>
        <v>0</v>
      </c>
      <c r="F63" s="416">
        <f>'T3 ANSP'!F63+'T3 MET'!F63+'T3 MET'!F63</f>
        <v>0</v>
      </c>
      <c r="G63" s="416">
        <f>'T3 ANSP'!G63+'T3 MET'!G63+'T3 MET'!G63</f>
        <v>0</v>
      </c>
      <c r="H63" s="416">
        <f>'T3 ANSP'!H63+'T3 MET'!H63+'T3 MET'!H63</f>
        <v>0</v>
      </c>
      <c r="I63" s="416">
        <f>'T3 ANSP'!I63+'T3 MET'!I63+'T3 MET'!I63</f>
        <v>0</v>
      </c>
      <c r="J63" s="416">
        <f>'T3 ANSP'!J63+'T3 MET'!J63+'T3 MET'!J63</f>
        <v>0</v>
      </c>
      <c r="K63" s="416">
        <f>'T3 ANSP'!K63+'T3 MET'!K63+'T3 MET'!K63</f>
        <v>0</v>
      </c>
      <c r="L63" s="416">
        <f>'T3 ANSP'!L63+'T3 MET'!L63+'T3 MET'!L63</f>
        <v>0</v>
      </c>
      <c r="M63" s="1051">
        <f>'T3 ANSP'!M63+'T3 MET'!M63+'T3 MET'!M63</f>
        <v>0</v>
      </c>
      <c r="O63" s="405"/>
    </row>
    <row r="64" spans="1:15">
      <c r="A64" s="455">
        <v>2023</v>
      </c>
      <c r="B64" s="396"/>
      <c r="C64" s="406" t="s">
        <v>545</v>
      </c>
      <c r="D64" s="444">
        <f>'T3 ANSP'!D64+'T3 MET'!D64+'T3 MET'!D64</f>
        <v>0</v>
      </c>
      <c r="E64" s="441">
        <f>'T3 ANSP'!E64+'T3 MET'!E64+'T3 MET'!E64</f>
        <v>0</v>
      </c>
      <c r="F64" s="423">
        <f>'T3 ANSP'!F64+'T3 MET'!F64+'T3 MET'!F64</f>
        <v>0</v>
      </c>
      <c r="G64" s="423">
        <f>'T3 ANSP'!G64+'T3 MET'!G64+'T3 MET'!G64</f>
        <v>0</v>
      </c>
      <c r="H64" s="423">
        <f>'T3 ANSP'!H64+'T3 MET'!H64+'T3 MET'!H64</f>
        <v>0</v>
      </c>
      <c r="I64" s="423">
        <f>'T3 ANSP'!I64+'T3 MET'!I64+'T3 MET'!I64</f>
        <v>0</v>
      </c>
      <c r="J64" s="423">
        <f>'T3 ANSP'!J64+'T3 MET'!J64+'T3 MET'!J64</f>
        <v>0</v>
      </c>
      <c r="K64" s="423">
        <f>'T3 ANSP'!K64+'T3 MET'!K64+'T3 MET'!K64</f>
        <v>0</v>
      </c>
      <c r="L64" s="423">
        <f>'T3 ANSP'!L64+'T3 MET'!L64+'T3 MET'!L64</f>
        <v>0</v>
      </c>
      <c r="M64" s="440">
        <f>'T3 ANSP'!M64+'T3 MET'!M64+'T3 MET'!M64</f>
        <v>0</v>
      </c>
      <c r="O64" s="405"/>
    </row>
    <row r="65" spans="1:15">
      <c r="A65" s="455">
        <v>2024</v>
      </c>
      <c r="B65" s="396"/>
      <c r="C65" s="406" t="s">
        <v>546</v>
      </c>
      <c r="D65" s="444">
        <f>'T3 ANSP'!D65+'T3 MET'!D65+'T3 MET'!D65</f>
        <v>0</v>
      </c>
      <c r="E65" s="441">
        <f>'T3 ANSP'!E65+'T3 MET'!E65+'T3 MET'!E65</f>
        <v>0</v>
      </c>
      <c r="F65" s="423">
        <f>'T3 ANSP'!F65+'T3 MET'!F65+'T3 MET'!F65</f>
        <v>0</v>
      </c>
      <c r="G65" s="423">
        <f>'T3 ANSP'!G65+'T3 MET'!G65+'T3 MET'!G65</f>
        <v>0</v>
      </c>
      <c r="H65" s="423">
        <f>'T3 ANSP'!H65+'T3 MET'!H65+'T3 MET'!H65</f>
        <v>0</v>
      </c>
      <c r="I65" s="423">
        <f>'T3 ANSP'!I65+'T3 MET'!I65+'T3 MET'!I65</f>
        <v>0</v>
      </c>
      <c r="J65" s="423">
        <f>'T3 ANSP'!J65+'T3 MET'!J65+'T3 MET'!J65</f>
        <v>0</v>
      </c>
      <c r="K65" s="423">
        <f>'T3 ANSP'!K65+'T3 MET'!K65+'T3 MET'!K65</f>
        <v>0</v>
      </c>
      <c r="L65" s="423">
        <f>'T3 ANSP'!L65+'T3 MET'!L65+'T3 MET'!L65</f>
        <v>0</v>
      </c>
      <c r="M65" s="440">
        <f>'T3 ANSP'!M65+'T3 MET'!M65+'T3 MET'!M65</f>
        <v>0</v>
      </c>
      <c r="O65" s="405"/>
    </row>
    <row r="66" spans="1:15">
      <c r="A66" s="455">
        <v>2025</v>
      </c>
      <c r="B66" s="396"/>
      <c r="C66" s="406" t="s">
        <v>547</v>
      </c>
      <c r="D66" s="444">
        <f>'T3 ANSP'!D66+'T3 MET'!D66+'T3 MET'!D66</f>
        <v>0</v>
      </c>
      <c r="E66" s="441">
        <f>'T3 ANSP'!E66+'T3 MET'!E66+'T3 MET'!E66</f>
        <v>0</v>
      </c>
      <c r="F66" s="423">
        <f>'T3 ANSP'!F66+'T3 MET'!F66+'T3 MET'!F66</f>
        <v>0</v>
      </c>
      <c r="G66" s="423">
        <f>'T3 ANSP'!G66+'T3 MET'!G66+'T3 MET'!G66</f>
        <v>0</v>
      </c>
      <c r="H66" s="423">
        <f>'T3 ANSP'!H66+'T3 MET'!H66+'T3 MET'!H66</f>
        <v>0</v>
      </c>
      <c r="I66" s="423">
        <f>'T3 ANSP'!I66+'T3 MET'!I66+'T3 MET'!I66</f>
        <v>0</v>
      </c>
      <c r="J66" s="423">
        <f>'T3 ANSP'!J66+'T3 MET'!J66+'T3 MET'!J66</f>
        <v>0</v>
      </c>
      <c r="K66" s="423">
        <f>'T3 ANSP'!K66+'T3 MET'!K66+'T3 MET'!K66</f>
        <v>0</v>
      </c>
      <c r="L66" s="423">
        <f>'T3 ANSP'!L66+'T3 MET'!L66+'T3 MET'!L66</f>
        <v>0</v>
      </c>
      <c r="M66" s="440">
        <f>'T3 ANSP'!M66+'T3 MET'!M66+'T3 MET'!M66</f>
        <v>0</v>
      </c>
      <c r="O66" s="405"/>
    </row>
    <row r="67" spans="1:15">
      <c r="A67" s="455">
        <v>2026</v>
      </c>
      <c r="B67" s="396"/>
      <c r="C67" s="406" t="s">
        <v>548</v>
      </c>
      <c r="D67" s="444">
        <f>'T3 ANSP'!D67+'T3 MET'!D67+'T3 MET'!D67</f>
        <v>0</v>
      </c>
      <c r="E67" s="441">
        <f>'T3 ANSP'!E67+'T3 MET'!E67+'T3 MET'!E67</f>
        <v>0</v>
      </c>
      <c r="F67" s="423">
        <f>'T3 ANSP'!F67+'T3 MET'!F67+'T3 MET'!F67</f>
        <v>0</v>
      </c>
      <c r="G67" s="423">
        <f>'T3 ANSP'!G67+'T3 MET'!G67+'T3 MET'!G67</f>
        <v>0</v>
      </c>
      <c r="H67" s="423">
        <f>'T3 ANSP'!H67+'T3 MET'!H67+'T3 MET'!H67</f>
        <v>0</v>
      </c>
      <c r="I67" s="423">
        <f>'T3 ANSP'!I67+'T3 MET'!I67+'T3 MET'!I67</f>
        <v>0</v>
      </c>
      <c r="J67" s="423">
        <f>'T3 ANSP'!J67+'T3 MET'!J67+'T3 MET'!J67</f>
        <v>0</v>
      </c>
      <c r="K67" s="423">
        <f>'T3 ANSP'!K67+'T3 MET'!K67+'T3 MET'!K67</f>
        <v>0</v>
      </c>
      <c r="L67" s="423">
        <f>'T3 ANSP'!L67+'T3 MET'!L67+'T3 MET'!L67</f>
        <v>0</v>
      </c>
      <c r="M67" s="440">
        <f>'T3 ANSP'!M67+'T3 MET'!M67+'T3 MET'!M67</f>
        <v>0</v>
      </c>
      <c r="O67" s="405"/>
    </row>
    <row r="68" spans="1:15">
      <c r="A68" s="455">
        <v>2027</v>
      </c>
      <c r="B68" s="396"/>
      <c r="C68" s="406" t="s">
        <v>549</v>
      </c>
      <c r="D68" s="445">
        <f>'T3 ANSP'!D68+'T3 MET'!D68+'T3 MET'!D68</f>
        <v>0</v>
      </c>
      <c r="E68" s="1411">
        <f>'T3 ANSP'!E68+'T3 MET'!E68+'T3 MET'!E68</f>
        <v>0</v>
      </c>
      <c r="F68" s="463">
        <f>'T3 ANSP'!F68+'T3 MET'!F68+'T3 MET'!F68</f>
        <v>0</v>
      </c>
      <c r="G68" s="463">
        <f>'T3 ANSP'!G68+'T3 MET'!G68+'T3 MET'!G68</f>
        <v>0</v>
      </c>
      <c r="H68" s="463">
        <f>'T3 ANSP'!H68+'T3 MET'!H68+'T3 MET'!H68</f>
        <v>0</v>
      </c>
      <c r="I68" s="463">
        <f>'T3 ANSP'!I68+'T3 MET'!I68+'T3 MET'!I68</f>
        <v>0</v>
      </c>
      <c r="J68" s="463">
        <f>'T3 ANSP'!J68+'T3 MET'!J68+'T3 MET'!J68</f>
        <v>0</v>
      </c>
      <c r="K68" s="463">
        <f>'T3 ANSP'!K68+'T3 MET'!K68+'T3 MET'!K68</f>
        <v>0</v>
      </c>
      <c r="L68" s="463">
        <f>'T3 ANSP'!L68+'T3 MET'!L68+'T3 MET'!L68</f>
        <v>0</v>
      </c>
      <c r="M68" s="1077">
        <f>'T3 ANSP'!M68+'T3 MET'!M68+'T3 MET'!M68</f>
        <v>0</v>
      </c>
      <c r="O68" s="405"/>
    </row>
    <row r="69" spans="1:15">
      <c r="A69" s="455" t="s">
        <v>505</v>
      </c>
      <c r="B69" s="396"/>
      <c r="C69" s="431" t="s">
        <v>550</v>
      </c>
      <c r="D69" s="432">
        <f>'T3 ANSP'!D69+'T3 MET'!D69+'T3 MET'!D69</f>
        <v>0</v>
      </c>
      <c r="E69" s="480">
        <f>'T3 ANSP'!E69+'T3 MET'!E69+'T3 MET'!E69</f>
        <v>0</v>
      </c>
      <c r="F69" s="434">
        <f>'T3 ANSP'!F69+'T3 MET'!F69+'T3 MET'!F69</f>
        <v>0</v>
      </c>
      <c r="G69" s="434">
        <f>'T3 ANSP'!G69+'T3 MET'!G69+'T3 MET'!G69</f>
        <v>0</v>
      </c>
      <c r="H69" s="434">
        <f>'T3 ANSP'!H69+'T3 MET'!H69+'T3 MET'!H69</f>
        <v>0</v>
      </c>
      <c r="I69" s="434">
        <f>'T3 ANSP'!I69+'T3 MET'!I69+'T3 MET'!I69</f>
        <v>0</v>
      </c>
      <c r="J69" s="434">
        <f>'T3 ANSP'!J69+'T3 MET'!J69+'T3 MET'!J69</f>
        <v>0</v>
      </c>
      <c r="K69" s="434">
        <f>'T3 ANSP'!K69+'T3 MET'!K69+'T3 MET'!K69</f>
        <v>0</v>
      </c>
      <c r="L69" s="434">
        <f>'T3 ANSP'!L69+'T3 MET'!L69+'T3 MET'!L69</f>
        <v>0</v>
      </c>
      <c r="M69" s="1076">
        <f>'T3 ANSP'!M69+'T3 MET'!M69+'T3 MET'!M69</f>
        <v>0</v>
      </c>
      <c r="O69" s="405"/>
    </row>
    <row r="70" spans="1:15">
      <c r="A70" s="758"/>
      <c r="B70" s="396"/>
      <c r="C70" s="482"/>
      <c r="D70" s="446"/>
      <c r="E70" s="447"/>
      <c r="F70" s="447"/>
      <c r="G70" s="447"/>
      <c r="H70" s="447"/>
      <c r="I70" s="447"/>
      <c r="J70" s="447"/>
      <c r="K70" s="447"/>
      <c r="L70" s="447"/>
      <c r="M70" s="447"/>
      <c r="O70" s="405"/>
    </row>
    <row r="71" spans="1:15">
      <c r="A71" s="455">
        <v>2020</v>
      </c>
      <c r="B71" s="396"/>
      <c r="C71" s="398" t="s">
        <v>551</v>
      </c>
      <c r="D71" s="443">
        <f>'T3 ANSP'!D71+'T3 MET'!D71+'T3 MET'!D71</f>
        <v>0</v>
      </c>
      <c r="E71" s="438">
        <f>'T3 ANSP'!E71+'T3 MET'!E71+'T3 MET'!E71</f>
        <v>0</v>
      </c>
      <c r="F71" s="421">
        <f>'T3 ANSP'!F71+'T3 MET'!F71+'T3 MET'!F71</f>
        <v>0</v>
      </c>
      <c r="G71" s="487">
        <f>'T3 ANSP'!G71+'T3 MET'!G71+'T3 MET'!G71</f>
        <v>0</v>
      </c>
      <c r="H71" s="421">
        <f>'T3 ANSP'!H71+'T3 MET'!H71+'T3 MET'!H71</f>
        <v>0</v>
      </c>
      <c r="I71" s="1408">
        <f>'T3 ANSP'!I71+'T3 MET'!I71+'T3 MET'!I71</f>
        <v>0</v>
      </c>
      <c r="J71" s="1408">
        <f>'T3 ANSP'!J71+'T3 MET'!J71+'T3 MET'!J71</f>
        <v>0</v>
      </c>
      <c r="K71" s="1408">
        <f>'T3 ANSP'!K71+'T3 MET'!K71+'T3 MET'!K71</f>
        <v>0</v>
      </c>
      <c r="L71" s="1408">
        <f>'T3 ANSP'!L71+'T3 MET'!L71+'T3 MET'!L71</f>
        <v>0</v>
      </c>
      <c r="M71" s="437">
        <f>'T3 ANSP'!M71+'T3 MET'!M71+'T3 MET'!M71</f>
        <v>0</v>
      </c>
      <c r="O71" s="405"/>
    </row>
    <row r="72" spans="1:15">
      <c r="A72" s="455">
        <v>2021</v>
      </c>
      <c r="B72" s="396"/>
      <c r="C72" s="406" t="s">
        <v>552</v>
      </c>
      <c r="D72" s="444">
        <f>'T3 ANSP'!D72+'T3 MET'!D72+'T3 MET'!D72</f>
        <v>0</v>
      </c>
      <c r="E72" s="441">
        <f>'T3 ANSP'!E72+'T3 MET'!E72+'T3 MET'!E72</f>
        <v>0</v>
      </c>
      <c r="F72" s="423">
        <f>'T3 ANSP'!F72+'T3 MET'!F72+'T3 MET'!F72</f>
        <v>0</v>
      </c>
      <c r="G72" s="423">
        <f>'T3 ANSP'!G72+'T3 MET'!G72+'T3 MET'!G72</f>
        <v>0</v>
      </c>
      <c r="H72" s="491">
        <f>'T3 ANSP'!H72+'T3 MET'!H72+'T3 MET'!H72</f>
        <v>0</v>
      </c>
      <c r="I72" s="1061">
        <f>'T3 ANSP'!I72+'T3 MET'!I72+'T3 MET'!I72</f>
        <v>0</v>
      </c>
      <c r="J72" s="1061">
        <f>'T3 ANSP'!J72+'T3 MET'!J72+'T3 MET'!J72</f>
        <v>0</v>
      </c>
      <c r="K72" s="1061">
        <f>'T3 ANSP'!K72+'T3 MET'!K72+'T3 MET'!K72</f>
        <v>0</v>
      </c>
      <c r="L72" s="1061">
        <f>'T3 ANSP'!L72+'T3 MET'!L72+'T3 MET'!L72</f>
        <v>0</v>
      </c>
      <c r="M72" s="440">
        <f>'T3 ANSP'!M72+'T3 MET'!M72+'T3 MET'!M72</f>
        <v>0</v>
      </c>
      <c r="O72" s="405"/>
    </row>
    <row r="73" spans="1:15">
      <c r="A73" s="455">
        <v>2022</v>
      </c>
      <c r="B73" s="396"/>
      <c r="C73" s="406" t="s">
        <v>553</v>
      </c>
      <c r="D73" s="444">
        <f>'T3 ANSP'!D73+'T3 MET'!D73+'T3 MET'!D73</f>
        <v>0</v>
      </c>
      <c r="E73" s="441">
        <f>'T3 ANSP'!E73+'T3 MET'!E73+'T3 MET'!E73</f>
        <v>0</v>
      </c>
      <c r="F73" s="423">
        <f>'T3 ANSP'!F73+'T3 MET'!F73+'T3 MET'!F73</f>
        <v>0</v>
      </c>
      <c r="G73" s="423">
        <f>'T3 ANSP'!G73+'T3 MET'!G73+'T3 MET'!G73</f>
        <v>0</v>
      </c>
      <c r="H73" s="423">
        <f>'T3 ANSP'!H73+'T3 MET'!H73+'T3 MET'!H73</f>
        <v>0</v>
      </c>
      <c r="I73" s="1066">
        <f>'T3 ANSP'!I73+'T3 MET'!I73+'T3 MET'!I73</f>
        <v>0</v>
      </c>
      <c r="J73" s="1066">
        <f>'T3 ANSP'!J73+'T3 MET'!J73+'T3 MET'!J73</f>
        <v>0</v>
      </c>
      <c r="K73" s="1066">
        <f>'T3 ANSP'!K73+'T3 MET'!K73+'T3 MET'!K73</f>
        <v>0</v>
      </c>
      <c r="L73" s="1066">
        <f>'T3 ANSP'!L73+'T3 MET'!L73+'T3 MET'!L73</f>
        <v>0</v>
      </c>
      <c r="M73" s="440">
        <f>'T3 ANSP'!M73+'T3 MET'!M73+'T3 MET'!M73</f>
        <v>0</v>
      </c>
      <c r="O73" s="405"/>
    </row>
    <row r="74" spans="1:15">
      <c r="A74" s="455" t="s">
        <v>498</v>
      </c>
      <c r="B74" s="396"/>
      <c r="C74" s="413" t="s">
        <v>554</v>
      </c>
      <c r="D74" s="414">
        <f>'T3 ANSP'!D74+'T3 MET'!D74+'T3 MET'!D74</f>
        <v>0</v>
      </c>
      <c r="E74" s="415">
        <f>'T3 ANSP'!E74+'T3 MET'!E74+'T3 MET'!E74</f>
        <v>0</v>
      </c>
      <c r="F74" s="416">
        <f>'T3 ANSP'!F74+'T3 MET'!F74+'T3 MET'!F74</f>
        <v>0</v>
      </c>
      <c r="G74" s="416">
        <f>'T3 ANSP'!G74+'T3 MET'!G74+'T3 MET'!G74</f>
        <v>0</v>
      </c>
      <c r="H74" s="416">
        <f>'T3 ANSP'!H74+'T3 MET'!H74+'T3 MET'!H74</f>
        <v>0</v>
      </c>
      <c r="I74" s="416">
        <f>'T3 ANSP'!I74+'T3 MET'!I74+'T3 MET'!I74</f>
        <v>0</v>
      </c>
      <c r="J74" s="416">
        <f>'T3 ANSP'!J74+'T3 MET'!J74+'T3 MET'!J74</f>
        <v>0</v>
      </c>
      <c r="K74" s="416">
        <f>'T3 ANSP'!K74+'T3 MET'!K74+'T3 MET'!K74</f>
        <v>0</v>
      </c>
      <c r="L74" s="416">
        <f>'T3 ANSP'!L74+'T3 MET'!L74+'T3 MET'!L74</f>
        <v>0</v>
      </c>
      <c r="M74" s="1051">
        <f>'T3 ANSP'!M74+'T3 MET'!M74+'T3 MET'!M74</f>
        <v>0</v>
      </c>
      <c r="O74" s="405"/>
    </row>
    <row r="75" spans="1:15">
      <c r="A75" s="455">
        <v>2023</v>
      </c>
      <c r="B75" s="396"/>
      <c r="C75" s="406" t="s">
        <v>555</v>
      </c>
      <c r="D75" s="444">
        <f>'T3 ANSP'!D75+'T3 MET'!D75+'T3 MET'!D75</f>
        <v>0</v>
      </c>
      <c r="E75" s="441">
        <f>'T3 ANSP'!E75+'T3 MET'!E75+'T3 MET'!E75</f>
        <v>0</v>
      </c>
      <c r="F75" s="423">
        <f>'T3 ANSP'!F75+'T3 MET'!F75+'T3 MET'!F75</f>
        <v>0</v>
      </c>
      <c r="G75" s="423">
        <f>'T3 ANSP'!G75+'T3 MET'!G75+'T3 MET'!G75</f>
        <v>0</v>
      </c>
      <c r="H75" s="423">
        <f>'T3 ANSP'!H75+'T3 MET'!H75+'T3 MET'!H75</f>
        <v>0</v>
      </c>
      <c r="I75" s="1061">
        <f>'T3 ANSP'!I75+'T3 MET'!I75+'T3 MET'!I75</f>
        <v>0</v>
      </c>
      <c r="J75" s="423">
        <f>'T3 ANSP'!J75+'T3 MET'!J75+'T3 MET'!J75</f>
        <v>0</v>
      </c>
      <c r="K75" s="423">
        <f>'T3 ANSP'!K75+'T3 MET'!K75+'T3 MET'!K75</f>
        <v>0</v>
      </c>
      <c r="L75" s="423">
        <f>'T3 ANSP'!L75+'T3 MET'!L75+'T3 MET'!L75</f>
        <v>0</v>
      </c>
      <c r="M75" s="440">
        <f>'T3 ANSP'!M75+'T3 MET'!M75+'T3 MET'!M75</f>
        <v>0</v>
      </c>
      <c r="O75" s="405"/>
    </row>
    <row r="76" spans="1:15">
      <c r="A76" s="455">
        <v>2024</v>
      </c>
      <c r="B76" s="396"/>
      <c r="C76" s="406" t="s">
        <v>556</v>
      </c>
      <c r="D76" s="444">
        <f>'T3 ANSP'!D76+'T3 MET'!D76+'T3 MET'!D76</f>
        <v>0</v>
      </c>
      <c r="E76" s="441">
        <f>'T3 ANSP'!E76+'T3 MET'!E76+'T3 MET'!E76</f>
        <v>0</v>
      </c>
      <c r="F76" s="423">
        <f>'T3 ANSP'!F76+'T3 MET'!F76+'T3 MET'!F76</f>
        <v>0</v>
      </c>
      <c r="G76" s="423">
        <f>'T3 ANSP'!G76+'T3 MET'!G76+'T3 MET'!G76</f>
        <v>0</v>
      </c>
      <c r="H76" s="423">
        <f>'T3 ANSP'!H76+'T3 MET'!H76+'T3 MET'!H76</f>
        <v>0</v>
      </c>
      <c r="I76" s="1061">
        <f>'T3 ANSP'!I76+'T3 MET'!I76+'T3 MET'!I76</f>
        <v>0</v>
      </c>
      <c r="J76" s="423">
        <f>'T3 ANSP'!J76+'T3 MET'!J76+'T3 MET'!J76</f>
        <v>0</v>
      </c>
      <c r="K76" s="423">
        <f>'T3 ANSP'!K76+'T3 MET'!K76+'T3 MET'!K76</f>
        <v>0</v>
      </c>
      <c r="L76" s="423">
        <f>'T3 ANSP'!L76+'T3 MET'!L76+'T3 MET'!L76</f>
        <v>0</v>
      </c>
      <c r="M76" s="440">
        <f>'T3 ANSP'!M76+'T3 MET'!M76+'T3 MET'!M76</f>
        <v>0</v>
      </c>
      <c r="O76" s="405"/>
    </row>
    <row r="77" spans="1:15">
      <c r="A77" s="455">
        <v>2025</v>
      </c>
      <c r="B77" s="396"/>
      <c r="C77" s="406" t="s">
        <v>557</v>
      </c>
      <c r="D77" s="444">
        <f>'T3 ANSP'!D77+'T3 MET'!D77+'T3 MET'!D77</f>
        <v>0</v>
      </c>
      <c r="E77" s="441">
        <f>'T3 ANSP'!E77+'T3 MET'!E77+'T3 MET'!E77</f>
        <v>0</v>
      </c>
      <c r="F77" s="423">
        <f>'T3 ANSP'!F77+'T3 MET'!F77+'T3 MET'!F77</f>
        <v>0</v>
      </c>
      <c r="G77" s="423">
        <f>'T3 ANSP'!G77+'T3 MET'!G77+'T3 MET'!G77</f>
        <v>0</v>
      </c>
      <c r="H77" s="423">
        <f>'T3 ANSP'!H77+'T3 MET'!H77+'T3 MET'!H77</f>
        <v>0</v>
      </c>
      <c r="I77" s="1061">
        <f>'T3 ANSP'!I77+'T3 MET'!I77+'T3 MET'!I77</f>
        <v>0</v>
      </c>
      <c r="J77" s="423">
        <f>'T3 ANSP'!J77+'T3 MET'!J77+'T3 MET'!J77</f>
        <v>0</v>
      </c>
      <c r="K77" s="423">
        <f>'T3 ANSP'!K77+'T3 MET'!K77+'T3 MET'!K77</f>
        <v>0</v>
      </c>
      <c r="L77" s="423">
        <f>'T3 ANSP'!L77+'T3 MET'!L77+'T3 MET'!L77</f>
        <v>0</v>
      </c>
      <c r="M77" s="440">
        <f>'T3 ANSP'!M77+'T3 MET'!M77+'T3 MET'!M77</f>
        <v>0</v>
      </c>
      <c r="O77" s="405"/>
    </row>
    <row r="78" spans="1:15">
      <c r="A78" s="455">
        <v>2026</v>
      </c>
      <c r="B78" s="396"/>
      <c r="C78" s="406" t="s">
        <v>558</v>
      </c>
      <c r="D78" s="444">
        <f>'T3 ANSP'!D78+'T3 MET'!D78+'T3 MET'!D78</f>
        <v>0</v>
      </c>
      <c r="E78" s="441">
        <f>'T3 ANSP'!E78+'T3 MET'!E78+'T3 MET'!E78</f>
        <v>0</v>
      </c>
      <c r="F78" s="423">
        <f>'T3 ANSP'!F78+'T3 MET'!F78+'T3 MET'!F78</f>
        <v>0</v>
      </c>
      <c r="G78" s="423">
        <f>'T3 ANSP'!G78+'T3 MET'!G78+'T3 MET'!G78</f>
        <v>0</v>
      </c>
      <c r="H78" s="423">
        <f>'T3 ANSP'!H78+'T3 MET'!H78+'T3 MET'!H78</f>
        <v>0</v>
      </c>
      <c r="I78" s="1061">
        <f>'T3 ANSP'!I78+'T3 MET'!I78+'T3 MET'!I78</f>
        <v>0</v>
      </c>
      <c r="J78" s="423">
        <f>'T3 ANSP'!J78+'T3 MET'!J78+'T3 MET'!J78</f>
        <v>0</v>
      </c>
      <c r="K78" s="423">
        <f>'T3 ANSP'!K78+'T3 MET'!K78+'T3 MET'!K78</f>
        <v>0</v>
      </c>
      <c r="L78" s="423">
        <f>'T3 ANSP'!L78+'T3 MET'!L78+'T3 MET'!L78</f>
        <v>0</v>
      </c>
      <c r="M78" s="440">
        <f>'T3 ANSP'!M78+'T3 MET'!M78+'T3 MET'!M78</f>
        <v>0</v>
      </c>
      <c r="O78" s="405"/>
    </row>
    <row r="79" spans="1:15">
      <c r="A79" s="455">
        <v>2027</v>
      </c>
      <c r="B79" s="396"/>
      <c r="C79" s="406" t="s">
        <v>559</v>
      </c>
      <c r="D79" s="445">
        <f>'T3 ANSP'!D79+'T3 MET'!D79+'T3 MET'!D79</f>
        <v>0</v>
      </c>
      <c r="E79" s="1411">
        <f>'T3 ANSP'!E79+'T3 MET'!E79+'T3 MET'!E79</f>
        <v>0</v>
      </c>
      <c r="F79" s="463">
        <f>'T3 ANSP'!F79+'T3 MET'!F79+'T3 MET'!F79</f>
        <v>0</v>
      </c>
      <c r="G79" s="463">
        <f>'T3 ANSP'!G79+'T3 MET'!G79+'T3 MET'!G79</f>
        <v>0</v>
      </c>
      <c r="H79" s="463">
        <f>'T3 ANSP'!H79+'T3 MET'!H79+'T3 MET'!H79</f>
        <v>0</v>
      </c>
      <c r="I79" s="1415">
        <f>'T3 ANSP'!I79+'T3 MET'!I79+'T3 MET'!I79</f>
        <v>0</v>
      </c>
      <c r="J79" s="463">
        <f>'T3 ANSP'!J79+'T3 MET'!J79+'T3 MET'!J79</f>
        <v>0</v>
      </c>
      <c r="K79" s="463">
        <f>'T3 ANSP'!K79+'T3 MET'!K79+'T3 MET'!K79</f>
        <v>0</v>
      </c>
      <c r="L79" s="463">
        <f>'T3 ANSP'!L79+'T3 MET'!L79+'T3 MET'!L79</f>
        <v>0</v>
      </c>
      <c r="M79" s="1077">
        <f>'T3 ANSP'!M79+'T3 MET'!M79+'T3 MET'!M79</f>
        <v>0</v>
      </c>
      <c r="O79" s="405"/>
    </row>
    <row r="80" spans="1:15">
      <c r="A80" s="455" t="s">
        <v>505</v>
      </c>
      <c r="B80" s="396"/>
      <c r="C80" s="431" t="s">
        <v>560</v>
      </c>
      <c r="D80" s="432">
        <f>'T3 ANSP'!D80+'T3 MET'!D80+'T3 MET'!D80</f>
        <v>0</v>
      </c>
      <c r="E80" s="480">
        <f>'T3 ANSP'!E80+'T3 MET'!E80+'T3 MET'!E80</f>
        <v>0</v>
      </c>
      <c r="F80" s="434">
        <f>'T3 ANSP'!F80+'T3 MET'!F80+'T3 MET'!F80</f>
        <v>0</v>
      </c>
      <c r="G80" s="434">
        <f>'T3 ANSP'!G80+'T3 MET'!G80+'T3 MET'!G80</f>
        <v>0</v>
      </c>
      <c r="H80" s="434">
        <f>'T3 ANSP'!H80+'T3 MET'!H80+'T3 MET'!H80</f>
        <v>0</v>
      </c>
      <c r="I80" s="434">
        <f>'T3 ANSP'!I80+'T3 MET'!I80+'T3 MET'!I80</f>
        <v>0</v>
      </c>
      <c r="J80" s="434">
        <f>'T3 ANSP'!J80+'T3 MET'!J80+'T3 MET'!J80</f>
        <v>0</v>
      </c>
      <c r="K80" s="434">
        <f>'T3 ANSP'!K80+'T3 MET'!K80+'T3 MET'!K80</f>
        <v>0</v>
      </c>
      <c r="L80" s="434">
        <f>'T3 ANSP'!L80+'T3 MET'!L80+'T3 MET'!L80</f>
        <v>0</v>
      </c>
      <c r="M80" s="1076">
        <f>'T3 ANSP'!M80+'T3 MET'!M80+'T3 MET'!M80</f>
        <v>0</v>
      </c>
      <c r="O80" s="405"/>
    </row>
    <row r="81" spans="1:15">
      <c r="A81" s="758"/>
      <c r="B81" s="396"/>
      <c r="C81" s="482"/>
      <c r="D81" s="446"/>
      <c r="E81" s="447"/>
      <c r="F81" s="447"/>
      <c r="G81" s="447"/>
      <c r="H81" s="447"/>
      <c r="I81" s="447"/>
      <c r="J81" s="447"/>
      <c r="K81" s="447"/>
      <c r="L81" s="447"/>
      <c r="M81" s="447"/>
      <c r="O81" s="405"/>
    </row>
    <row r="82" spans="1:15">
      <c r="A82" s="455">
        <v>2020</v>
      </c>
      <c r="B82" s="396"/>
      <c r="C82" s="398" t="s">
        <v>561</v>
      </c>
      <c r="D82" s="443">
        <f>'T3 ANSP'!D82+'T3 MET'!D82+'T3 MET'!D82</f>
        <v>0</v>
      </c>
      <c r="E82" s="438">
        <f>'T3 ANSP'!E82+'T3 MET'!E82+'T3 MET'!E82</f>
        <v>0</v>
      </c>
      <c r="F82" s="421">
        <f>'T3 ANSP'!F82+'T3 MET'!F82+'T3 MET'!F82</f>
        <v>0</v>
      </c>
      <c r="G82" s="487">
        <f>'T3 ANSP'!G82+'T3 MET'!G82+'T3 MET'!G82</f>
        <v>0</v>
      </c>
      <c r="H82" s="421">
        <f>'T3 ANSP'!H82+'T3 MET'!H82+'T3 MET'!H82</f>
        <v>0</v>
      </c>
      <c r="I82" s="1408">
        <f>'T3 ANSP'!I82+'T3 MET'!I82+'T3 MET'!I82</f>
        <v>0</v>
      </c>
      <c r="J82" s="1408">
        <f>'T3 ANSP'!J82+'T3 MET'!J82+'T3 MET'!J82</f>
        <v>0</v>
      </c>
      <c r="K82" s="1408">
        <f>'T3 ANSP'!K82+'T3 MET'!K82+'T3 MET'!K82</f>
        <v>0</v>
      </c>
      <c r="L82" s="1408">
        <f>'T3 ANSP'!L82+'T3 MET'!L82+'T3 MET'!L82</f>
        <v>0</v>
      </c>
      <c r="M82" s="437">
        <f>'T3 ANSP'!M82+'T3 MET'!M82+'T3 MET'!M82</f>
        <v>0</v>
      </c>
      <c r="O82" s="405"/>
    </row>
    <row r="83" spans="1:15">
      <c r="A83" s="455">
        <v>2021</v>
      </c>
      <c r="B83" s="396"/>
      <c r="C83" s="406" t="s">
        <v>562</v>
      </c>
      <c r="D83" s="444">
        <f>'T3 ANSP'!D83+'T3 MET'!D83+'T3 MET'!D83</f>
        <v>0</v>
      </c>
      <c r="E83" s="441">
        <f>'T3 ANSP'!E83+'T3 MET'!E83+'T3 MET'!E83</f>
        <v>0</v>
      </c>
      <c r="F83" s="423">
        <f>'T3 ANSP'!F83+'T3 MET'!F83+'T3 MET'!F83</f>
        <v>0</v>
      </c>
      <c r="G83" s="423">
        <f>'T3 ANSP'!G83+'T3 MET'!G83+'T3 MET'!G83</f>
        <v>0</v>
      </c>
      <c r="H83" s="491">
        <f>'T3 ANSP'!H83+'T3 MET'!H83+'T3 MET'!H83</f>
        <v>0</v>
      </c>
      <c r="I83" s="1061">
        <f>'T3 ANSP'!I83+'T3 MET'!I83+'T3 MET'!I83</f>
        <v>0</v>
      </c>
      <c r="J83" s="423">
        <f>'T3 ANSP'!J83+'T3 MET'!J83+'T3 MET'!J83</f>
        <v>0</v>
      </c>
      <c r="K83" s="423">
        <f>'T3 ANSP'!K83+'T3 MET'!K83+'T3 MET'!K83</f>
        <v>0</v>
      </c>
      <c r="L83" s="423">
        <f>'T3 ANSP'!L83+'T3 MET'!L83+'T3 MET'!L83</f>
        <v>0</v>
      </c>
      <c r="M83" s="440">
        <f>'T3 ANSP'!M83+'T3 MET'!M83+'T3 MET'!M83</f>
        <v>0</v>
      </c>
      <c r="O83" s="405"/>
    </row>
    <row r="84" spans="1:15">
      <c r="A84" s="455">
        <v>2022</v>
      </c>
      <c r="B84" s="396"/>
      <c r="C84" s="406" t="s">
        <v>563</v>
      </c>
      <c r="D84" s="444">
        <f>'T3 ANSP'!D84+'T3 MET'!D84+'T3 MET'!D84</f>
        <v>0</v>
      </c>
      <c r="E84" s="441">
        <f>'T3 ANSP'!E84+'T3 MET'!E84+'T3 MET'!E84</f>
        <v>0</v>
      </c>
      <c r="F84" s="423">
        <f>'T3 ANSP'!F84+'T3 MET'!F84+'T3 MET'!F84</f>
        <v>0</v>
      </c>
      <c r="G84" s="423">
        <f>'T3 ANSP'!G84+'T3 MET'!G84+'T3 MET'!G84</f>
        <v>0</v>
      </c>
      <c r="H84" s="423">
        <f>'T3 ANSP'!H84+'T3 MET'!H84+'T3 MET'!H84</f>
        <v>0</v>
      </c>
      <c r="I84" s="1066">
        <f>'T3 ANSP'!I84+'T3 MET'!I84+'T3 MET'!I84</f>
        <v>0</v>
      </c>
      <c r="J84" s="463">
        <f>'T3 ANSP'!J84+'T3 MET'!J84+'T3 MET'!J84</f>
        <v>0</v>
      </c>
      <c r="K84" s="463">
        <f>'T3 ANSP'!K84+'T3 MET'!K84+'T3 MET'!K84</f>
        <v>0</v>
      </c>
      <c r="L84" s="463">
        <f>'T3 ANSP'!L84+'T3 MET'!L84+'T3 MET'!L84</f>
        <v>0</v>
      </c>
      <c r="M84" s="440">
        <f>'T3 ANSP'!M84+'T3 MET'!M84+'T3 MET'!M84</f>
        <v>0</v>
      </c>
      <c r="O84" s="405"/>
    </row>
    <row r="85" spans="1:15">
      <c r="A85" s="455" t="s">
        <v>498</v>
      </c>
      <c r="B85" s="396"/>
      <c r="C85" s="413" t="s">
        <v>564</v>
      </c>
      <c r="D85" s="414">
        <f>'T3 ANSP'!D85+'T3 MET'!D85+'T3 MET'!D85</f>
        <v>0</v>
      </c>
      <c r="E85" s="415">
        <f>'T3 ANSP'!E85+'T3 MET'!E85+'T3 MET'!E85</f>
        <v>0</v>
      </c>
      <c r="F85" s="416">
        <f>'T3 ANSP'!F85+'T3 MET'!F85+'T3 MET'!F85</f>
        <v>0</v>
      </c>
      <c r="G85" s="416">
        <f>'T3 ANSP'!G85+'T3 MET'!G85+'T3 MET'!G85</f>
        <v>0</v>
      </c>
      <c r="H85" s="416">
        <f>'T3 ANSP'!H85+'T3 MET'!H85+'T3 MET'!H85</f>
        <v>0</v>
      </c>
      <c r="I85" s="416">
        <f>'T3 ANSP'!I85+'T3 MET'!I85+'T3 MET'!I85</f>
        <v>0</v>
      </c>
      <c r="J85" s="416">
        <f>'T3 ANSP'!J85+'T3 MET'!J85+'T3 MET'!J85</f>
        <v>0</v>
      </c>
      <c r="K85" s="416">
        <f>'T3 ANSP'!K85+'T3 MET'!K85+'T3 MET'!K85</f>
        <v>0</v>
      </c>
      <c r="L85" s="416">
        <f>'T3 ANSP'!L85+'T3 MET'!L85+'T3 MET'!L85</f>
        <v>0</v>
      </c>
      <c r="M85" s="1051">
        <f>'T3 ANSP'!M85+'T3 MET'!M85+'T3 MET'!M85</f>
        <v>0</v>
      </c>
      <c r="O85" s="405"/>
    </row>
    <row r="86" spans="1:15">
      <c r="A86" s="455">
        <v>2023</v>
      </c>
      <c r="B86" s="396"/>
      <c r="C86" s="406" t="s">
        <v>565</v>
      </c>
      <c r="D86" s="443">
        <f>'T3 ANSP'!D86+'T3 MET'!D86+'T3 MET'!D86</f>
        <v>0</v>
      </c>
      <c r="E86" s="441">
        <f>'T3 ANSP'!E86+'T3 MET'!E86+'T3 MET'!E86</f>
        <v>0</v>
      </c>
      <c r="F86" s="423">
        <f>'T3 ANSP'!F86+'T3 MET'!F86+'T3 MET'!F86</f>
        <v>0</v>
      </c>
      <c r="G86" s="423">
        <f>'T3 ANSP'!G86+'T3 MET'!G86+'T3 MET'!G86</f>
        <v>0</v>
      </c>
      <c r="H86" s="423">
        <f>'T3 ANSP'!H86+'T3 MET'!H86+'T3 MET'!H86</f>
        <v>0</v>
      </c>
      <c r="I86" s="1061">
        <f>'T3 ANSP'!I86+'T3 MET'!I86+'T3 MET'!I86</f>
        <v>0</v>
      </c>
      <c r="J86" s="423">
        <f>'T3 ANSP'!J86+'T3 MET'!J86+'T3 MET'!J86</f>
        <v>0</v>
      </c>
      <c r="K86" s="423">
        <f>'T3 ANSP'!K86+'T3 MET'!K86+'T3 MET'!K86</f>
        <v>0</v>
      </c>
      <c r="L86" s="423">
        <f>'T3 ANSP'!L86+'T3 MET'!L86+'T3 MET'!L86</f>
        <v>0</v>
      </c>
      <c r="M86" s="440">
        <f>'T3 ANSP'!M86+'T3 MET'!M86+'T3 MET'!M86</f>
        <v>0</v>
      </c>
      <c r="O86" s="405"/>
    </row>
    <row r="87" spans="1:15">
      <c r="A87" s="455">
        <v>2024</v>
      </c>
      <c r="B87" s="396"/>
      <c r="C87" s="406" t="s">
        <v>566</v>
      </c>
      <c r="D87" s="444">
        <f>'T3 ANSP'!D87+'T3 MET'!D87+'T3 MET'!D87</f>
        <v>0</v>
      </c>
      <c r="E87" s="441">
        <f>'T3 ANSP'!E87+'T3 MET'!E87+'T3 MET'!E87</f>
        <v>0</v>
      </c>
      <c r="F87" s="423">
        <f>'T3 ANSP'!F87+'T3 MET'!F87+'T3 MET'!F87</f>
        <v>0</v>
      </c>
      <c r="G87" s="423">
        <f>'T3 ANSP'!G87+'T3 MET'!G87+'T3 MET'!G87</f>
        <v>0</v>
      </c>
      <c r="H87" s="423">
        <f>'T3 ANSP'!H87+'T3 MET'!H87+'T3 MET'!H87</f>
        <v>0</v>
      </c>
      <c r="I87" s="1061">
        <f>'T3 ANSP'!I87+'T3 MET'!I87+'T3 MET'!I87</f>
        <v>0</v>
      </c>
      <c r="J87" s="423">
        <f>'T3 ANSP'!J87+'T3 MET'!J87+'T3 MET'!J87</f>
        <v>0</v>
      </c>
      <c r="K87" s="423">
        <f>'T3 ANSP'!K87+'T3 MET'!K87+'T3 MET'!K87</f>
        <v>0</v>
      </c>
      <c r="L87" s="423">
        <f>'T3 ANSP'!L87+'T3 MET'!L87+'T3 MET'!L87</f>
        <v>0</v>
      </c>
      <c r="M87" s="440">
        <f>'T3 ANSP'!M87+'T3 MET'!M87+'T3 MET'!M87</f>
        <v>0</v>
      </c>
      <c r="O87" s="405"/>
    </row>
    <row r="88" spans="1:15">
      <c r="A88" s="455">
        <v>2025</v>
      </c>
      <c r="B88" s="396"/>
      <c r="C88" s="406" t="s">
        <v>567</v>
      </c>
      <c r="D88" s="444">
        <f>'T3 ANSP'!D88+'T3 MET'!D88+'T3 MET'!D88</f>
        <v>0</v>
      </c>
      <c r="E88" s="441">
        <f>'T3 ANSP'!E88+'T3 MET'!E88+'T3 MET'!E88</f>
        <v>0</v>
      </c>
      <c r="F88" s="423">
        <f>'T3 ANSP'!F88+'T3 MET'!F88+'T3 MET'!F88</f>
        <v>0</v>
      </c>
      <c r="G88" s="423">
        <f>'T3 ANSP'!G88+'T3 MET'!G88+'T3 MET'!G88</f>
        <v>0</v>
      </c>
      <c r="H88" s="423">
        <f>'T3 ANSP'!H88+'T3 MET'!H88+'T3 MET'!H88</f>
        <v>0</v>
      </c>
      <c r="I88" s="1061">
        <f>'T3 ANSP'!I88+'T3 MET'!I88+'T3 MET'!I88</f>
        <v>0</v>
      </c>
      <c r="J88" s="423">
        <f>'T3 ANSP'!J88+'T3 MET'!J88+'T3 MET'!J88</f>
        <v>0</v>
      </c>
      <c r="K88" s="423">
        <f>'T3 ANSP'!K88+'T3 MET'!K88+'T3 MET'!K88</f>
        <v>0</v>
      </c>
      <c r="L88" s="423">
        <f>'T3 ANSP'!L88+'T3 MET'!L88+'T3 MET'!L88</f>
        <v>0</v>
      </c>
      <c r="M88" s="440">
        <f>'T3 ANSP'!M88+'T3 MET'!M88+'T3 MET'!M88</f>
        <v>0</v>
      </c>
      <c r="O88" s="405"/>
    </row>
    <row r="89" spans="1:15">
      <c r="A89" s="455">
        <v>2026</v>
      </c>
      <c r="B89" s="396"/>
      <c r="C89" s="406" t="s">
        <v>568</v>
      </c>
      <c r="D89" s="444">
        <f>'T3 ANSP'!D89+'T3 MET'!D89+'T3 MET'!D89</f>
        <v>0</v>
      </c>
      <c r="E89" s="441">
        <f>'T3 ANSP'!E89+'T3 MET'!E89+'T3 MET'!E89</f>
        <v>0</v>
      </c>
      <c r="F89" s="423">
        <f>'T3 ANSP'!F89+'T3 MET'!F89+'T3 MET'!F89</f>
        <v>0</v>
      </c>
      <c r="G89" s="423">
        <f>'T3 ANSP'!G89+'T3 MET'!G89+'T3 MET'!G89</f>
        <v>0</v>
      </c>
      <c r="H89" s="423">
        <f>'T3 ANSP'!H89+'T3 MET'!H89+'T3 MET'!H89</f>
        <v>0</v>
      </c>
      <c r="I89" s="1061">
        <f>'T3 ANSP'!I89+'T3 MET'!I89+'T3 MET'!I89</f>
        <v>0</v>
      </c>
      <c r="J89" s="423">
        <f>'T3 ANSP'!J89+'T3 MET'!J89+'T3 MET'!J89</f>
        <v>0</v>
      </c>
      <c r="K89" s="423">
        <f>'T3 ANSP'!K89+'T3 MET'!K89+'T3 MET'!K89</f>
        <v>0</v>
      </c>
      <c r="L89" s="423">
        <f>'T3 ANSP'!L89+'T3 MET'!L89+'T3 MET'!L89</f>
        <v>0</v>
      </c>
      <c r="M89" s="440">
        <f>'T3 ANSP'!M89+'T3 MET'!M89+'T3 MET'!M89</f>
        <v>0</v>
      </c>
      <c r="O89" s="405"/>
    </row>
    <row r="90" spans="1:15">
      <c r="A90" s="455">
        <v>2027</v>
      </c>
      <c r="B90" s="396"/>
      <c r="C90" s="406" t="s">
        <v>569</v>
      </c>
      <c r="D90" s="445">
        <f>'T3 ANSP'!D90+'T3 MET'!D90+'T3 MET'!D90</f>
        <v>0</v>
      </c>
      <c r="E90" s="1411">
        <f>'T3 ANSP'!E90+'T3 MET'!E90+'T3 MET'!E90</f>
        <v>0</v>
      </c>
      <c r="F90" s="463">
        <f>'T3 ANSP'!F90+'T3 MET'!F90+'T3 MET'!F90</f>
        <v>0</v>
      </c>
      <c r="G90" s="463">
        <f>'T3 ANSP'!G90+'T3 MET'!G90+'T3 MET'!G90</f>
        <v>0</v>
      </c>
      <c r="H90" s="463">
        <f>'T3 ANSP'!H90+'T3 MET'!H90+'T3 MET'!H90</f>
        <v>0</v>
      </c>
      <c r="I90" s="1415">
        <f>'T3 ANSP'!I90+'T3 MET'!I90+'T3 MET'!I90</f>
        <v>0</v>
      </c>
      <c r="J90" s="463">
        <f>'T3 ANSP'!J90+'T3 MET'!J90+'T3 MET'!J90</f>
        <v>0</v>
      </c>
      <c r="K90" s="463">
        <f>'T3 ANSP'!K90+'T3 MET'!K90+'T3 MET'!K90</f>
        <v>0</v>
      </c>
      <c r="L90" s="463">
        <f>'T3 ANSP'!L90+'T3 MET'!L90+'T3 MET'!L90</f>
        <v>0</v>
      </c>
      <c r="M90" s="1077">
        <f>'T3 ANSP'!M90+'T3 MET'!M90+'T3 MET'!M90</f>
        <v>0</v>
      </c>
      <c r="O90" s="405"/>
    </row>
    <row r="91" spans="1:15">
      <c r="A91" s="455" t="s">
        <v>505</v>
      </c>
      <c r="B91" s="396"/>
      <c r="C91" s="431" t="s">
        <v>570</v>
      </c>
      <c r="D91" s="432">
        <f>'T3 ANSP'!D91+'T3 MET'!D91+'T3 MET'!D91</f>
        <v>0</v>
      </c>
      <c r="E91" s="480">
        <f>'T3 ANSP'!E91+'T3 MET'!E91+'T3 MET'!E91</f>
        <v>0</v>
      </c>
      <c r="F91" s="434">
        <f>'T3 ANSP'!F91+'T3 MET'!F91+'T3 MET'!F91</f>
        <v>0</v>
      </c>
      <c r="G91" s="434">
        <f>'T3 ANSP'!G91+'T3 MET'!G91+'T3 MET'!G91</f>
        <v>0</v>
      </c>
      <c r="H91" s="434">
        <f>'T3 ANSP'!H91+'T3 MET'!H91+'T3 MET'!H91</f>
        <v>0</v>
      </c>
      <c r="I91" s="434">
        <f>'T3 ANSP'!I91+'T3 MET'!I91+'T3 MET'!I91</f>
        <v>0</v>
      </c>
      <c r="J91" s="434">
        <f>'T3 ANSP'!J91+'T3 MET'!J91+'T3 MET'!J91</f>
        <v>0</v>
      </c>
      <c r="K91" s="434">
        <f>'T3 ANSP'!K91+'T3 MET'!K91+'T3 MET'!K91</f>
        <v>0</v>
      </c>
      <c r="L91" s="434">
        <f>'T3 ANSP'!L91+'T3 MET'!L91+'T3 MET'!L91</f>
        <v>0</v>
      </c>
      <c r="M91" s="1076">
        <f>'T3 ANSP'!M91+'T3 MET'!M91+'T3 MET'!M91</f>
        <v>0</v>
      </c>
      <c r="O91" s="405"/>
    </row>
    <row r="92" spans="1:15">
      <c r="A92" s="758"/>
      <c r="B92" s="396"/>
      <c r="C92" s="482"/>
      <c r="D92" s="446"/>
      <c r="E92" s="447"/>
      <c r="F92" s="447"/>
      <c r="G92" s="447"/>
      <c r="H92" s="447"/>
      <c r="I92" s="447"/>
      <c r="J92" s="447"/>
      <c r="K92" s="447"/>
      <c r="L92" s="447"/>
      <c r="M92" s="447"/>
      <c r="O92" s="405"/>
    </row>
    <row r="93" spans="1:15">
      <c r="A93" s="455">
        <v>2020</v>
      </c>
      <c r="B93" s="396"/>
      <c r="C93" s="398" t="s">
        <v>571</v>
      </c>
      <c r="D93" s="443">
        <f>'T3 ANSP'!D93+'T3 MET'!D93+'T3 MET'!D93</f>
        <v>0</v>
      </c>
      <c r="E93" s="438">
        <f>'T3 ANSP'!E93+'T3 MET'!E93+'T3 MET'!E93</f>
        <v>0</v>
      </c>
      <c r="F93" s="421">
        <f>'T3 ANSP'!F93+'T3 MET'!F93+'T3 MET'!F93</f>
        <v>0</v>
      </c>
      <c r="G93" s="487">
        <f>'T3 ANSP'!G93+'T3 MET'!G93+'T3 MET'!G93</f>
        <v>0</v>
      </c>
      <c r="H93" s="421">
        <f>'T3 ANSP'!H93+'T3 MET'!H93+'T3 MET'!H93</f>
        <v>0</v>
      </c>
      <c r="I93" s="1408">
        <f>'T3 ANSP'!I93+'T3 MET'!I93+'T3 MET'!I93</f>
        <v>0</v>
      </c>
      <c r="J93" s="1408">
        <f>'T3 ANSP'!J93+'T3 MET'!J93+'T3 MET'!J93</f>
        <v>0</v>
      </c>
      <c r="K93" s="1408">
        <f>'T3 ANSP'!K93+'T3 MET'!K93+'T3 MET'!K93</f>
        <v>0</v>
      </c>
      <c r="L93" s="1408">
        <f>'T3 ANSP'!L93+'T3 MET'!L93+'T3 MET'!L93</f>
        <v>0</v>
      </c>
      <c r="M93" s="437">
        <f>'T3 ANSP'!M93+'T3 MET'!M93+'T3 MET'!M93</f>
        <v>0</v>
      </c>
      <c r="O93" s="405"/>
    </row>
    <row r="94" spans="1:15">
      <c r="A94" s="455">
        <v>2021</v>
      </c>
      <c r="B94" s="396"/>
      <c r="C94" s="406" t="s">
        <v>572</v>
      </c>
      <c r="D94" s="444">
        <f>'T3 ANSP'!D94+'T3 MET'!D94+'T3 MET'!D94</f>
        <v>0</v>
      </c>
      <c r="E94" s="441">
        <f>'T3 ANSP'!E94+'T3 MET'!E94+'T3 MET'!E94</f>
        <v>0</v>
      </c>
      <c r="F94" s="423">
        <f>'T3 ANSP'!F94+'T3 MET'!F94+'T3 MET'!F94</f>
        <v>0</v>
      </c>
      <c r="G94" s="423">
        <f>'T3 ANSP'!G94+'T3 MET'!G94+'T3 MET'!G94</f>
        <v>0</v>
      </c>
      <c r="H94" s="491">
        <f>'T3 ANSP'!H94+'T3 MET'!H94+'T3 MET'!H94</f>
        <v>0</v>
      </c>
      <c r="I94" s="1061">
        <f>'T3 ANSP'!I94+'T3 MET'!I94+'T3 MET'!I94</f>
        <v>0</v>
      </c>
      <c r="J94" s="1061">
        <f>'T3 ANSP'!J94+'T3 MET'!J94+'T3 MET'!J94</f>
        <v>0</v>
      </c>
      <c r="K94" s="1061">
        <f>'T3 ANSP'!K94+'T3 MET'!K94+'T3 MET'!K94</f>
        <v>0</v>
      </c>
      <c r="L94" s="1061">
        <f>'T3 ANSP'!L94+'T3 MET'!L94+'T3 MET'!L94</f>
        <v>0</v>
      </c>
      <c r="M94" s="440">
        <f>'T3 ANSP'!M94+'T3 MET'!M94+'T3 MET'!M94</f>
        <v>0</v>
      </c>
      <c r="O94" s="405"/>
    </row>
    <row r="95" spans="1:15">
      <c r="A95" s="455">
        <v>2022</v>
      </c>
      <c r="B95" s="396"/>
      <c r="C95" s="406" t="s">
        <v>573</v>
      </c>
      <c r="D95" s="444">
        <f>'T3 ANSP'!D95+'T3 MET'!D95+'T3 MET'!D95</f>
        <v>0</v>
      </c>
      <c r="E95" s="441">
        <f>'T3 ANSP'!E95+'T3 MET'!E95+'T3 MET'!E95</f>
        <v>0</v>
      </c>
      <c r="F95" s="423">
        <f>'T3 ANSP'!F95+'T3 MET'!F95+'T3 MET'!F95</f>
        <v>0</v>
      </c>
      <c r="G95" s="423">
        <f>'T3 ANSP'!G95+'T3 MET'!G95+'T3 MET'!G95</f>
        <v>0</v>
      </c>
      <c r="H95" s="423">
        <f>'T3 ANSP'!H95+'T3 MET'!H95+'T3 MET'!H95</f>
        <v>0</v>
      </c>
      <c r="I95" s="1066">
        <f>'T3 ANSP'!I95+'T3 MET'!I95+'T3 MET'!I95</f>
        <v>0</v>
      </c>
      <c r="J95" s="463">
        <f>'T3 ANSP'!J95+'T3 MET'!J95+'T3 MET'!J95</f>
        <v>0</v>
      </c>
      <c r="K95" s="463">
        <f>'T3 ANSP'!K95+'T3 MET'!K95+'T3 MET'!K95</f>
        <v>0</v>
      </c>
      <c r="L95" s="463">
        <f>'T3 ANSP'!L95+'T3 MET'!L95+'T3 MET'!L95</f>
        <v>0</v>
      </c>
      <c r="M95" s="440">
        <f>'T3 ANSP'!M95+'T3 MET'!M95+'T3 MET'!M95</f>
        <v>0</v>
      </c>
      <c r="O95" s="405"/>
    </row>
    <row r="96" spans="1:15">
      <c r="A96" s="455" t="s">
        <v>498</v>
      </c>
      <c r="B96" s="396"/>
      <c r="C96" s="413" t="s">
        <v>514</v>
      </c>
      <c r="D96" s="414">
        <f>'T3 ANSP'!D96+'T3 MET'!D96+'T3 MET'!D96</f>
        <v>0</v>
      </c>
      <c r="E96" s="415">
        <f>'T3 ANSP'!E96+'T3 MET'!E96+'T3 MET'!E96</f>
        <v>0</v>
      </c>
      <c r="F96" s="416">
        <f>'T3 ANSP'!F96+'T3 MET'!F96+'T3 MET'!F96</f>
        <v>0</v>
      </c>
      <c r="G96" s="416">
        <f>'T3 ANSP'!G96+'T3 MET'!G96+'T3 MET'!G96</f>
        <v>0</v>
      </c>
      <c r="H96" s="416">
        <f>'T3 ANSP'!H96+'T3 MET'!H96+'T3 MET'!H96</f>
        <v>0</v>
      </c>
      <c r="I96" s="416">
        <f>'T3 ANSP'!I96+'T3 MET'!I96+'T3 MET'!I96</f>
        <v>0</v>
      </c>
      <c r="J96" s="416">
        <f>'T3 ANSP'!J96+'T3 MET'!J96+'T3 MET'!J96</f>
        <v>0</v>
      </c>
      <c r="K96" s="416">
        <f>'T3 ANSP'!K96+'T3 MET'!K96+'T3 MET'!K96</f>
        <v>0</v>
      </c>
      <c r="L96" s="416">
        <f>'T3 ANSP'!L96+'T3 MET'!L96+'T3 MET'!L96</f>
        <v>0</v>
      </c>
      <c r="M96" s="1051">
        <f>'T3 ANSP'!M96+'T3 MET'!M96+'T3 MET'!M96</f>
        <v>0</v>
      </c>
      <c r="O96" s="405"/>
    </row>
    <row r="97" spans="1:15">
      <c r="A97" s="455">
        <v>2023</v>
      </c>
      <c r="B97" s="396"/>
      <c r="C97" s="406" t="s">
        <v>574</v>
      </c>
      <c r="D97" s="444">
        <f>'T3 ANSP'!D97+'T3 MET'!D97+'T3 MET'!D97</f>
        <v>0</v>
      </c>
      <c r="E97" s="441">
        <f>'T3 ANSP'!E97+'T3 MET'!E97+'T3 MET'!E97</f>
        <v>0</v>
      </c>
      <c r="F97" s="423">
        <f>'T3 ANSP'!F97+'T3 MET'!F97+'T3 MET'!F97</f>
        <v>0</v>
      </c>
      <c r="G97" s="423">
        <f>'T3 ANSP'!G97+'T3 MET'!G97+'T3 MET'!G97</f>
        <v>0</v>
      </c>
      <c r="H97" s="423">
        <f>'T3 ANSP'!H97+'T3 MET'!H97+'T3 MET'!H97</f>
        <v>0</v>
      </c>
      <c r="I97" s="1061">
        <f>'T3 ANSP'!I97+'T3 MET'!I97+'T3 MET'!I97</f>
        <v>0</v>
      </c>
      <c r="J97" s="423">
        <f>'T3 ANSP'!J97+'T3 MET'!J97+'T3 MET'!J97</f>
        <v>0</v>
      </c>
      <c r="K97" s="423">
        <f>'T3 ANSP'!K97+'T3 MET'!K97+'T3 MET'!K97</f>
        <v>0</v>
      </c>
      <c r="L97" s="423">
        <f>'T3 ANSP'!L97+'T3 MET'!L97+'T3 MET'!L97</f>
        <v>0</v>
      </c>
      <c r="M97" s="440">
        <f>'T3 ANSP'!M97+'T3 MET'!M97+'T3 MET'!M97</f>
        <v>0</v>
      </c>
      <c r="O97" s="405"/>
    </row>
    <row r="98" spans="1:15">
      <c r="A98" s="455">
        <v>2024</v>
      </c>
      <c r="B98" s="396"/>
      <c r="C98" s="406" t="s">
        <v>575</v>
      </c>
      <c r="D98" s="444">
        <f>'T3 ANSP'!D98+'T3 MET'!D98+'T3 MET'!D98</f>
        <v>0</v>
      </c>
      <c r="E98" s="441">
        <f>'T3 ANSP'!E98+'T3 MET'!E98+'T3 MET'!E98</f>
        <v>0</v>
      </c>
      <c r="F98" s="423">
        <f>'T3 ANSP'!F98+'T3 MET'!F98+'T3 MET'!F98</f>
        <v>0</v>
      </c>
      <c r="G98" s="423">
        <f>'T3 ANSP'!G98+'T3 MET'!G98+'T3 MET'!G98</f>
        <v>0</v>
      </c>
      <c r="H98" s="423">
        <f>'T3 ANSP'!H98+'T3 MET'!H98+'T3 MET'!H98</f>
        <v>0</v>
      </c>
      <c r="I98" s="1061">
        <f>'T3 ANSP'!I98+'T3 MET'!I98+'T3 MET'!I98</f>
        <v>0</v>
      </c>
      <c r="J98" s="423">
        <f>'T3 ANSP'!J98+'T3 MET'!J98+'T3 MET'!J98</f>
        <v>0</v>
      </c>
      <c r="K98" s="423">
        <f>'T3 ANSP'!K98+'T3 MET'!K98+'T3 MET'!K98</f>
        <v>0</v>
      </c>
      <c r="L98" s="423">
        <f>'T3 ANSP'!L98+'T3 MET'!L98+'T3 MET'!L98</f>
        <v>0</v>
      </c>
      <c r="M98" s="440">
        <f>'T3 ANSP'!M98+'T3 MET'!M98+'T3 MET'!M98</f>
        <v>0</v>
      </c>
      <c r="O98" s="405"/>
    </row>
    <row r="99" spans="1:15">
      <c r="A99" s="455">
        <v>2025</v>
      </c>
      <c r="B99" s="396"/>
      <c r="C99" s="406" t="s">
        <v>576</v>
      </c>
      <c r="D99" s="444">
        <f>'T3 ANSP'!D99+'T3 MET'!D99+'T3 MET'!D99</f>
        <v>0</v>
      </c>
      <c r="E99" s="441">
        <f>'T3 ANSP'!E99+'T3 MET'!E99+'T3 MET'!E99</f>
        <v>0</v>
      </c>
      <c r="F99" s="423">
        <f>'T3 ANSP'!F99+'T3 MET'!F99+'T3 MET'!F99</f>
        <v>0</v>
      </c>
      <c r="G99" s="423">
        <f>'T3 ANSP'!G99+'T3 MET'!G99+'T3 MET'!G99</f>
        <v>0</v>
      </c>
      <c r="H99" s="423">
        <f>'T3 ANSP'!H99+'T3 MET'!H99+'T3 MET'!H99</f>
        <v>0</v>
      </c>
      <c r="I99" s="1061">
        <f>'T3 ANSP'!I99+'T3 MET'!I99+'T3 MET'!I99</f>
        <v>0</v>
      </c>
      <c r="J99" s="423">
        <f>'T3 ANSP'!J99+'T3 MET'!J99+'T3 MET'!J99</f>
        <v>0</v>
      </c>
      <c r="K99" s="423">
        <f>'T3 ANSP'!K99+'T3 MET'!K99+'T3 MET'!K99</f>
        <v>0</v>
      </c>
      <c r="L99" s="423">
        <f>'T3 ANSP'!L99+'T3 MET'!L99+'T3 MET'!L99</f>
        <v>0</v>
      </c>
      <c r="M99" s="440">
        <f>'T3 ANSP'!M99+'T3 MET'!M99+'T3 MET'!M99</f>
        <v>0</v>
      </c>
      <c r="O99" s="405"/>
    </row>
    <row r="100" spans="1:15">
      <c r="A100" s="455">
        <v>2026</v>
      </c>
      <c r="B100" s="396"/>
      <c r="C100" s="406" t="s">
        <v>577</v>
      </c>
      <c r="D100" s="444">
        <f>'T3 ANSP'!D100+'T3 MET'!D100+'T3 MET'!D100</f>
        <v>0</v>
      </c>
      <c r="E100" s="441">
        <f>'T3 ANSP'!E100+'T3 MET'!E100+'T3 MET'!E100</f>
        <v>0</v>
      </c>
      <c r="F100" s="423">
        <f>'T3 ANSP'!F100+'T3 MET'!F100+'T3 MET'!F100</f>
        <v>0</v>
      </c>
      <c r="G100" s="423">
        <f>'T3 ANSP'!G100+'T3 MET'!G100+'T3 MET'!G100</f>
        <v>0</v>
      </c>
      <c r="H100" s="423">
        <f>'T3 ANSP'!H100+'T3 MET'!H100+'T3 MET'!H100</f>
        <v>0</v>
      </c>
      <c r="I100" s="1061">
        <f>'T3 ANSP'!I100+'T3 MET'!I100+'T3 MET'!I100</f>
        <v>0</v>
      </c>
      <c r="J100" s="423">
        <f>'T3 ANSP'!J100+'T3 MET'!J100+'T3 MET'!J100</f>
        <v>0</v>
      </c>
      <c r="K100" s="423">
        <f>'T3 ANSP'!K100+'T3 MET'!K100+'T3 MET'!K100</f>
        <v>0</v>
      </c>
      <c r="L100" s="423">
        <f>'T3 ANSP'!L100+'T3 MET'!L100+'T3 MET'!L100</f>
        <v>0</v>
      </c>
      <c r="M100" s="440">
        <f>'T3 ANSP'!M100+'T3 MET'!M100+'T3 MET'!M100</f>
        <v>0</v>
      </c>
      <c r="O100" s="405"/>
    </row>
    <row r="101" spans="1:15">
      <c r="A101" s="455">
        <v>2027</v>
      </c>
      <c r="B101" s="396"/>
      <c r="C101" s="406" t="s">
        <v>578</v>
      </c>
      <c r="D101" s="445">
        <f>'T3 ANSP'!D101+'T3 MET'!D101+'T3 MET'!D101</f>
        <v>0</v>
      </c>
      <c r="E101" s="1411">
        <f>'T3 ANSP'!E101+'T3 MET'!E101+'T3 MET'!E101</f>
        <v>0</v>
      </c>
      <c r="F101" s="463">
        <f>'T3 ANSP'!F101+'T3 MET'!F101+'T3 MET'!F101</f>
        <v>0</v>
      </c>
      <c r="G101" s="463">
        <f>'T3 ANSP'!G101+'T3 MET'!G101+'T3 MET'!G101</f>
        <v>0</v>
      </c>
      <c r="H101" s="463">
        <f>'T3 ANSP'!H101+'T3 MET'!H101+'T3 MET'!H101</f>
        <v>0</v>
      </c>
      <c r="I101" s="1415">
        <f>'T3 ANSP'!I101+'T3 MET'!I101+'T3 MET'!I101</f>
        <v>0</v>
      </c>
      <c r="J101" s="463">
        <f>'T3 ANSP'!J101+'T3 MET'!J101+'T3 MET'!J101</f>
        <v>0</v>
      </c>
      <c r="K101" s="463">
        <f>'T3 ANSP'!K101+'T3 MET'!K101+'T3 MET'!K101</f>
        <v>0</v>
      </c>
      <c r="L101" s="463">
        <f>'T3 ANSP'!L101+'T3 MET'!L101+'T3 MET'!L101</f>
        <v>0</v>
      </c>
      <c r="M101" s="1077">
        <f>'T3 ANSP'!M101+'T3 MET'!M101+'T3 MET'!M101</f>
        <v>0</v>
      </c>
      <c r="O101" s="405"/>
    </row>
    <row r="102" spans="1:15">
      <c r="A102" s="455" t="s">
        <v>505</v>
      </c>
      <c r="B102" s="396"/>
      <c r="C102" s="431" t="s">
        <v>579</v>
      </c>
      <c r="D102" s="432">
        <f>'T3 ANSP'!D102+'T3 MET'!D102+'T3 MET'!D102</f>
        <v>0</v>
      </c>
      <c r="E102" s="480">
        <f>'T3 ANSP'!E102+'T3 MET'!E102+'T3 MET'!E102</f>
        <v>0</v>
      </c>
      <c r="F102" s="434">
        <f>'T3 ANSP'!F102+'T3 MET'!F102+'T3 MET'!F102</f>
        <v>0</v>
      </c>
      <c r="G102" s="434">
        <f>'T3 ANSP'!G102+'T3 MET'!G102+'T3 MET'!G102</f>
        <v>0</v>
      </c>
      <c r="H102" s="434">
        <f>'T3 ANSP'!H102+'T3 MET'!H102+'T3 MET'!H102</f>
        <v>0</v>
      </c>
      <c r="I102" s="434">
        <f>'T3 ANSP'!I102+'T3 MET'!I102+'T3 MET'!I102</f>
        <v>0</v>
      </c>
      <c r="J102" s="434">
        <f>'T3 ANSP'!J102+'T3 MET'!J102+'T3 MET'!J102</f>
        <v>0</v>
      </c>
      <c r="K102" s="434">
        <f>'T3 ANSP'!K102+'T3 MET'!K102+'T3 MET'!K102</f>
        <v>0</v>
      </c>
      <c r="L102" s="434">
        <f>'T3 ANSP'!L102+'T3 MET'!L102+'T3 MET'!L102</f>
        <v>0</v>
      </c>
      <c r="M102" s="1076">
        <f>'T3 ANSP'!M102+'T3 MET'!M102+'T3 MET'!M102</f>
        <v>0</v>
      </c>
      <c r="O102" s="405"/>
    </row>
    <row r="103" spans="1:15">
      <c r="A103" s="758"/>
      <c r="B103" s="396"/>
      <c r="C103" s="482"/>
      <c r="D103" s="446"/>
      <c r="E103" s="447"/>
      <c r="F103" s="447"/>
      <c r="G103" s="447"/>
      <c r="H103" s="447"/>
      <c r="I103" s="447"/>
      <c r="J103" s="447"/>
      <c r="K103" s="447"/>
      <c r="L103" s="447"/>
      <c r="M103" s="447"/>
      <c r="O103" s="405"/>
    </row>
    <row r="104" spans="1:15">
      <c r="A104" s="455">
        <v>2017</v>
      </c>
      <c r="B104" s="396"/>
      <c r="C104" s="436" t="s">
        <v>580</v>
      </c>
      <c r="D104" s="438">
        <f>'T3 ANSP'!D104+'T3 MET'!D104+'T3 MET'!D104</f>
        <v>12063.436519568942</v>
      </c>
      <c r="E104" s="421">
        <f>'T3 ANSP'!E104+'T3 MET'!E104+'T3 MET'!E104</f>
        <v>0</v>
      </c>
      <c r="F104" s="421">
        <f>'T3 ANSP'!F104+'T3 MET'!F104+'T3 MET'!F104</f>
        <v>0</v>
      </c>
      <c r="G104" s="421">
        <f>'T3 ANSP'!G104+'T3 MET'!G104+'T3 MET'!G104</f>
        <v>8029.8140000000003</v>
      </c>
      <c r="H104" s="421">
        <f>'T3 ANSP'!H104+'T3 MET'!H104+'T3 MET'!H104</f>
        <v>0</v>
      </c>
      <c r="I104" s="1408">
        <f>'T3 ANSP'!I104+'T3 MET'!I104+'T3 MET'!I104</f>
        <v>0</v>
      </c>
      <c r="J104" s="1408">
        <f>'T3 ANSP'!J104+'T3 MET'!J104+'T3 MET'!J104</f>
        <v>0</v>
      </c>
      <c r="K104" s="1408">
        <f>'T3 ANSP'!K104+'T3 MET'!K104+'T3 MET'!K104</f>
        <v>0</v>
      </c>
      <c r="L104" s="1408">
        <f>'T3 ANSP'!L104+'T3 MET'!L104+'T3 MET'!L104</f>
        <v>0</v>
      </c>
      <c r="M104" s="437">
        <f>'T3 ANSP'!M104+'T3 MET'!M104+'T3 MET'!M104</f>
        <v>4033.6225195689422</v>
      </c>
      <c r="O104" s="405"/>
    </row>
    <row r="105" spans="1:15">
      <c r="A105" s="455">
        <v>2018</v>
      </c>
      <c r="B105" s="396"/>
      <c r="C105" s="439" t="s">
        <v>581</v>
      </c>
      <c r="D105" s="441">
        <f>'T3 ANSP'!D105+'T3 MET'!D105+'T3 MET'!D105</f>
        <v>12769.668586475647</v>
      </c>
      <c r="E105" s="423">
        <f>'T3 ANSP'!E105+'T3 MET'!E105+'T3 MET'!E105</f>
        <v>1590.6636098454458</v>
      </c>
      <c r="F105" s="423">
        <f>'T3 ANSP'!F105+'T3 MET'!F105+'T3 MET'!F105</f>
        <v>7943.6378231149201</v>
      </c>
      <c r="G105" s="423">
        <f>'T3 ANSP'!G105+'T3 MET'!G105+'T3 MET'!G105</f>
        <v>0</v>
      </c>
      <c r="H105" s="423">
        <f>'T3 ANSP'!H105+'T3 MET'!H105+'T3 MET'!H105</f>
        <v>0</v>
      </c>
      <c r="I105" s="1061">
        <f>'T3 ANSP'!I105+'T3 MET'!I105+'T3 MET'!I105</f>
        <v>0</v>
      </c>
      <c r="J105" s="1061">
        <f>'T3 ANSP'!J105+'T3 MET'!J105+'T3 MET'!J105</f>
        <v>0</v>
      </c>
      <c r="K105" s="1061">
        <f>'T3 ANSP'!K105+'T3 MET'!K105+'T3 MET'!K105</f>
        <v>0</v>
      </c>
      <c r="L105" s="1061">
        <f>'T3 ANSP'!L105+'T3 MET'!L105+'T3 MET'!L105</f>
        <v>0</v>
      </c>
      <c r="M105" s="440">
        <f>'T3 ANSP'!M105+'T3 MET'!M105+'T3 MET'!M105</f>
        <v>3235.3671535152807</v>
      </c>
      <c r="O105" s="405"/>
    </row>
    <row r="106" spans="1:15">
      <c r="A106" s="455">
        <v>2019</v>
      </c>
      <c r="B106" s="396"/>
      <c r="C106" s="439" t="s">
        <v>582</v>
      </c>
      <c r="D106" s="37">
        <f>'T3 ANSP'!D106+'T3 MET'!D106+'T3 MET'!D106</f>
        <v>15675.822893107554</v>
      </c>
      <c r="E106" s="423">
        <f>'T3 ANSP'!E106+'T3 MET'!E106+'T3 MET'!E106</f>
        <v>0</v>
      </c>
      <c r="F106" s="423">
        <f>'T3 ANSP'!F106+'T3 MET'!F106+'T3 MET'!F106</f>
        <v>0</v>
      </c>
      <c r="G106" s="423">
        <f>'T3 ANSP'!G106+'T3 MET'!G106+'T3 MET'!G106</f>
        <v>0</v>
      </c>
      <c r="H106" s="423">
        <f>'T3 ANSP'!H106+'T3 MET'!H106+'T3 MET'!H106</f>
        <v>0</v>
      </c>
      <c r="I106" s="1061">
        <f>'T3 ANSP'!I106+'T3 MET'!I106+'T3 MET'!I106</f>
        <v>0</v>
      </c>
      <c r="J106" s="1061">
        <f>'T3 ANSP'!J106+'T3 MET'!J106+'T3 MET'!J106</f>
        <v>0</v>
      </c>
      <c r="K106" s="1061">
        <f>'T3 ANSP'!K106+'T3 MET'!K106+'T3 MET'!K106</f>
        <v>0</v>
      </c>
      <c r="L106" s="1061">
        <f>'T3 ANSP'!L106+'T3 MET'!L106+'T3 MET'!L106</f>
        <v>0</v>
      </c>
      <c r="M106" s="440">
        <f>'T3 ANSP'!M106+'T3 MET'!M106+'T3 MET'!M106</f>
        <v>15675.822893107554</v>
      </c>
      <c r="O106" s="405"/>
    </row>
    <row r="107" spans="1:15">
      <c r="A107" s="455" t="s">
        <v>493</v>
      </c>
      <c r="B107" s="396"/>
      <c r="C107" s="431" t="s">
        <v>583</v>
      </c>
      <c r="D107" s="432">
        <f>'T3 ANSP'!D107+'T3 MET'!D107+'T3 MET'!D107</f>
        <v>53426.558195351397</v>
      </c>
      <c r="E107" s="433">
        <f>'T3 ANSP'!E107+'T3 MET'!E107+'T3 MET'!E107</f>
        <v>1590.6636098454458</v>
      </c>
      <c r="F107" s="480">
        <f>'T3 ANSP'!F107+'T3 MET'!F107+'T3 MET'!F107</f>
        <v>7943.6378231149201</v>
      </c>
      <c r="G107" s="480">
        <f>'T3 ANSP'!G107+'T3 MET'!G107+'T3 MET'!G107</f>
        <v>8029.8140000000003</v>
      </c>
      <c r="H107" s="480">
        <f>'T3 ANSP'!H107+'T3 MET'!H107+'T3 MET'!H107</f>
        <v>0</v>
      </c>
      <c r="I107" s="1407">
        <f>'T3 ANSP'!I107+'T3 MET'!I107+'T3 MET'!I107</f>
        <v>0</v>
      </c>
      <c r="J107" s="1407">
        <f>'T3 ANSP'!J107+'T3 MET'!J107+'T3 MET'!J107</f>
        <v>0</v>
      </c>
      <c r="K107" s="1407">
        <f>'T3 ANSP'!K107+'T3 MET'!K107+'T3 MET'!K107</f>
        <v>0</v>
      </c>
      <c r="L107" s="1407">
        <f>'T3 ANSP'!L107+'T3 MET'!L107+'T3 MET'!L107</f>
        <v>0</v>
      </c>
      <c r="M107" s="1076">
        <f>'T3 ANSP'!M107+'T3 MET'!M107+'T3 MET'!M107</f>
        <v>6340.2171055990439</v>
      </c>
      <c r="O107" s="405"/>
    </row>
    <row r="108" spans="1:15">
      <c r="A108" s="455">
        <v>2020</v>
      </c>
      <c r="B108" s="396"/>
      <c r="C108" s="436" t="s">
        <v>584</v>
      </c>
      <c r="D108" s="438">
        <f>'T3 ANSP'!D108+'T3 MET'!D108+'T3 MET'!D108</f>
        <v>35862.442762391031</v>
      </c>
      <c r="E108" s="421">
        <f>'T3 ANSP'!E108+'T3 MET'!E108+'T3 MET'!E108</f>
        <v>0</v>
      </c>
      <c r="F108" s="421">
        <f>'T3 ANSP'!F108+'T3 MET'!F108+'T3 MET'!F108</f>
        <v>0</v>
      </c>
      <c r="G108" s="421">
        <f>'T3 ANSP'!G108+'T3 MET'!G108+'T3 MET'!G108</f>
        <v>0</v>
      </c>
      <c r="H108" s="421">
        <f>'T3 ANSP'!H108+'T3 MET'!H108+'T3 MET'!H108</f>
        <v>8547.4527432113046</v>
      </c>
      <c r="I108" s="421">
        <f>'T3 ANSP'!I108+'T3 MET'!I108+'T3 MET'!I108</f>
        <v>7369.9462467342582</v>
      </c>
      <c r="J108" s="421">
        <f>'T3 ANSP'!J108+'T3 MET'!J108+'T3 MET'!J108</f>
        <v>4528.9222033717115</v>
      </c>
      <c r="K108" s="421">
        <f>'T3 ANSP'!K108+'T3 MET'!K108+'T3 MET'!K108</f>
        <v>4536.110501898017</v>
      </c>
      <c r="L108" s="421">
        <f>'T3 ANSP'!L108+'T3 MET'!L108+'T3 MET'!L108</f>
        <v>4539.7939615766918</v>
      </c>
      <c r="M108" s="437">
        <f>'T3 ANSP'!M108+'T3 MET'!M108+'T3 MET'!M108</f>
        <v>19945.043772445468</v>
      </c>
      <c r="O108" s="405"/>
    </row>
    <row r="109" spans="1:15">
      <c r="A109" s="455">
        <v>2021</v>
      </c>
      <c r="B109" s="396"/>
      <c r="C109" s="439" t="s">
        <v>585</v>
      </c>
      <c r="D109" s="441">
        <f>'T3 ANSP'!D109+'T3 MET'!D109+'T3 MET'!D109</f>
        <v>0</v>
      </c>
      <c r="E109" s="423">
        <f>'T3 ANSP'!E109+'T3 MET'!E109+'T3 MET'!E109</f>
        <v>0</v>
      </c>
      <c r="F109" s="423">
        <f>'T3 ANSP'!F109+'T3 MET'!F109+'T3 MET'!F109</f>
        <v>0</v>
      </c>
      <c r="G109" s="423">
        <f>'T3 ANSP'!G109+'T3 MET'!G109+'T3 MET'!G109</f>
        <v>0</v>
      </c>
      <c r="H109" s="423">
        <f>'T3 ANSP'!H109+'T3 MET'!H109+'T3 MET'!H109</f>
        <v>0</v>
      </c>
      <c r="I109" s="423">
        <f>'T3 ANSP'!I109+'T3 MET'!I109+'T3 MET'!I109</f>
        <v>0</v>
      </c>
      <c r="J109" s="423">
        <f>'T3 ANSP'!J109+'T3 MET'!J109+'T3 MET'!J109</f>
        <v>0</v>
      </c>
      <c r="K109" s="423">
        <f>'T3 ANSP'!K109+'T3 MET'!K109+'T3 MET'!K109</f>
        <v>0</v>
      </c>
      <c r="L109" s="423">
        <f>'T3 ANSP'!L109+'T3 MET'!L109+'T3 MET'!L109</f>
        <v>0</v>
      </c>
      <c r="M109" s="440">
        <f>'T3 ANSP'!M109+'T3 MET'!M109+'T3 MET'!M109</f>
        <v>0</v>
      </c>
      <c r="O109" s="405"/>
    </row>
    <row r="110" spans="1:15">
      <c r="A110" s="455">
        <v>2022</v>
      </c>
      <c r="B110" s="396"/>
      <c r="C110" s="439" t="s">
        <v>586</v>
      </c>
      <c r="D110" s="37">
        <f>'T3 ANSP'!D110+'T3 MET'!D110+'T3 MET'!D110</f>
        <v>0</v>
      </c>
      <c r="E110" s="423">
        <f>'T3 ANSP'!E110+'T3 MET'!E110+'T3 MET'!E110</f>
        <v>0</v>
      </c>
      <c r="F110" s="423">
        <f>'T3 ANSP'!F110+'T3 MET'!F110+'T3 MET'!F110</f>
        <v>0</v>
      </c>
      <c r="G110" s="423">
        <f>'T3 ANSP'!G110+'T3 MET'!G110+'T3 MET'!G110</f>
        <v>0</v>
      </c>
      <c r="H110" s="423">
        <f>'T3 ANSP'!H110+'T3 MET'!H110+'T3 MET'!H110</f>
        <v>0</v>
      </c>
      <c r="I110" s="423">
        <f>'T3 ANSP'!I110+'T3 MET'!I110+'T3 MET'!I110</f>
        <v>0</v>
      </c>
      <c r="J110" s="423">
        <f>'T3 ANSP'!J110+'T3 MET'!J110+'T3 MET'!J110</f>
        <v>0</v>
      </c>
      <c r="K110" s="423">
        <f>'T3 ANSP'!K110+'T3 MET'!K110+'T3 MET'!K110</f>
        <v>0</v>
      </c>
      <c r="L110" s="423">
        <f>'T3 ANSP'!L110+'T3 MET'!L110+'T3 MET'!L110</f>
        <v>0</v>
      </c>
      <c r="M110" s="440">
        <f>'T3 ANSP'!M110+'T3 MET'!M110+'T3 MET'!M110</f>
        <v>0</v>
      </c>
      <c r="O110" s="405"/>
    </row>
    <row r="111" spans="1:15">
      <c r="A111" s="455" t="s">
        <v>505</v>
      </c>
      <c r="B111" s="396"/>
      <c r="C111" s="431" t="s">
        <v>587</v>
      </c>
      <c r="D111" s="432">
        <f>'T3 ANSP'!D111+'T3 MET'!D111+'T3 MET'!D111</f>
        <v>35862.442762391031</v>
      </c>
      <c r="E111" s="433">
        <f>'T3 ANSP'!E111+'T3 MET'!E111+'T3 MET'!E111</f>
        <v>0</v>
      </c>
      <c r="F111" s="480">
        <f>'T3 ANSP'!F111+'T3 MET'!F111+'T3 MET'!F111</f>
        <v>0</v>
      </c>
      <c r="G111" s="480">
        <f>'T3 ANSP'!G111+'T3 MET'!G111+'T3 MET'!G111</f>
        <v>0</v>
      </c>
      <c r="H111" s="480">
        <f>'T3 ANSP'!H111+'T3 MET'!H111+'T3 MET'!H111</f>
        <v>8547.4527432113046</v>
      </c>
      <c r="I111" s="1407">
        <f>'T3 ANSP'!I111+'T3 MET'!I111+'T3 MET'!I111</f>
        <v>7369.9462467342582</v>
      </c>
      <c r="J111" s="1407">
        <f>'T3 ANSP'!J111+'T3 MET'!J111+'T3 MET'!J111</f>
        <v>4528.9222033717115</v>
      </c>
      <c r="K111" s="1407">
        <f>'T3 ANSP'!K111+'T3 MET'!K111+'T3 MET'!K111</f>
        <v>4536.110501898017</v>
      </c>
      <c r="L111" s="1407">
        <f>'T3 ANSP'!L111+'T3 MET'!L111+'T3 MET'!L111</f>
        <v>4539.7939615766918</v>
      </c>
      <c r="M111" s="1076">
        <f>'T3 ANSP'!M111+'T3 MET'!M111+'T3 MET'!M111</f>
        <v>19945.043772445468</v>
      </c>
      <c r="O111" s="405"/>
    </row>
    <row r="112" spans="1:15">
      <c r="A112" s="758"/>
      <c r="B112" s="396"/>
      <c r="C112" s="482"/>
      <c r="D112" s="446"/>
      <c r="E112" s="447"/>
      <c r="F112" s="447"/>
      <c r="G112" s="447"/>
      <c r="H112" s="447"/>
      <c r="I112" s="447"/>
      <c r="J112" s="447"/>
      <c r="K112" s="447"/>
      <c r="L112" s="447"/>
      <c r="M112" s="447"/>
      <c r="O112" s="405"/>
    </row>
    <row r="113" spans="1:15">
      <c r="A113" s="455">
        <v>2017</v>
      </c>
      <c r="B113" s="396"/>
      <c r="C113" s="436" t="s">
        <v>588</v>
      </c>
      <c r="D113" s="475">
        <f>'T3 ANSP'!D113+'T3 MET'!D113+'T3 MET'!D113</f>
        <v>0</v>
      </c>
      <c r="E113" s="486">
        <f>'T3 ANSP'!E113+'T3 MET'!E113+'T3 MET'!E113</f>
        <v>0</v>
      </c>
      <c r="F113" s="487">
        <f>'T3 ANSP'!F113+'T3 MET'!F113+'T3 MET'!F113</f>
        <v>0</v>
      </c>
      <c r="G113" s="487">
        <f>'T3 ANSP'!G113+'T3 MET'!G113+'T3 MET'!G113</f>
        <v>0</v>
      </c>
      <c r="H113" s="487">
        <f>'T3 ANSP'!H113+'T3 MET'!H113+'T3 MET'!H113</f>
        <v>0</v>
      </c>
      <c r="I113" s="1064">
        <f>'T3 ANSP'!I113+'T3 MET'!I113+'T3 MET'!I113</f>
        <v>0</v>
      </c>
      <c r="J113" s="1064">
        <f>'T3 ANSP'!J113+'T3 MET'!J113+'T3 MET'!J113</f>
        <v>0</v>
      </c>
      <c r="K113" s="1064">
        <f>'T3 ANSP'!K113+'T3 MET'!K113+'T3 MET'!K113</f>
        <v>0</v>
      </c>
      <c r="L113" s="1064">
        <f>'T3 ANSP'!L113+'T3 MET'!L113+'T3 MET'!L113</f>
        <v>0</v>
      </c>
      <c r="M113" s="437">
        <f>'T3 ANSP'!M113+'T3 MET'!M113+'T3 MET'!M113</f>
        <v>0</v>
      </c>
      <c r="O113" s="405"/>
    </row>
    <row r="114" spans="1:15">
      <c r="A114" s="455">
        <v>2018</v>
      </c>
      <c r="B114" s="396"/>
      <c r="C114" s="439" t="s">
        <v>589</v>
      </c>
      <c r="D114" s="477">
        <f>'T3 ANSP'!D114+'T3 MET'!D114+'T3 MET'!D114</f>
        <v>-264.10899999999998</v>
      </c>
      <c r="E114" s="441">
        <f>'T3 ANSP'!E114+'T3 MET'!E114+'T3 MET'!E114</f>
        <v>-264.10899999999998</v>
      </c>
      <c r="F114" s="423">
        <f>'T3 ANSP'!F114+'T3 MET'!F114+'T3 MET'!F114</f>
        <v>0</v>
      </c>
      <c r="G114" s="423">
        <f>'T3 ANSP'!G114+'T3 MET'!G114+'T3 MET'!G114</f>
        <v>0</v>
      </c>
      <c r="H114" s="423">
        <f>'T3 ANSP'!H114+'T3 MET'!H114+'T3 MET'!H114</f>
        <v>0</v>
      </c>
      <c r="I114" s="1061">
        <f>'T3 ANSP'!I114+'T3 MET'!I114+'T3 MET'!I114</f>
        <v>0</v>
      </c>
      <c r="J114" s="1061">
        <f>'T3 ANSP'!J114+'T3 MET'!J114+'T3 MET'!J114</f>
        <v>0</v>
      </c>
      <c r="K114" s="1061">
        <f>'T3 ANSP'!K114+'T3 MET'!K114+'T3 MET'!K114</f>
        <v>0</v>
      </c>
      <c r="L114" s="1061">
        <f>'T3 ANSP'!L114+'T3 MET'!L114+'T3 MET'!L114</f>
        <v>0</v>
      </c>
      <c r="M114" s="440">
        <f>'T3 ANSP'!M114+'T3 MET'!M114+'T3 MET'!M114</f>
        <v>0</v>
      </c>
      <c r="O114" s="405"/>
    </row>
    <row r="115" spans="1:15">
      <c r="A115" s="455">
        <v>2019</v>
      </c>
      <c r="B115" s="396"/>
      <c r="C115" s="439" t="s">
        <v>590</v>
      </c>
      <c r="D115" s="477">
        <f>'T3 ANSP'!D115+'T3 MET'!D115+'T3 MET'!D115</f>
        <v>228.011</v>
      </c>
      <c r="E115" s="441">
        <f>'T3 ANSP'!E115+'T3 MET'!E115+'T3 MET'!E115</f>
        <v>0</v>
      </c>
      <c r="F115" s="423">
        <f>'T3 ANSP'!F115+'T3 MET'!F115+'T3 MET'!F115</f>
        <v>228.011</v>
      </c>
      <c r="G115" s="423">
        <f>'T3 ANSP'!G115+'T3 MET'!G115+'T3 MET'!G115</f>
        <v>0</v>
      </c>
      <c r="H115" s="423">
        <f>'T3 ANSP'!H115+'T3 MET'!H115+'T3 MET'!H115</f>
        <v>0</v>
      </c>
      <c r="I115" s="1061">
        <f>'T3 ANSP'!I115+'T3 MET'!I115+'T3 MET'!I115</f>
        <v>0</v>
      </c>
      <c r="J115" s="1061">
        <f>'T3 ANSP'!J115+'T3 MET'!J115+'T3 MET'!J115</f>
        <v>0</v>
      </c>
      <c r="K115" s="1061">
        <f>'T3 ANSP'!K115+'T3 MET'!K115+'T3 MET'!K115</f>
        <v>0</v>
      </c>
      <c r="L115" s="1061">
        <f>'T3 ANSP'!L115+'T3 MET'!L115+'T3 MET'!L115</f>
        <v>0</v>
      </c>
      <c r="M115" s="440">
        <f>'T3 ANSP'!M115+'T3 MET'!M115+'T3 MET'!M115</f>
        <v>0</v>
      </c>
      <c r="O115" s="405"/>
    </row>
    <row r="116" spans="1:15">
      <c r="A116" s="455" t="s">
        <v>493</v>
      </c>
      <c r="B116" s="396"/>
      <c r="C116" s="413" t="s">
        <v>591</v>
      </c>
      <c r="D116" s="414">
        <f>'T3 ANSP'!D116+'T3 MET'!D116+'T3 MET'!D116</f>
        <v>-36.097999999999985</v>
      </c>
      <c r="E116" s="415">
        <f>'T3 ANSP'!E116+'T3 MET'!E116+'T3 MET'!E116</f>
        <v>-264.10899999999998</v>
      </c>
      <c r="F116" s="416">
        <f>'T3 ANSP'!F116+'T3 MET'!F116+'T3 MET'!F116</f>
        <v>228.011</v>
      </c>
      <c r="G116" s="416">
        <f>'T3 ANSP'!G116+'T3 MET'!G116+'T3 MET'!G116</f>
        <v>0</v>
      </c>
      <c r="H116" s="416">
        <f>'T3 ANSP'!H116+'T3 MET'!H116+'T3 MET'!H116</f>
        <v>0</v>
      </c>
      <c r="I116" s="451">
        <f>'T3 ANSP'!I116+'T3 MET'!I116+'T3 MET'!I116</f>
        <v>0</v>
      </c>
      <c r="J116" s="451">
        <f>'T3 ANSP'!J116+'T3 MET'!J116+'T3 MET'!J116</f>
        <v>0</v>
      </c>
      <c r="K116" s="451">
        <f>'T3 ANSP'!K116+'T3 MET'!K116+'T3 MET'!K116</f>
        <v>0</v>
      </c>
      <c r="L116" s="451">
        <f>'T3 ANSP'!L116+'T3 MET'!L116+'T3 MET'!L116</f>
        <v>0</v>
      </c>
      <c r="M116" s="1051">
        <f>'T3 ANSP'!M116+'T3 MET'!M116+'T3 MET'!M116</f>
        <v>0</v>
      </c>
      <c r="O116" s="405"/>
    </row>
    <row r="117" spans="1:15">
      <c r="A117" s="455">
        <v>2020</v>
      </c>
      <c r="B117" s="396"/>
      <c r="C117" s="398" t="s">
        <v>592</v>
      </c>
      <c r="D117" s="448">
        <f>'T3 ANSP'!D117+'T3 MET'!D117+'T3 MET'!D117</f>
        <v>0</v>
      </c>
      <c r="E117" s="438">
        <f>'T3 ANSP'!E117+'T3 MET'!E117+'T3 MET'!E117</f>
        <v>0</v>
      </c>
      <c r="F117" s="421">
        <f>'T3 ANSP'!F117+'T3 MET'!F117+'T3 MET'!F117</f>
        <v>0</v>
      </c>
      <c r="G117" s="421">
        <f>'T3 ANSP'!G117+'T3 MET'!G117+'T3 MET'!G117</f>
        <v>0</v>
      </c>
      <c r="H117" s="421">
        <f>'T3 ANSP'!H117+'T3 MET'!H117+'T3 MET'!H117</f>
        <v>0</v>
      </c>
      <c r="I117" s="1408">
        <f>'T3 ANSP'!I117+'T3 MET'!I117+'T3 MET'!I117</f>
        <v>0</v>
      </c>
      <c r="J117" s="447">
        <f>'T3 ANSP'!J117+'T3 MET'!J117+'T3 MET'!J117</f>
        <v>0</v>
      </c>
      <c r="K117" s="1408">
        <f>'T3 ANSP'!K117+'T3 MET'!K117+'T3 MET'!K117</f>
        <v>0</v>
      </c>
      <c r="L117" s="423">
        <f>'T3 ANSP'!L117+'T3 MET'!L117+'T3 MET'!L117</f>
        <v>0</v>
      </c>
      <c r="M117" s="440">
        <f>'T3 ANSP'!M117+'T3 MET'!M117+'T3 MET'!M117</f>
        <v>0</v>
      </c>
      <c r="O117" s="405"/>
    </row>
    <row r="118" spans="1:15">
      <c r="A118" s="455">
        <v>2021</v>
      </c>
      <c r="B118" s="396"/>
      <c r="C118" s="406" t="s">
        <v>593</v>
      </c>
      <c r="D118" s="449">
        <f>'T3 ANSP'!D118+'T3 MET'!D118+'T3 MET'!D118</f>
        <v>0</v>
      </c>
      <c r="E118" s="441">
        <f>'T3 ANSP'!E118+'T3 MET'!E118+'T3 MET'!E118</f>
        <v>0</v>
      </c>
      <c r="F118" s="423">
        <f>'T3 ANSP'!F118+'T3 MET'!F118+'T3 MET'!F118</f>
        <v>0</v>
      </c>
      <c r="G118" s="423">
        <f>'T3 ANSP'!G118+'T3 MET'!G118+'T3 MET'!G118</f>
        <v>0</v>
      </c>
      <c r="H118" s="423">
        <f>'T3 ANSP'!H118+'T3 MET'!H118+'T3 MET'!H118</f>
        <v>0</v>
      </c>
      <c r="I118" s="1061">
        <f>'T3 ANSP'!I118+'T3 MET'!I118+'T3 MET'!I118</f>
        <v>0</v>
      </c>
      <c r="J118" s="447">
        <f>'T3 ANSP'!J118+'T3 MET'!J118+'T3 MET'!J118</f>
        <v>0</v>
      </c>
      <c r="K118" s="1061">
        <f>'T3 ANSP'!K118+'T3 MET'!K118+'T3 MET'!K118</f>
        <v>0</v>
      </c>
      <c r="L118" s="423">
        <f>'T3 ANSP'!L118+'T3 MET'!L118+'T3 MET'!L118</f>
        <v>0</v>
      </c>
      <c r="M118" s="440">
        <f>'T3 ANSP'!M118+'T3 MET'!M118+'T3 MET'!M118</f>
        <v>0</v>
      </c>
      <c r="O118" s="405"/>
    </row>
    <row r="119" spans="1:15">
      <c r="A119" s="455">
        <v>2022</v>
      </c>
      <c r="B119" s="396"/>
      <c r="C119" s="406" t="s">
        <v>594</v>
      </c>
      <c r="D119" s="449">
        <f>'T3 ANSP'!D119+'T3 MET'!D119+'T3 MET'!D119</f>
        <v>0</v>
      </c>
      <c r="E119" s="441">
        <f>'T3 ANSP'!E119+'T3 MET'!E119+'T3 MET'!E119</f>
        <v>0</v>
      </c>
      <c r="F119" s="423">
        <f>'T3 ANSP'!F119+'T3 MET'!F119+'T3 MET'!F119</f>
        <v>0</v>
      </c>
      <c r="G119" s="423">
        <f>'T3 ANSP'!G119+'T3 MET'!G119+'T3 MET'!G119</f>
        <v>0</v>
      </c>
      <c r="H119" s="423">
        <f>'T3 ANSP'!H119+'T3 MET'!H119+'T3 MET'!H119</f>
        <v>0</v>
      </c>
      <c r="I119" s="1061">
        <f>'T3 ANSP'!I119+'T3 MET'!I119+'T3 MET'!I119</f>
        <v>0</v>
      </c>
      <c r="J119" s="463">
        <f>'T3 ANSP'!J119+'T3 MET'!J119+'T3 MET'!J119</f>
        <v>0</v>
      </c>
      <c r="K119" s="463">
        <f>'T3 ANSP'!K119+'T3 MET'!K119+'T3 MET'!K119</f>
        <v>0</v>
      </c>
      <c r="L119" s="463">
        <f>'T3 ANSP'!L119+'T3 MET'!L119+'T3 MET'!L119</f>
        <v>0</v>
      </c>
      <c r="M119" s="440">
        <f>'T3 ANSP'!M119+'T3 MET'!M119+'T3 MET'!M119</f>
        <v>0</v>
      </c>
      <c r="O119" s="405"/>
    </row>
    <row r="120" spans="1:15">
      <c r="A120" s="455" t="s">
        <v>498</v>
      </c>
      <c r="B120" s="396"/>
      <c r="C120" s="413" t="s">
        <v>595</v>
      </c>
      <c r="D120" s="414">
        <f>'T3 ANSP'!D120+'T3 MET'!D120+'T3 MET'!D120</f>
        <v>0</v>
      </c>
      <c r="E120" s="415">
        <f>'T3 ANSP'!E120+'T3 MET'!E120+'T3 MET'!E120</f>
        <v>0</v>
      </c>
      <c r="F120" s="416">
        <f>'T3 ANSP'!F120+'T3 MET'!F120+'T3 MET'!F120</f>
        <v>0</v>
      </c>
      <c r="G120" s="416">
        <f>'T3 ANSP'!G120+'T3 MET'!G120+'T3 MET'!G120</f>
        <v>0</v>
      </c>
      <c r="H120" s="416">
        <f>'T3 ANSP'!H120+'T3 MET'!H120+'T3 MET'!H120</f>
        <v>0</v>
      </c>
      <c r="I120" s="416">
        <f>'T3 ANSP'!I120+'T3 MET'!I120+'T3 MET'!I120</f>
        <v>0</v>
      </c>
      <c r="J120" s="416">
        <f>'T3 ANSP'!J120+'T3 MET'!J120+'T3 MET'!J120</f>
        <v>0</v>
      </c>
      <c r="K120" s="416">
        <f>'T3 ANSP'!K120+'T3 MET'!K120+'T3 MET'!K120</f>
        <v>0</v>
      </c>
      <c r="L120" s="416">
        <f>'T3 ANSP'!L120+'T3 MET'!L120+'T3 MET'!L120</f>
        <v>0</v>
      </c>
      <c r="M120" s="1051">
        <f>'T3 ANSP'!M120+'T3 MET'!M120+'T3 MET'!M120</f>
        <v>0</v>
      </c>
      <c r="O120" s="405"/>
    </row>
    <row r="121" spans="1:15">
      <c r="A121" s="455">
        <v>2023</v>
      </c>
      <c r="B121" s="396"/>
      <c r="C121" s="406" t="s">
        <v>596</v>
      </c>
      <c r="D121" s="449">
        <f>'T3 ANSP'!D121+'T3 MET'!D121+'T3 MET'!D121</f>
        <v>0</v>
      </c>
      <c r="E121" s="441">
        <f>'T3 ANSP'!E121+'T3 MET'!E121+'T3 MET'!E121</f>
        <v>0</v>
      </c>
      <c r="F121" s="423">
        <f>'T3 ANSP'!F121+'T3 MET'!F121+'T3 MET'!F121</f>
        <v>0</v>
      </c>
      <c r="G121" s="423">
        <f>'T3 ANSP'!G121+'T3 MET'!G121+'T3 MET'!G121</f>
        <v>0</v>
      </c>
      <c r="H121" s="423">
        <f>'T3 ANSP'!H121+'T3 MET'!H121+'T3 MET'!H121</f>
        <v>0</v>
      </c>
      <c r="I121" s="423">
        <f>'T3 ANSP'!I121+'T3 MET'!I121+'T3 MET'!I121</f>
        <v>0</v>
      </c>
      <c r="J121" s="423">
        <f>'T3 ANSP'!J121+'T3 MET'!J121+'T3 MET'!J121</f>
        <v>0</v>
      </c>
      <c r="K121" s="423">
        <f>'T3 ANSP'!K121+'T3 MET'!K121+'T3 MET'!K121</f>
        <v>0</v>
      </c>
      <c r="L121" s="423">
        <f>'T3 ANSP'!L121+'T3 MET'!L121+'T3 MET'!L121</f>
        <v>0</v>
      </c>
      <c r="M121" s="440">
        <f>'T3 ANSP'!M121+'T3 MET'!M121+'T3 MET'!M121</f>
        <v>0</v>
      </c>
      <c r="O121" s="405"/>
    </row>
    <row r="122" spans="1:15">
      <c r="A122" s="455">
        <v>2024</v>
      </c>
      <c r="B122" s="396"/>
      <c r="C122" s="406" t="s">
        <v>597</v>
      </c>
      <c r="D122" s="449">
        <f>'T3 ANSP'!D122+'T3 MET'!D122+'T3 MET'!D122</f>
        <v>0</v>
      </c>
      <c r="E122" s="441">
        <f>'T3 ANSP'!E122+'T3 MET'!E122+'T3 MET'!E122</f>
        <v>0</v>
      </c>
      <c r="F122" s="423">
        <f>'T3 ANSP'!F122+'T3 MET'!F122+'T3 MET'!F122</f>
        <v>0</v>
      </c>
      <c r="G122" s="423">
        <f>'T3 ANSP'!G122+'T3 MET'!G122+'T3 MET'!G122</f>
        <v>0</v>
      </c>
      <c r="H122" s="423">
        <f>'T3 ANSP'!H122+'T3 MET'!H122+'T3 MET'!H122</f>
        <v>0</v>
      </c>
      <c r="I122" s="423">
        <f>'T3 ANSP'!I122+'T3 MET'!I122+'T3 MET'!I122</f>
        <v>0</v>
      </c>
      <c r="J122" s="423">
        <f>'T3 ANSP'!J122+'T3 MET'!J122+'T3 MET'!J122</f>
        <v>0</v>
      </c>
      <c r="K122" s="423">
        <f>'T3 ANSP'!K122+'T3 MET'!K122+'T3 MET'!K122</f>
        <v>0</v>
      </c>
      <c r="L122" s="423">
        <f>'T3 ANSP'!L122+'T3 MET'!L122+'T3 MET'!L122</f>
        <v>0</v>
      </c>
      <c r="M122" s="440">
        <f>'T3 ANSP'!M122+'T3 MET'!M122+'T3 MET'!M122</f>
        <v>0</v>
      </c>
      <c r="O122" s="405"/>
    </row>
    <row r="123" spans="1:15">
      <c r="A123" s="455">
        <v>2025</v>
      </c>
      <c r="B123" s="396"/>
      <c r="C123" s="406" t="s">
        <v>598</v>
      </c>
      <c r="D123" s="449">
        <f>'T3 ANSP'!D123+'T3 MET'!D123+'T3 MET'!D123</f>
        <v>0</v>
      </c>
      <c r="E123" s="441">
        <f>'T3 ANSP'!E123+'T3 MET'!E123+'T3 MET'!E123</f>
        <v>0</v>
      </c>
      <c r="F123" s="423">
        <f>'T3 ANSP'!F123+'T3 MET'!F123+'T3 MET'!F123</f>
        <v>0</v>
      </c>
      <c r="G123" s="423">
        <f>'T3 ANSP'!G123+'T3 MET'!G123+'T3 MET'!G123</f>
        <v>0</v>
      </c>
      <c r="H123" s="423">
        <f>'T3 ANSP'!H123+'T3 MET'!H123+'T3 MET'!H123</f>
        <v>0</v>
      </c>
      <c r="I123" s="423">
        <f>'T3 ANSP'!I123+'T3 MET'!I123+'T3 MET'!I123</f>
        <v>0</v>
      </c>
      <c r="J123" s="423">
        <f>'T3 ANSP'!J123+'T3 MET'!J123+'T3 MET'!J123</f>
        <v>0</v>
      </c>
      <c r="K123" s="423">
        <f>'T3 ANSP'!K123+'T3 MET'!K123+'T3 MET'!K123</f>
        <v>0</v>
      </c>
      <c r="L123" s="423">
        <f>'T3 ANSP'!L123+'T3 MET'!L123+'T3 MET'!L123</f>
        <v>0</v>
      </c>
      <c r="M123" s="440">
        <f>'T3 ANSP'!M123+'T3 MET'!M123+'T3 MET'!M123</f>
        <v>0</v>
      </c>
      <c r="O123" s="405"/>
    </row>
    <row r="124" spans="1:15">
      <c r="A124" s="455">
        <v>2026</v>
      </c>
      <c r="B124" s="396"/>
      <c r="C124" s="406" t="s">
        <v>599</v>
      </c>
      <c r="D124" s="449">
        <f>'T3 ANSP'!D124+'T3 MET'!D124+'T3 MET'!D124</f>
        <v>0</v>
      </c>
      <c r="E124" s="441">
        <f>'T3 ANSP'!E124+'T3 MET'!E124+'T3 MET'!E124</f>
        <v>0</v>
      </c>
      <c r="F124" s="423">
        <f>'T3 ANSP'!F124+'T3 MET'!F124+'T3 MET'!F124</f>
        <v>0</v>
      </c>
      <c r="G124" s="423">
        <f>'T3 ANSP'!G124+'T3 MET'!G124+'T3 MET'!G124</f>
        <v>0</v>
      </c>
      <c r="H124" s="423">
        <f>'T3 ANSP'!H124+'T3 MET'!H124+'T3 MET'!H124</f>
        <v>0</v>
      </c>
      <c r="I124" s="423">
        <f>'T3 ANSP'!I124+'T3 MET'!I124+'T3 MET'!I124</f>
        <v>0</v>
      </c>
      <c r="J124" s="423">
        <f>'T3 ANSP'!J124+'T3 MET'!J124+'T3 MET'!J124</f>
        <v>0</v>
      </c>
      <c r="K124" s="423">
        <f>'T3 ANSP'!K124+'T3 MET'!K124+'T3 MET'!K124</f>
        <v>0</v>
      </c>
      <c r="L124" s="423">
        <f>'T3 ANSP'!L124+'T3 MET'!L124+'T3 MET'!L124</f>
        <v>0</v>
      </c>
      <c r="M124" s="440">
        <f>'T3 ANSP'!M124+'T3 MET'!M124+'T3 MET'!M124</f>
        <v>0</v>
      </c>
      <c r="O124" s="405"/>
    </row>
    <row r="125" spans="1:15">
      <c r="A125" s="455">
        <v>2027</v>
      </c>
      <c r="B125" s="396"/>
      <c r="C125" s="406" t="s">
        <v>600</v>
      </c>
      <c r="D125" s="450">
        <f>'T3 ANSP'!D125+'T3 MET'!D125+'T3 MET'!D125</f>
        <v>0</v>
      </c>
      <c r="E125" s="1411">
        <f>'T3 ANSP'!E125+'T3 MET'!E125+'T3 MET'!E125</f>
        <v>0</v>
      </c>
      <c r="F125" s="463">
        <f>'T3 ANSP'!F125+'T3 MET'!F125+'T3 MET'!F125</f>
        <v>0</v>
      </c>
      <c r="G125" s="463">
        <f>'T3 ANSP'!G125+'T3 MET'!G125+'T3 MET'!G125</f>
        <v>0</v>
      </c>
      <c r="H125" s="463">
        <f>'T3 ANSP'!H125+'T3 MET'!H125+'T3 MET'!H125</f>
        <v>0</v>
      </c>
      <c r="I125" s="463">
        <f>'T3 ANSP'!I125+'T3 MET'!I125+'T3 MET'!I125</f>
        <v>0</v>
      </c>
      <c r="J125" s="463">
        <f>'T3 ANSP'!J125+'T3 MET'!J125+'T3 MET'!J125</f>
        <v>0</v>
      </c>
      <c r="K125" s="463">
        <f>'T3 ANSP'!K125+'T3 MET'!K125+'T3 MET'!K125</f>
        <v>0</v>
      </c>
      <c r="L125" s="463">
        <f>'T3 ANSP'!L125+'T3 MET'!L125+'T3 MET'!L125</f>
        <v>0</v>
      </c>
      <c r="M125" s="1077">
        <f>'T3 ANSP'!M125+'T3 MET'!M125+'T3 MET'!M125</f>
        <v>0</v>
      </c>
      <c r="O125" s="405"/>
    </row>
    <row r="126" spans="1:15">
      <c r="A126" s="455" t="s">
        <v>505</v>
      </c>
      <c r="B126" s="396"/>
      <c r="C126" s="431" t="s">
        <v>601</v>
      </c>
      <c r="D126" s="432">
        <f>'T3 ANSP'!D126+'T3 MET'!D126+'T3 MET'!D126</f>
        <v>-36.097999999999985</v>
      </c>
      <c r="E126" s="480">
        <f>'T3 ANSP'!E126+'T3 MET'!E126+'T3 MET'!E126</f>
        <v>-264.10899999999998</v>
      </c>
      <c r="F126" s="480">
        <f>'T3 ANSP'!F126+'T3 MET'!F126+'T3 MET'!F126</f>
        <v>228.011</v>
      </c>
      <c r="G126" s="480">
        <f>'T3 ANSP'!G126+'T3 MET'!G126+'T3 MET'!G126</f>
        <v>0</v>
      </c>
      <c r="H126" s="480">
        <f>'T3 ANSP'!H126+'T3 MET'!H126+'T3 MET'!H126</f>
        <v>0</v>
      </c>
      <c r="I126" s="480">
        <f>'T3 ANSP'!I126+'T3 MET'!I126+'T3 MET'!I126</f>
        <v>0</v>
      </c>
      <c r="J126" s="480">
        <f>'T3 ANSP'!J126+'T3 MET'!J126+'T3 MET'!J126</f>
        <v>0</v>
      </c>
      <c r="K126" s="480">
        <f>'T3 ANSP'!K126+'T3 MET'!K126+'T3 MET'!K126</f>
        <v>0</v>
      </c>
      <c r="L126" s="480">
        <f>'T3 ANSP'!L126+'T3 MET'!L126+'T3 MET'!L126</f>
        <v>0</v>
      </c>
      <c r="M126" s="1076">
        <f>'T3 ANSP'!M126+'T3 MET'!M126+'T3 MET'!M126</f>
        <v>0</v>
      </c>
      <c r="O126" s="405"/>
    </row>
    <row r="127" spans="1:15">
      <c r="A127" s="758"/>
      <c r="B127" s="396"/>
      <c r="C127" s="482"/>
      <c r="D127" s="446"/>
      <c r="E127" s="446"/>
      <c r="F127" s="446"/>
      <c r="G127" s="446"/>
      <c r="H127" s="446"/>
      <c r="I127" s="446"/>
      <c r="J127" s="446"/>
      <c r="K127" s="446"/>
      <c r="L127" s="446"/>
      <c r="M127" s="446"/>
      <c r="O127" s="405"/>
    </row>
    <row r="128" spans="1:15">
      <c r="A128" s="455">
        <v>2017</v>
      </c>
      <c r="B128" s="396"/>
      <c r="C128" s="398" t="s">
        <v>602</v>
      </c>
      <c r="D128" s="475">
        <f>'T3 ANSP'!D128+'T3 MET'!D128+'T3 MET'!D128</f>
        <v>0</v>
      </c>
      <c r="E128" s="486">
        <f>'T3 ANSP'!E128+'T3 MET'!E128+'T3 MET'!E128</f>
        <v>0</v>
      </c>
      <c r="F128" s="487">
        <f>'T3 ANSP'!F128+'T3 MET'!F128+'T3 MET'!F128</f>
        <v>0</v>
      </c>
      <c r="G128" s="487">
        <f>'T3 ANSP'!G128+'T3 MET'!G128+'T3 MET'!G128</f>
        <v>0</v>
      </c>
      <c r="H128" s="487">
        <f>'T3 ANSP'!H128+'T3 MET'!H128+'T3 MET'!H128</f>
        <v>0</v>
      </c>
      <c r="I128" s="1064">
        <f>'T3 ANSP'!I128+'T3 MET'!I128+'T3 MET'!I128</f>
        <v>0</v>
      </c>
      <c r="J128" s="1064">
        <f>'T3 ANSP'!J128+'T3 MET'!J128+'T3 MET'!J128</f>
        <v>0</v>
      </c>
      <c r="K128" s="1064">
        <f>'T3 ANSP'!K128+'T3 MET'!K128+'T3 MET'!K128</f>
        <v>0</v>
      </c>
      <c r="L128" s="1064">
        <f>'T3 ANSP'!L128+'T3 MET'!L128+'T3 MET'!L128</f>
        <v>0</v>
      </c>
      <c r="M128" s="437">
        <f>'T3 ANSP'!M128+'T3 MET'!M128+'T3 MET'!M128</f>
        <v>0</v>
      </c>
      <c r="O128" s="405"/>
    </row>
    <row r="129" spans="1:15">
      <c r="A129" s="455">
        <v>2018</v>
      </c>
      <c r="B129" s="396"/>
      <c r="C129" s="406" t="s">
        <v>603</v>
      </c>
      <c r="D129" s="477">
        <f>'T3 ANSP'!D129+'T3 MET'!D129+'T3 MET'!D129</f>
        <v>0</v>
      </c>
      <c r="E129" s="490">
        <f>'T3 ANSP'!E129+'T3 MET'!E129+'T3 MET'!E129</f>
        <v>0</v>
      </c>
      <c r="F129" s="491">
        <f>'T3 ANSP'!F129+'T3 MET'!F129+'T3 MET'!F129</f>
        <v>0</v>
      </c>
      <c r="G129" s="491">
        <f>'T3 ANSP'!G129+'T3 MET'!G129+'T3 MET'!G129</f>
        <v>0</v>
      </c>
      <c r="H129" s="491">
        <f>'T3 ANSP'!H129+'T3 MET'!H129+'T3 MET'!H129</f>
        <v>0</v>
      </c>
      <c r="I129" s="1065">
        <f>'T3 ANSP'!I129+'T3 MET'!I129+'T3 MET'!I129</f>
        <v>0</v>
      </c>
      <c r="J129" s="1065">
        <f>'T3 ANSP'!J129+'T3 MET'!J129+'T3 MET'!J129</f>
        <v>0</v>
      </c>
      <c r="K129" s="1065">
        <f>'T3 ANSP'!K129+'T3 MET'!K129+'T3 MET'!K129</f>
        <v>0</v>
      </c>
      <c r="L129" s="1065">
        <f>'T3 ANSP'!L129+'T3 MET'!L129+'T3 MET'!L129</f>
        <v>0</v>
      </c>
      <c r="M129" s="440">
        <f>'T3 ANSP'!M129+'T3 MET'!M129+'T3 MET'!M129</f>
        <v>0</v>
      </c>
      <c r="O129" s="405"/>
    </row>
    <row r="130" spans="1:15">
      <c r="A130" s="455">
        <v>2019</v>
      </c>
      <c r="B130" s="396"/>
      <c r="C130" s="406" t="s">
        <v>604</v>
      </c>
      <c r="D130" s="477">
        <f>'T3 ANSP'!D130+'T3 MET'!D130+'T3 MET'!D130</f>
        <v>0</v>
      </c>
      <c r="E130" s="491">
        <f>'T3 ANSP'!E130+'T3 MET'!E130+'T3 MET'!E130</f>
        <v>0</v>
      </c>
      <c r="F130" s="491">
        <f>'T3 ANSP'!F130+'T3 MET'!F130+'T3 MET'!F130</f>
        <v>0</v>
      </c>
      <c r="G130" s="491">
        <f>'T3 ANSP'!G130+'T3 MET'!G130+'T3 MET'!G130</f>
        <v>0</v>
      </c>
      <c r="H130" s="491">
        <f>'T3 ANSP'!H130+'T3 MET'!H130+'T3 MET'!H130</f>
        <v>0</v>
      </c>
      <c r="I130" s="1065">
        <f>'T3 ANSP'!I130+'T3 MET'!I130+'T3 MET'!I130</f>
        <v>0</v>
      </c>
      <c r="J130" s="1065">
        <f>'T3 ANSP'!J130+'T3 MET'!J130+'T3 MET'!J130</f>
        <v>0</v>
      </c>
      <c r="K130" s="1065">
        <f>'T3 ANSP'!K130+'T3 MET'!K130+'T3 MET'!K130</f>
        <v>0</v>
      </c>
      <c r="L130" s="1065">
        <f>'T3 ANSP'!L130+'T3 MET'!L130+'T3 MET'!L130</f>
        <v>0</v>
      </c>
      <c r="M130" s="440">
        <f>'T3 ANSP'!M130+'T3 MET'!M130+'T3 MET'!M130</f>
        <v>0</v>
      </c>
      <c r="O130" s="405"/>
    </row>
    <row r="131" spans="1:15" s="462" customFormat="1">
      <c r="A131" s="455" t="s">
        <v>493</v>
      </c>
      <c r="B131" s="396"/>
      <c r="C131" s="413" t="s">
        <v>605</v>
      </c>
      <c r="D131" s="414">
        <f>'T3 ANSP'!D131+'T3 MET'!D131+'T3 MET'!D131</f>
        <v>0</v>
      </c>
      <c r="E131" s="415">
        <f>'T3 ANSP'!E131+'T3 MET'!E131+'T3 MET'!E131</f>
        <v>0</v>
      </c>
      <c r="F131" s="416">
        <f>'T3 ANSP'!F131+'T3 MET'!F131+'T3 MET'!F131</f>
        <v>0</v>
      </c>
      <c r="G131" s="416">
        <f>'T3 ANSP'!G131+'T3 MET'!G131+'T3 MET'!G131</f>
        <v>0</v>
      </c>
      <c r="H131" s="416">
        <f>'T3 ANSP'!H131+'T3 MET'!H131+'T3 MET'!H131</f>
        <v>0</v>
      </c>
      <c r="I131" s="451">
        <f>'T3 ANSP'!I131+'T3 MET'!I131+'T3 MET'!I131</f>
        <v>0</v>
      </c>
      <c r="J131" s="451">
        <f>'T3 ANSP'!J131+'T3 MET'!J131+'T3 MET'!J131</f>
        <v>0</v>
      </c>
      <c r="K131" s="451">
        <f>'T3 ANSP'!K131+'T3 MET'!K131+'T3 MET'!K131</f>
        <v>0</v>
      </c>
      <c r="L131" s="451">
        <f>'T3 ANSP'!L131+'T3 MET'!L131+'T3 MET'!L131</f>
        <v>0</v>
      </c>
      <c r="M131" s="1051">
        <f>'T3 ANSP'!M131+'T3 MET'!M131+'T3 MET'!M131</f>
        <v>0</v>
      </c>
      <c r="O131" s="405"/>
    </row>
    <row r="132" spans="1:15">
      <c r="A132" s="455">
        <v>2020</v>
      </c>
      <c r="B132" s="396"/>
      <c r="C132" s="398" t="s">
        <v>606</v>
      </c>
      <c r="D132" s="452">
        <f>'T3 ANSP'!D132+'T3 MET'!D132+'T3 MET'!D132</f>
        <v>0</v>
      </c>
      <c r="E132" s="438">
        <f>'T3 ANSP'!E132+'T3 MET'!E132+'T3 MET'!E132</f>
        <v>0</v>
      </c>
      <c r="F132" s="421">
        <f>'T3 ANSP'!F132+'T3 MET'!F132+'T3 MET'!F132</f>
        <v>0</v>
      </c>
      <c r="G132" s="421">
        <f>'T3 ANSP'!G132+'T3 MET'!G132+'T3 MET'!G132</f>
        <v>0</v>
      </c>
      <c r="H132" s="421">
        <f>'T3 ANSP'!H132+'T3 MET'!H132+'T3 MET'!H132</f>
        <v>0</v>
      </c>
      <c r="I132" s="1408">
        <f>'T3 ANSP'!I132+'T3 MET'!I132+'T3 MET'!I132</f>
        <v>0</v>
      </c>
      <c r="J132" s="447">
        <f>'T3 ANSP'!J132+'T3 MET'!J132+'T3 MET'!J132</f>
        <v>0</v>
      </c>
      <c r="K132" s="447">
        <f>'T3 ANSP'!K132+'T3 MET'!K132+'T3 MET'!K132</f>
        <v>0</v>
      </c>
      <c r="L132" s="447">
        <f>'T3 ANSP'!L132+'T3 MET'!L132+'T3 MET'!L132</f>
        <v>0</v>
      </c>
      <c r="M132" s="437">
        <f>'T3 ANSP'!M132+'T3 MET'!M132+'T3 MET'!M132</f>
        <v>0</v>
      </c>
      <c r="O132" s="405"/>
    </row>
    <row r="133" spans="1:15">
      <c r="A133" s="455">
        <v>2021</v>
      </c>
      <c r="B133" s="396"/>
      <c r="C133" s="406" t="s">
        <v>607</v>
      </c>
      <c r="D133" s="453">
        <f>'T3 ANSP'!D133+'T3 MET'!D133+'T3 MET'!D133</f>
        <v>0</v>
      </c>
      <c r="E133" s="441">
        <f>'T3 ANSP'!E133+'T3 MET'!E133+'T3 MET'!E133</f>
        <v>0</v>
      </c>
      <c r="F133" s="423">
        <f>'T3 ANSP'!F133+'T3 MET'!F133+'T3 MET'!F133</f>
        <v>0</v>
      </c>
      <c r="G133" s="423">
        <f>'T3 ANSP'!G133+'T3 MET'!G133+'T3 MET'!G133</f>
        <v>0</v>
      </c>
      <c r="H133" s="423">
        <f>'T3 ANSP'!H133+'T3 MET'!H133+'T3 MET'!H133</f>
        <v>0</v>
      </c>
      <c r="I133" s="1061">
        <f>'T3 ANSP'!I133+'T3 MET'!I133+'T3 MET'!I133</f>
        <v>0</v>
      </c>
      <c r="J133" s="447">
        <f>'T3 ANSP'!J133+'T3 MET'!J133+'T3 MET'!J133</f>
        <v>0</v>
      </c>
      <c r="K133" s="447">
        <f>'T3 ANSP'!K133+'T3 MET'!K133+'T3 MET'!K133</f>
        <v>0</v>
      </c>
      <c r="L133" s="447">
        <f>'T3 ANSP'!L133+'T3 MET'!L133+'T3 MET'!L133</f>
        <v>0</v>
      </c>
      <c r="M133" s="440">
        <f>'T3 ANSP'!M133+'T3 MET'!M133+'T3 MET'!M133</f>
        <v>0</v>
      </c>
      <c r="O133" s="405"/>
    </row>
    <row r="134" spans="1:15">
      <c r="A134" s="455">
        <v>2022</v>
      </c>
      <c r="B134" s="396"/>
      <c r="C134" s="406" t="s">
        <v>608</v>
      </c>
      <c r="D134" s="453">
        <f>'T3 ANSP'!D134+'T3 MET'!D134+'T3 MET'!D134</f>
        <v>0</v>
      </c>
      <c r="E134" s="441">
        <f>'T3 ANSP'!E134+'T3 MET'!E134+'T3 MET'!E134</f>
        <v>0</v>
      </c>
      <c r="F134" s="423">
        <f>'T3 ANSP'!F134+'T3 MET'!F134+'T3 MET'!F134</f>
        <v>0</v>
      </c>
      <c r="G134" s="423">
        <f>'T3 ANSP'!G134+'T3 MET'!G134+'T3 MET'!G134</f>
        <v>0</v>
      </c>
      <c r="H134" s="423">
        <f>'T3 ANSP'!H134+'T3 MET'!H134+'T3 MET'!H134</f>
        <v>0</v>
      </c>
      <c r="I134" s="1061">
        <f>'T3 ANSP'!I134+'T3 MET'!I134+'T3 MET'!I134</f>
        <v>0</v>
      </c>
      <c r="J134" s="447">
        <f>'T3 ANSP'!J134+'T3 MET'!J134+'T3 MET'!J134</f>
        <v>0</v>
      </c>
      <c r="K134" s="447">
        <f>'T3 ANSP'!K134+'T3 MET'!K134+'T3 MET'!K134</f>
        <v>0</v>
      </c>
      <c r="L134" s="447">
        <f>'T3 ANSP'!L134+'T3 MET'!L134+'T3 MET'!L134</f>
        <v>0</v>
      </c>
      <c r="M134" s="440">
        <f>'T3 ANSP'!M134+'T3 MET'!M134+'T3 MET'!M134</f>
        <v>0</v>
      </c>
      <c r="O134" s="405"/>
    </row>
    <row r="135" spans="1:15">
      <c r="A135" s="455" t="s">
        <v>498</v>
      </c>
      <c r="B135" s="396"/>
      <c r="C135" s="413" t="s">
        <v>609</v>
      </c>
      <c r="D135" s="414">
        <f>'T3 ANSP'!D135+'T3 MET'!D135+'T3 MET'!D135</f>
        <v>0</v>
      </c>
      <c r="E135" s="415">
        <f>'T3 ANSP'!E135+'T3 MET'!E135+'T3 MET'!E135</f>
        <v>0</v>
      </c>
      <c r="F135" s="416">
        <f>'T3 ANSP'!F135+'T3 MET'!F135+'T3 MET'!F135</f>
        <v>0</v>
      </c>
      <c r="G135" s="416">
        <f>'T3 ANSP'!G135+'T3 MET'!G135+'T3 MET'!G135</f>
        <v>0</v>
      </c>
      <c r="H135" s="416">
        <f>'T3 ANSP'!H135+'T3 MET'!H135+'T3 MET'!H135</f>
        <v>0</v>
      </c>
      <c r="I135" s="416">
        <f>'T3 ANSP'!I135+'T3 MET'!I135+'T3 MET'!I135</f>
        <v>0</v>
      </c>
      <c r="J135" s="416">
        <f>'T3 ANSP'!J135+'T3 MET'!J135+'T3 MET'!J135</f>
        <v>0</v>
      </c>
      <c r="K135" s="416">
        <f>'T3 ANSP'!K135+'T3 MET'!K135+'T3 MET'!K135</f>
        <v>0</v>
      </c>
      <c r="L135" s="416">
        <f>'T3 ANSP'!L135+'T3 MET'!L135+'T3 MET'!L135</f>
        <v>0</v>
      </c>
      <c r="M135" s="1051">
        <f>'T3 ANSP'!M135+'T3 MET'!M135+'T3 MET'!M135</f>
        <v>0</v>
      </c>
      <c r="O135" s="405"/>
    </row>
    <row r="136" spans="1:15">
      <c r="A136" s="455">
        <v>2023</v>
      </c>
      <c r="B136" s="396"/>
      <c r="C136" s="406" t="s">
        <v>610</v>
      </c>
      <c r="D136" s="453">
        <f>'T3 ANSP'!D136+'T3 MET'!D136+'T3 MET'!D136</f>
        <v>0</v>
      </c>
      <c r="E136" s="441">
        <f>'T3 ANSP'!E136+'T3 MET'!E136+'T3 MET'!E136</f>
        <v>0</v>
      </c>
      <c r="F136" s="423">
        <f>'T3 ANSP'!F136+'T3 MET'!F136+'T3 MET'!F136</f>
        <v>0</v>
      </c>
      <c r="G136" s="423">
        <f>'T3 ANSP'!G136+'T3 MET'!G136+'T3 MET'!G136</f>
        <v>0</v>
      </c>
      <c r="H136" s="423">
        <f>'T3 ANSP'!H136+'T3 MET'!H136+'T3 MET'!H136</f>
        <v>0</v>
      </c>
      <c r="I136" s="423">
        <f>'T3 ANSP'!I136+'T3 MET'!I136+'T3 MET'!I136</f>
        <v>0</v>
      </c>
      <c r="J136" s="423">
        <f>'T3 ANSP'!J136+'T3 MET'!J136+'T3 MET'!J136</f>
        <v>0</v>
      </c>
      <c r="K136" s="423">
        <f>'T3 ANSP'!K136+'T3 MET'!K136+'T3 MET'!K136</f>
        <v>0</v>
      </c>
      <c r="L136" s="423">
        <f>'T3 ANSP'!L136+'T3 MET'!L136+'T3 MET'!L136</f>
        <v>0</v>
      </c>
      <c r="M136" s="440">
        <f>'T3 ANSP'!M136+'T3 MET'!M136+'T3 MET'!M136</f>
        <v>0</v>
      </c>
      <c r="O136" s="405"/>
    </row>
    <row r="137" spans="1:15">
      <c r="A137" s="455">
        <v>2024</v>
      </c>
      <c r="B137" s="396"/>
      <c r="C137" s="406" t="s">
        <v>611</v>
      </c>
      <c r="D137" s="453">
        <f>'T3 ANSP'!D137+'T3 MET'!D137+'T3 MET'!D137</f>
        <v>0</v>
      </c>
      <c r="E137" s="441">
        <f>'T3 ANSP'!E137+'T3 MET'!E137+'T3 MET'!E137</f>
        <v>0</v>
      </c>
      <c r="F137" s="423">
        <f>'T3 ANSP'!F137+'T3 MET'!F137+'T3 MET'!F137</f>
        <v>0</v>
      </c>
      <c r="G137" s="423">
        <f>'T3 ANSP'!G137+'T3 MET'!G137+'T3 MET'!G137</f>
        <v>0</v>
      </c>
      <c r="H137" s="423">
        <f>'T3 ANSP'!H137+'T3 MET'!H137+'T3 MET'!H137</f>
        <v>0</v>
      </c>
      <c r="I137" s="423">
        <f>'T3 ANSP'!I137+'T3 MET'!I137+'T3 MET'!I137</f>
        <v>0</v>
      </c>
      <c r="J137" s="423">
        <f>'T3 ANSP'!J137+'T3 MET'!J137+'T3 MET'!J137</f>
        <v>0</v>
      </c>
      <c r="K137" s="423">
        <f>'T3 ANSP'!K137+'T3 MET'!K137+'T3 MET'!K137</f>
        <v>0</v>
      </c>
      <c r="L137" s="423">
        <f>'T3 ANSP'!L137+'T3 MET'!L137+'T3 MET'!L137</f>
        <v>0</v>
      </c>
      <c r="M137" s="440">
        <f>'T3 ANSP'!M137+'T3 MET'!M137+'T3 MET'!M137</f>
        <v>0</v>
      </c>
      <c r="O137" s="405"/>
    </row>
    <row r="138" spans="1:15">
      <c r="A138" s="455">
        <v>2025</v>
      </c>
      <c r="B138" s="396"/>
      <c r="C138" s="406" t="s">
        <v>612</v>
      </c>
      <c r="D138" s="453">
        <f>'T3 ANSP'!D138+'T3 MET'!D138+'T3 MET'!D138</f>
        <v>0</v>
      </c>
      <c r="E138" s="441">
        <f>'T3 ANSP'!E138+'T3 MET'!E138+'T3 MET'!E138</f>
        <v>0</v>
      </c>
      <c r="F138" s="423">
        <f>'T3 ANSP'!F138+'T3 MET'!F138+'T3 MET'!F138</f>
        <v>0</v>
      </c>
      <c r="G138" s="423">
        <f>'T3 ANSP'!G138+'T3 MET'!G138+'T3 MET'!G138</f>
        <v>0</v>
      </c>
      <c r="H138" s="423">
        <f>'T3 ANSP'!H138+'T3 MET'!H138+'T3 MET'!H138</f>
        <v>0</v>
      </c>
      <c r="I138" s="423">
        <f>'T3 ANSP'!I138+'T3 MET'!I138+'T3 MET'!I138</f>
        <v>0</v>
      </c>
      <c r="J138" s="423">
        <f>'T3 ANSP'!J138+'T3 MET'!J138+'T3 MET'!J138</f>
        <v>0</v>
      </c>
      <c r="K138" s="423">
        <f>'T3 ANSP'!K138+'T3 MET'!K138+'T3 MET'!K138</f>
        <v>0</v>
      </c>
      <c r="L138" s="423">
        <f>'T3 ANSP'!L138+'T3 MET'!L138+'T3 MET'!L138</f>
        <v>0</v>
      </c>
      <c r="M138" s="440">
        <f>'T3 ANSP'!M138+'T3 MET'!M138+'T3 MET'!M138</f>
        <v>0</v>
      </c>
      <c r="O138" s="405"/>
    </row>
    <row r="139" spans="1:15">
      <c r="A139" s="455">
        <v>2026</v>
      </c>
      <c r="B139" s="396"/>
      <c r="C139" s="406" t="s">
        <v>613</v>
      </c>
      <c r="D139" s="453">
        <f>'T3 ANSP'!D139+'T3 MET'!D139+'T3 MET'!D139</f>
        <v>0</v>
      </c>
      <c r="E139" s="441">
        <f>'T3 ANSP'!E139+'T3 MET'!E139+'T3 MET'!E139</f>
        <v>0</v>
      </c>
      <c r="F139" s="423">
        <f>'T3 ANSP'!F139+'T3 MET'!F139+'T3 MET'!F139</f>
        <v>0</v>
      </c>
      <c r="G139" s="423">
        <f>'T3 ANSP'!G139+'T3 MET'!G139+'T3 MET'!G139</f>
        <v>0</v>
      </c>
      <c r="H139" s="423">
        <f>'T3 ANSP'!H139+'T3 MET'!H139+'T3 MET'!H139</f>
        <v>0</v>
      </c>
      <c r="I139" s="423">
        <f>'T3 ANSP'!I139+'T3 MET'!I139+'T3 MET'!I139</f>
        <v>0</v>
      </c>
      <c r="J139" s="423">
        <f>'T3 ANSP'!J139+'T3 MET'!J139+'T3 MET'!J139</f>
        <v>0</v>
      </c>
      <c r="K139" s="423">
        <f>'T3 ANSP'!K139+'T3 MET'!K139+'T3 MET'!K139</f>
        <v>0</v>
      </c>
      <c r="L139" s="423">
        <f>'T3 ANSP'!L139+'T3 MET'!L139+'T3 MET'!L139</f>
        <v>0</v>
      </c>
      <c r="M139" s="440">
        <f>'T3 ANSP'!M139+'T3 MET'!M139+'T3 MET'!M139</f>
        <v>0</v>
      </c>
      <c r="O139" s="405"/>
    </row>
    <row r="140" spans="1:15">
      <c r="A140" s="455">
        <v>2027</v>
      </c>
      <c r="B140" s="396"/>
      <c r="C140" s="406" t="s">
        <v>614</v>
      </c>
      <c r="D140" s="454">
        <f>'T3 ANSP'!D140+'T3 MET'!D140+'T3 MET'!D140</f>
        <v>0</v>
      </c>
      <c r="E140" s="1411">
        <f>'T3 ANSP'!E140+'T3 MET'!E140+'T3 MET'!E140</f>
        <v>0</v>
      </c>
      <c r="F140" s="463">
        <f>'T3 ANSP'!F140+'T3 MET'!F140+'T3 MET'!F140</f>
        <v>0</v>
      </c>
      <c r="G140" s="463">
        <f>'T3 ANSP'!G140+'T3 MET'!G140+'T3 MET'!G140</f>
        <v>0</v>
      </c>
      <c r="H140" s="463">
        <f>'T3 ANSP'!H140+'T3 MET'!H140+'T3 MET'!H140</f>
        <v>0</v>
      </c>
      <c r="I140" s="463">
        <f>'T3 ANSP'!I140+'T3 MET'!I140+'T3 MET'!I140</f>
        <v>0</v>
      </c>
      <c r="J140" s="463">
        <f>'T3 ANSP'!J140+'T3 MET'!J140+'T3 MET'!J140</f>
        <v>0</v>
      </c>
      <c r="K140" s="463">
        <f>'T3 ANSP'!K140+'T3 MET'!K140+'T3 MET'!K140</f>
        <v>0</v>
      </c>
      <c r="L140" s="463">
        <f>'T3 ANSP'!L140+'T3 MET'!L140+'T3 MET'!L140</f>
        <v>0</v>
      </c>
      <c r="M140" s="1077">
        <f>'T3 ANSP'!M140+'T3 MET'!M140+'T3 MET'!M140</f>
        <v>0</v>
      </c>
      <c r="O140" s="405"/>
    </row>
    <row r="141" spans="1:15">
      <c r="A141" s="455" t="s">
        <v>505</v>
      </c>
      <c r="B141" s="396"/>
      <c r="C141" s="431" t="s">
        <v>615</v>
      </c>
      <c r="D141" s="432">
        <f>'T3 ANSP'!D141+'T3 MET'!D141+'T3 MET'!D141</f>
        <v>1073.5560203983696</v>
      </c>
      <c r="E141" s="480">
        <f>'T3 ANSP'!E141+'T3 MET'!E141+'T3 MET'!E141</f>
        <v>0</v>
      </c>
      <c r="F141" s="434">
        <f>'T3 ANSP'!F141+'T3 MET'!F141+'T3 MET'!F141</f>
        <v>0</v>
      </c>
      <c r="G141" s="434">
        <f>'T3 ANSP'!G141+'T3 MET'!G141+'T3 MET'!G141</f>
        <v>0</v>
      </c>
      <c r="H141" s="434">
        <f>'T3 ANSP'!H141+'T3 MET'!H141+'T3 MET'!H141</f>
        <v>2017.3576287694086</v>
      </c>
      <c r="I141" s="481">
        <f>'T3 ANSP'!I141+'T3 MET'!I141+'T3 MET'!I141</f>
        <v>-17640.105882247113</v>
      </c>
      <c r="J141" s="481">
        <f>'T3 ANSP'!J141+'T3 MET'!J141+'T3 MET'!J141</f>
        <v>-7498.1257344027299</v>
      </c>
      <c r="K141" s="481">
        <f>'T3 ANSP'!K141+'T3 MET'!K141+'T3 MET'!K141</f>
        <v>389.92037605813397</v>
      </c>
      <c r="L141" s="481">
        <f>'T3 ANSP'!L141+'T3 MET'!L141+'T3 MET'!L141</f>
        <v>23929.979247065192</v>
      </c>
      <c r="M141" s="1076">
        <f>'T3 ANSP'!M141+'T3 MET'!M141+'T3 MET'!M141</f>
        <v>-125.46961484452186</v>
      </c>
      <c r="O141" s="405"/>
    </row>
    <row r="142" spans="1:15" s="462" customFormat="1">
      <c r="A142" s="758"/>
      <c r="B142" s="396"/>
      <c r="C142" s="482"/>
      <c r="D142" s="446"/>
      <c r="E142" s="447"/>
      <c r="F142" s="447"/>
      <c r="G142" s="447"/>
      <c r="H142" s="447"/>
      <c r="I142" s="447"/>
      <c r="J142" s="447"/>
      <c r="K142" s="447"/>
      <c r="L142" s="447"/>
      <c r="M142" s="447"/>
      <c r="O142" s="405"/>
    </row>
    <row r="143" spans="1:15">
      <c r="A143" s="455">
        <v>2017</v>
      </c>
      <c r="B143" s="396"/>
      <c r="C143" s="398" t="s">
        <v>616</v>
      </c>
      <c r="D143" s="475">
        <f>'T3 ANSP'!D143+'T3 MET'!D143+'T3 MET'!D143</f>
        <v>0</v>
      </c>
      <c r="E143" s="486">
        <f>'T3 ANSP'!E143+'T3 MET'!E143+'T3 MET'!E143</f>
        <v>0</v>
      </c>
      <c r="F143" s="487">
        <f>'T3 ANSP'!F143+'T3 MET'!F143+'T3 MET'!F143</f>
        <v>0</v>
      </c>
      <c r="G143" s="487">
        <f>'T3 ANSP'!G143+'T3 MET'!G143+'T3 MET'!G143</f>
        <v>0</v>
      </c>
      <c r="H143" s="487">
        <f>'T3 ANSP'!H143+'T3 MET'!H143+'T3 MET'!H143</f>
        <v>0</v>
      </c>
      <c r="I143" s="1064">
        <f>'T3 ANSP'!I143+'T3 MET'!I143+'T3 MET'!I143</f>
        <v>0</v>
      </c>
      <c r="J143" s="1064">
        <f>'T3 ANSP'!J143+'T3 MET'!J143+'T3 MET'!J143</f>
        <v>0</v>
      </c>
      <c r="K143" s="1064">
        <f>'T3 ANSP'!K143+'T3 MET'!K143+'T3 MET'!K143</f>
        <v>0</v>
      </c>
      <c r="L143" s="1064">
        <f>'T3 ANSP'!L143+'T3 MET'!L143+'T3 MET'!L143</f>
        <v>0</v>
      </c>
      <c r="M143" s="437">
        <f>'T3 ANSP'!M143+'T3 MET'!M143+'T3 MET'!M143</f>
        <v>0</v>
      </c>
      <c r="O143" s="405"/>
    </row>
    <row r="144" spans="1:15">
      <c r="A144" s="455">
        <v>2018</v>
      </c>
      <c r="B144" s="396"/>
      <c r="C144" s="406" t="s">
        <v>617</v>
      </c>
      <c r="D144" s="490">
        <f>'T3 ANSP'!D144+'T3 MET'!D144+'T3 MET'!D144</f>
        <v>-2655.40761629176</v>
      </c>
      <c r="E144" s="490">
        <f>'T3 ANSP'!E144+'T3 MET'!E144+'T3 MET'!E144</f>
        <v>-2655.40761629176</v>
      </c>
      <c r="F144" s="491">
        <f>'T3 ANSP'!F144+'T3 MET'!F144+'T3 MET'!F144</f>
        <v>0</v>
      </c>
      <c r="G144" s="491">
        <f>'T3 ANSP'!G144+'T3 MET'!G144+'T3 MET'!G144</f>
        <v>0</v>
      </c>
      <c r="H144" s="491">
        <f>'T3 ANSP'!H144+'T3 MET'!H144+'T3 MET'!H144</f>
        <v>0</v>
      </c>
      <c r="I144" s="1065">
        <f>'T3 ANSP'!I144+'T3 MET'!I144+'T3 MET'!I144</f>
        <v>0</v>
      </c>
      <c r="J144" s="1065">
        <f>'T3 ANSP'!J144+'T3 MET'!J144+'T3 MET'!J144</f>
        <v>0</v>
      </c>
      <c r="K144" s="1065">
        <f>'T3 ANSP'!K144+'T3 MET'!K144+'T3 MET'!K144</f>
        <v>0</v>
      </c>
      <c r="L144" s="1065">
        <f>'T3 ANSP'!L144+'T3 MET'!L144+'T3 MET'!L144</f>
        <v>0</v>
      </c>
      <c r="M144" s="440">
        <f>'T3 ANSP'!M144+'T3 MET'!M144+'T3 MET'!M144</f>
        <v>0</v>
      </c>
      <c r="O144" s="405"/>
    </row>
    <row r="145" spans="1:15">
      <c r="A145" s="455">
        <v>2019</v>
      </c>
      <c r="B145" s="396"/>
      <c r="C145" s="406" t="s">
        <v>618</v>
      </c>
      <c r="D145" s="477">
        <f>'T3 ANSP'!D145+'T3 MET'!D145+'T3 MET'!D145</f>
        <v>6717.9998631642393</v>
      </c>
      <c r="E145" s="490">
        <f>'T3 ANSP'!E145+'T3 MET'!E145+'T3 MET'!E145</f>
        <v>0</v>
      </c>
      <c r="F145" s="491">
        <f>'T3 ANSP'!F145+'T3 MET'!F145+'T3 MET'!F145</f>
        <v>6717.9998631642393</v>
      </c>
      <c r="G145" s="491">
        <f>'T3 ANSP'!G145+'T3 MET'!G145+'T3 MET'!G145</f>
        <v>0</v>
      </c>
      <c r="H145" s="491">
        <f>'T3 ANSP'!H145+'T3 MET'!H145+'T3 MET'!H145</f>
        <v>0</v>
      </c>
      <c r="I145" s="1065">
        <f>'T3 ANSP'!I145+'T3 MET'!I145+'T3 MET'!I145</f>
        <v>0</v>
      </c>
      <c r="J145" s="1065">
        <f>'T3 ANSP'!J145+'T3 MET'!J145+'T3 MET'!J145</f>
        <v>0</v>
      </c>
      <c r="K145" s="1065">
        <f>'T3 ANSP'!K145+'T3 MET'!K145+'T3 MET'!K145</f>
        <v>0</v>
      </c>
      <c r="L145" s="1065">
        <f>'T3 ANSP'!L145+'T3 MET'!L145+'T3 MET'!L145</f>
        <v>0</v>
      </c>
      <c r="M145" s="440">
        <f>'T3 ANSP'!M145+'T3 MET'!M145+'T3 MET'!M145</f>
        <v>0</v>
      </c>
      <c r="O145" s="405"/>
    </row>
    <row r="146" spans="1:15">
      <c r="A146" s="455" t="s">
        <v>493</v>
      </c>
      <c r="B146" s="396"/>
      <c r="C146" s="413" t="s">
        <v>619</v>
      </c>
      <c r="D146" s="414">
        <f>'T3 ANSP'!D146+'T3 MET'!D146+'T3 MET'!D146</f>
        <v>4062.5922468724784</v>
      </c>
      <c r="E146" s="415">
        <f>'T3 ANSP'!E146+'T3 MET'!E146+'T3 MET'!E146</f>
        <v>-2655.40761629176</v>
      </c>
      <c r="F146" s="416">
        <f>'T3 ANSP'!F146+'T3 MET'!F146+'T3 MET'!F146</f>
        <v>6717.9998631642393</v>
      </c>
      <c r="G146" s="416">
        <f>'T3 ANSP'!G146+'T3 MET'!G146+'T3 MET'!G146</f>
        <v>0</v>
      </c>
      <c r="H146" s="416">
        <f>'T3 ANSP'!H146+'T3 MET'!H146+'T3 MET'!H146</f>
        <v>0</v>
      </c>
      <c r="I146" s="451">
        <f>'T3 ANSP'!I146+'T3 MET'!I146+'T3 MET'!I146</f>
        <v>0</v>
      </c>
      <c r="J146" s="451">
        <f>'T3 ANSP'!J146+'T3 MET'!J146+'T3 MET'!J146</f>
        <v>0</v>
      </c>
      <c r="K146" s="451">
        <f>'T3 ANSP'!K146+'T3 MET'!K146+'T3 MET'!K146</f>
        <v>0</v>
      </c>
      <c r="L146" s="451">
        <f>'T3 ANSP'!L146+'T3 MET'!L146+'T3 MET'!L146</f>
        <v>0</v>
      </c>
      <c r="M146" s="1051">
        <f>'T3 ANSP'!M146+'T3 MET'!M146+'T3 MET'!M146</f>
        <v>0</v>
      </c>
      <c r="O146" s="405"/>
    </row>
    <row r="147" spans="1:15">
      <c r="A147" s="455">
        <v>2020</v>
      </c>
      <c r="B147" s="396"/>
      <c r="C147" s="398" t="s">
        <v>620</v>
      </c>
      <c r="D147" s="399">
        <f>'T3 ANSP'!D147+'T3 MET'!D147+'T3 MET'!D147</f>
        <v>-40827.477185565607</v>
      </c>
      <c r="E147" s="486">
        <f>'T3 ANSP'!E147+'T3 MET'!E147+'T3 MET'!E147</f>
        <v>0</v>
      </c>
      <c r="F147" s="487">
        <f>'T3 ANSP'!F147+'T3 MET'!F147+'T3 MET'!F147</f>
        <v>0</v>
      </c>
      <c r="G147" s="487">
        <f>'T3 ANSP'!G147+'T3 MET'!G147+'T3 MET'!G147</f>
        <v>-40827.477185565607</v>
      </c>
      <c r="H147" s="487">
        <f>'T3 ANSP'!H147+'T3 MET'!H147+'T3 MET'!H147</f>
        <v>0</v>
      </c>
      <c r="I147" s="487">
        <f>'T3 ANSP'!I147+'T3 MET'!I147+'T3 MET'!I147</f>
        <v>0</v>
      </c>
      <c r="J147" s="487">
        <f>'T3 ANSP'!J147+'T3 MET'!J147+'T3 MET'!J147</f>
        <v>0</v>
      </c>
      <c r="K147" s="487">
        <f>'T3 ANSP'!K147+'T3 MET'!K147+'T3 MET'!K147</f>
        <v>0</v>
      </c>
      <c r="L147" s="487">
        <f>'T3 ANSP'!L147+'T3 MET'!L147+'T3 MET'!L147</f>
        <v>0</v>
      </c>
      <c r="M147" s="437">
        <f>'T3 ANSP'!M147+'T3 MET'!M147+'T3 MET'!M147</f>
        <v>0</v>
      </c>
      <c r="O147" s="405"/>
    </row>
    <row r="148" spans="1:15">
      <c r="A148" s="455">
        <v>2021</v>
      </c>
      <c r="B148" s="396"/>
      <c r="C148" s="406" t="s">
        <v>621</v>
      </c>
      <c r="D148" s="407">
        <f>'T3 ANSP'!D148+'T3 MET'!D148+'T3 MET'!D148</f>
        <v>-36322.31255708255</v>
      </c>
      <c r="E148" s="490">
        <f>'T3 ANSP'!E148+'T3 MET'!E148+'T3 MET'!E148</f>
        <v>0</v>
      </c>
      <c r="F148" s="491">
        <f>'T3 ANSP'!F148+'T3 MET'!F148+'T3 MET'!F148</f>
        <v>0</v>
      </c>
      <c r="G148" s="491">
        <f>'T3 ANSP'!G148+'T3 MET'!G148+'T3 MET'!G148</f>
        <v>0</v>
      </c>
      <c r="H148" s="491">
        <f>'T3 ANSP'!H148+'T3 MET'!H148+'T3 MET'!H148</f>
        <v>-36322.31255708255</v>
      </c>
      <c r="I148" s="491">
        <f>'T3 ANSP'!I148+'T3 MET'!I148+'T3 MET'!I148</f>
        <v>0</v>
      </c>
      <c r="J148" s="491">
        <f>'T3 ANSP'!J148+'T3 MET'!J148+'T3 MET'!J148</f>
        <v>0</v>
      </c>
      <c r="K148" s="491">
        <f>'T3 ANSP'!K148+'T3 MET'!K148+'T3 MET'!K148</f>
        <v>0</v>
      </c>
      <c r="L148" s="491">
        <f>'T3 ANSP'!L148+'T3 MET'!L148+'T3 MET'!L148</f>
        <v>0</v>
      </c>
      <c r="M148" s="440">
        <f>'T3 ANSP'!M148+'T3 MET'!M148+'T3 MET'!M148</f>
        <v>0</v>
      </c>
      <c r="O148" s="405"/>
    </row>
    <row r="149" spans="1:15">
      <c r="A149" s="455">
        <v>2022</v>
      </c>
      <c r="B149" s="396"/>
      <c r="C149" s="406" t="s">
        <v>622</v>
      </c>
      <c r="D149" s="407">
        <f>'T3 ANSP'!D149+'T3 MET'!D149+'T3 MET'!D149</f>
        <v>-7750.594791922591</v>
      </c>
      <c r="E149" s="490">
        <f>'T3 ANSP'!E149+'T3 MET'!E149+'T3 MET'!E149</f>
        <v>0</v>
      </c>
      <c r="F149" s="491">
        <f>'T3 ANSP'!F149+'T3 MET'!F149+'T3 MET'!F149</f>
        <v>0</v>
      </c>
      <c r="G149" s="491">
        <f>'T3 ANSP'!G149+'T3 MET'!G149+'T3 MET'!G149</f>
        <v>0</v>
      </c>
      <c r="H149" s="491">
        <f>'T3 ANSP'!H149+'T3 MET'!H149+'T3 MET'!H149</f>
        <v>0</v>
      </c>
      <c r="I149" s="491">
        <f>'T3 ANSP'!I149+'T3 MET'!I149+'T3 MET'!I149</f>
        <v>-7750.594791922591</v>
      </c>
      <c r="J149" s="491">
        <f>'T3 ANSP'!J149+'T3 MET'!J149+'T3 MET'!J149</f>
        <v>0</v>
      </c>
      <c r="K149" s="491">
        <f>'T3 ANSP'!K149+'T3 MET'!K149+'T3 MET'!K149</f>
        <v>0</v>
      </c>
      <c r="L149" s="491">
        <f>'T3 ANSP'!L149+'T3 MET'!L149+'T3 MET'!L149</f>
        <v>0</v>
      </c>
      <c r="M149" s="440">
        <f>'T3 ANSP'!M149+'T3 MET'!M149+'T3 MET'!M149</f>
        <v>0</v>
      </c>
      <c r="O149" s="405"/>
    </row>
    <row r="150" spans="1:15">
      <c r="A150" s="455" t="s">
        <v>498</v>
      </c>
      <c r="B150" s="396"/>
      <c r="C150" s="413" t="s">
        <v>623</v>
      </c>
      <c r="D150" s="414">
        <f>'T3 ANSP'!D150+'T3 MET'!D150+'T3 MET'!D150</f>
        <v>-84900.384534570752</v>
      </c>
      <c r="E150" s="415">
        <f>'T3 ANSP'!E150+'T3 MET'!E150+'T3 MET'!E150</f>
        <v>0</v>
      </c>
      <c r="F150" s="416">
        <f>'T3 ANSP'!F150+'T3 MET'!F150+'T3 MET'!F150</f>
        <v>0</v>
      </c>
      <c r="G150" s="416">
        <f>'T3 ANSP'!G150+'T3 MET'!G150+'T3 MET'!G150</f>
        <v>-40827.477185565607</v>
      </c>
      <c r="H150" s="416">
        <f>'T3 ANSP'!H150+'T3 MET'!H150+'T3 MET'!H150</f>
        <v>-36322.31255708255</v>
      </c>
      <c r="I150" s="416">
        <f>'T3 ANSP'!I150+'T3 MET'!I150+'T3 MET'!I150</f>
        <v>-7750.594791922591</v>
      </c>
      <c r="J150" s="416">
        <f>'T3 ANSP'!J150+'T3 MET'!J150+'T3 MET'!J150</f>
        <v>0</v>
      </c>
      <c r="K150" s="416">
        <f>'T3 ANSP'!K150+'T3 MET'!K150+'T3 MET'!K150</f>
        <v>0</v>
      </c>
      <c r="L150" s="416">
        <f>'T3 ANSP'!L150+'T3 MET'!L150+'T3 MET'!L150</f>
        <v>0</v>
      </c>
      <c r="M150" s="1051">
        <f>'T3 ANSP'!M150+'T3 MET'!M150+'T3 MET'!M150</f>
        <v>0</v>
      </c>
      <c r="O150" s="405"/>
    </row>
    <row r="151" spans="1:15">
      <c r="A151" s="455">
        <v>2023</v>
      </c>
      <c r="B151" s="396"/>
      <c r="C151" s="406" t="s">
        <v>624</v>
      </c>
      <c r="D151" s="407">
        <f>'T3 ANSP'!D151+'T3 MET'!D151+'T3 MET'!D151</f>
        <v>0</v>
      </c>
      <c r="E151" s="490">
        <f>'T3 ANSP'!E151+'T3 MET'!E151+'T3 MET'!E151</f>
        <v>0</v>
      </c>
      <c r="F151" s="491">
        <f>'T3 ANSP'!F151+'T3 MET'!F151+'T3 MET'!F151</f>
        <v>0</v>
      </c>
      <c r="G151" s="491">
        <f>'T3 ANSP'!G151+'T3 MET'!G151+'T3 MET'!G151</f>
        <v>0</v>
      </c>
      <c r="H151" s="491">
        <f>'T3 ANSP'!H151+'T3 MET'!H151+'T3 MET'!H151</f>
        <v>0</v>
      </c>
      <c r="I151" s="491">
        <f>'T3 ANSP'!I151+'T3 MET'!I151+'T3 MET'!I151</f>
        <v>0</v>
      </c>
      <c r="J151" s="423">
        <f>'T3 ANSP'!J151+'T3 MET'!J151+'T3 MET'!J151</f>
        <v>0</v>
      </c>
      <c r="K151" s="423">
        <f>'T3 ANSP'!K151+'T3 MET'!K151+'T3 MET'!K151</f>
        <v>0</v>
      </c>
      <c r="L151" s="423">
        <f>'T3 ANSP'!L151+'T3 MET'!L151+'T3 MET'!L151</f>
        <v>0</v>
      </c>
      <c r="M151" s="440">
        <f>'T3 ANSP'!M151+'T3 MET'!M151+'T3 MET'!M151</f>
        <v>0</v>
      </c>
      <c r="O151" s="405"/>
    </row>
    <row r="152" spans="1:15">
      <c r="A152" s="455">
        <v>2024</v>
      </c>
      <c r="B152" s="396"/>
      <c r="C152" s="406" t="s">
        <v>625</v>
      </c>
      <c r="D152" s="407">
        <f>'T3 ANSP'!D152+'T3 MET'!D152+'T3 MET'!D152</f>
        <v>0</v>
      </c>
      <c r="E152" s="490">
        <f>'T3 ANSP'!E152+'T3 MET'!E152+'T3 MET'!E152</f>
        <v>0</v>
      </c>
      <c r="F152" s="491">
        <f>'T3 ANSP'!F152+'T3 MET'!F152+'T3 MET'!F152</f>
        <v>0</v>
      </c>
      <c r="G152" s="491">
        <f>'T3 ANSP'!G152+'T3 MET'!G152+'T3 MET'!G152</f>
        <v>0</v>
      </c>
      <c r="H152" s="491">
        <f>'T3 ANSP'!H152+'T3 MET'!H152+'T3 MET'!H152</f>
        <v>0</v>
      </c>
      <c r="I152" s="491">
        <f>'T3 ANSP'!I152+'T3 MET'!I152+'T3 MET'!I152</f>
        <v>0</v>
      </c>
      <c r="J152" s="423">
        <f>'T3 ANSP'!J152+'T3 MET'!J152+'T3 MET'!J152</f>
        <v>0</v>
      </c>
      <c r="K152" s="423">
        <f>'T3 ANSP'!K152+'T3 MET'!K152+'T3 MET'!K152</f>
        <v>0</v>
      </c>
      <c r="L152" s="423">
        <f>'T3 ANSP'!L152+'T3 MET'!L152+'T3 MET'!L152</f>
        <v>0</v>
      </c>
      <c r="M152" s="440">
        <f>'T3 ANSP'!M152+'T3 MET'!M152+'T3 MET'!M152</f>
        <v>0</v>
      </c>
      <c r="O152" s="405"/>
    </row>
    <row r="153" spans="1:15" s="462" customFormat="1">
      <c r="A153" s="455">
        <v>2025</v>
      </c>
      <c r="B153" s="396"/>
      <c r="C153" s="406" t="s">
        <v>626</v>
      </c>
      <c r="D153" s="407">
        <f>'T3 ANSP'!D153+'T3 MET'!D153+'T3 MET'!D153</f>
        <v>0</v>
      </c>
      <c r="E153" s="490">
        <f>'T3 ANSP'!E153+'T3 MET'!E153+'T3 MET'!E153</f>
        <v>0</v>
      </c>
      <c r="F153" s="491">
        <f>'T3 ANSP'!F153+'T3 MET'!F153+'T3 MET'!F153</f>
        <v>0</v>
      </c>
      <c r="G153" s="491">
        <f>'T3 ANSP'!G153+'T3 MET'!G153+'T3 MET'!G153</f>
        <v>0</v>
      </c>
      <c r="H153" s="491">
        <f>'T3 ANSP'!H153+'T3 MET'!H153+'T3 MET'!H153</f>
        <v>0</v>
      </c>
      <c r="I153" s="491">
        <f>'T3 ANSP'!I153+'T3 MET'!I153+'T3 MET'!I153</f>
        <v>0</v>
      </c>
      <c r="J153" s="423">
        <f>'T3 ANSP'!J153+'T3 MET'!J153+'T3 MET'!J153</f>
        <v>0</v>
      </c>
      <c r="K153" s="423">
        <f>'T3 ANSP'!K153+'T3 MET'!K153+'T3 MET'!K153</f>
        <v>0</v>
      </c>
      <c r="L153" s="423">
        <f>'T3 ANSP'!L153+'T3 MET'!L153+'T3 MET'!L153</f>
        <v>0</v>
      </c>
      <c r="M153" s="440">
        <f>'T3 ANSP'!M153+'T3 MET'!M153+'T3 MET'!M153</f>
        <v>0</v>
      </c>
      <c r="O153" s="405"/>
    </row>
    <row r="154" spans="1:15">
      <c r="A154" s="455">
        <v>2026</v>
      </c>
      <c r="B154" s="396"/>
      <c r="C154" s="406" t="s">
        <v>627</v>
      </c>
      <c r="D154" s="407">
        <f>'T3 ANSP'!D154+'T3 MET'!D154+'T3 MET'!D154</f>
        <v>0</v>
      </c>
      <c r="E154" s="490">
        <f>'T3 ANSP'!E154+'T3 MET'!E154+'T3 MET'!E154</f>
        <v>0</v>
      </c>
      <c r="F154" s="491">
        <f>'T3 ANSP'!F154+'T3 MET'!F154+'T3 MET'!F154</f>
        <v>0</v>
      </c>
      <c r="G154" s="491">
        <f>'T3 ANSP'!G154+'T3 MET'!G154+'T3 MET'!G154</f>
        <v>0</v>
      </c>
      <c r="H154" s="491">
        <f>'T3 ANSP'!H154+'T3 MET'!H154+'T3 MET'!H154</f>
        <v>0</v>
      </c>
      <c r="I154" s="491">
        <f>'T3 ANSP'!I154+'T3 MET'!I154+'T3 MET'!I154</f>
        <v>0</v>
      </c>
      <c r="J154" s="491">
        <f>'T3 ANSP'!J154+'T3 MET'!J154+'T3 MET'!J154</f>
        <v>0</v>
      </c>
      <c r="K154" s="491">
        <f>'T3 ANSP'!K154+'T3 MET'!K154+'T3 MET'!K154</f>
        <v>0</v>
      </c>
      <c r="L154" s="491">
        <f>'T3 ANSP'!L154+'T3 MET'!L154+'T3 MET'!L154</f>
        <v>0</v>
      </c>
      <c r="M154" s="440">
        <f>'T3 ANSP'!M154+'T3 MET'!M154+'T3 MET'!M154</f>
        <v>0</v>
      </c>
      <c r="O154" s="405"/>
    </row>
    <row r="155" spans="1:15">
      <c r="A155" s="455">
        <v>2027</v>
      </c>
      <c r="B155" s="396"/>
      <c r="C155" s="406" t="s">
        <v>628</v>
      </c>
      <c r="D155" s="407" t="e">
        <f>'T3 ANSP'!D155+'T3 MET'!D155+'T3 MET'!D155</f>
        <v>#REF!</v>
      </c>
      <c r="E155" s="490">
        <f>'T3 ANSP'!E155+'T3 MET'!E155+'T3 MET'!E155</f>
        <v>0</v>
      </c>
      <c r="F155" s="491">
        <f>'T3 ANSP'!F155+'T3 MET'!F155+'T3 MET'!F155</f>
        <v>0</v>
      </c>
      <c r="G155" s="491">
        <f>'T3 ANSP'!G155+'T3 MET'!G155+'T3 MET'!G155</f>
        <v>0</v>
      </c>
      <c r="H155" s="491">
        <f>'T3 ANSP'!H155+'T3 MET'!H155+'T3 MET'!H155</f>
        <v>0</v>
      </c>
      <c r="I155" s="491">
        <f>'T3 ANSP'!I155+'T3 MET'!I155+'T3 MET'!I155</f>
        <v>0</v>
      </c>
      <c r="J155" s="491">
        <f>'T3 ANSP'!J155+'T3 MET'!J155+'T3 MET'!J155</f>
        <v>0</v>
      </c>
      <c r="K155" s="491">
        <f>'T3 ANSP'!K155+'T3 MET'!K155+'T3 MET'!K155</f>
        <v>0</v>
      </c>
      <c r="L155" s="491">
        <f>'T3 ANSP'!L155+'T3 MET'!L155+'T3 MET'!L155</f>
        <v>0</v>
      </c>
      <c r="M155" s="440" t="e">
        <f>'T3 ANSP'!M155+'T3 MET'!M155+'T3 MET'!M155</f>
        <v>#REF!</v>
      </c>
      <c r="O155" s="405"/>
    </row>
    <row r="156" spans="1:15">
      <c r="A156" s="455" t="s">
        <v>493</v>
      </c>
      <c r="B156" s="396"/>
      <c r="C156" s="413" t="s">
        <v>629</v>
      </c>
      <c r="D156" s="414" t="e">
        <f>'T3 ANSP'!D156+'T3 MET'!D156+'T3 MET'!D156</f>
        <v>#REF!</v>
      </c>
      <c r="E156" s="415">
        <f>'T3 ANSP'!E156+'T3 MET'!E156+'T3 MET'!E156</f>
        <v>-2655.40761629176</v>
      </c>
      <c r="F156" s="416">
        <f>'T3 ANSP'!F156+'T3 MET'!F156+'T3 MET'!F156</f>
        <v>6717.9998631642393</v>
      </c>
      <c r="G156" s="416">
        <f>'T3 ANSP'!G156+'T3 MET'!G156+'T3 MET'!G156</f>
        <v>-40827.477185565607</v>
      </c>
      <c r="H156" s="416">
        <f>'T3 ANSP'!H156+'T3 MET'!H156+'T3 MET'!H156</f>
        <v>-36322.31255708255</v>
      </c>
      <c r="I156" s="451">
        <f>'T3 ANSP'!I156+'T3 MET'!I156+'T3 MET'!I156</f>
        <v>-7750.594791922591</v>
      </c>
      <c r="J156" s="451">
        <f>'T3 ANSP'!J156+'T3 MET'!J156+'T3 MET'!J156</f>
        <v>0</v>
      </c>
      <c r="K156" s="451">
        <f>'T3 ANSP'!K156+'T3 MET'!K156+'T3 MET'!K156</f>
        <v>0</v>
      </c>
      <c r="L156" s="451">
        <f>'T3 ANSP'!L156+'T3 MET'!L156+'T3 MET'!L156</f>
        <v>0</v>
      </c>
      <c r="M156" s="1051" t="e">
        <f>'T3 ANSP'!M156+'T3 MET'!M156+'T3 MET'!M156</f>
        <v>#REF!</v>
      </c>
      <c r="O156" s="405"/>
    </row>
    <row r="157" spans="1:15">
      <c r="A157" s="455">
        <v>2020</v>
      </c>
      <c r="B157" s="396"/>
      <c r="C157" s="398" t="s">
        <v>630</v>
      </c>
      <c r="D157" s="452">
        <f>'T3 ANSP'!D157+'T3 MET'!D157+'T3 MET'!D157</f>
        <v>32469.643485281635</v>
      </c>
      <c r="E157" s="438">
        <f>'T3 ANSP'!E157+'T3 MET'!E157+'T3 MET'!E157</f>
        <v>0</v>
      </c>
      <c r="F157" s="421">
        <f>'T3 ANSP'!F157+'T3 MET'!F157+'T3 MET'!F157</f>
        <v>0</v>
      </c>
      <c r="G157" s="1412">
        <f>'T3 ANSP'!G157+'T3 MET'!G157+'T3 MET'!G157</f>
        <v>32469.643485281635</v>
      </c>
      <c r="H157" s="421">
        <f>'T3 ANSP'!H157+'T3 MET'!H157+'T3 MET'!H157</f>
        <v>0</v>
      </c>
      <c r="I157" s="1408">
        <f>'T3 ANSP'!I157+'T3 MET'!I157+'T3 MET'!I157</f>
        <v>0</v>
      </c>
      <c r="J157" s="447">
        <f>'T3 ANSP'!J157+'T3 MET'!J157+'T3 MET'!J157</f>
        <v>0</v>
      </c>
      <c r="K157" s="447">
        <f>'T3 ANSP'!K157+'T3 MET'!K157+'T3 MET'!K157</f>
        <v>0</v>
      </c>
      <c r="L157" s="447">
        <f>'T3 ANSP'!L157+'T3 MET'!L157+'T3 MET'!L157</f>
        <v>0</v>
      </c>
      <c r="M157" s="437">
        <f>'T3 ANSP'!M157+'T3 MET'!M157+'T3 MET'!M157</f>
        <v>0</v>
      </c>
      <c r="O157" s="405"/>
    </row>
    <row r="158" spans="1:15">
      <c r="A158" s="455">
        <v>2021</v>
      </c>
      <c r="B158" s="396"/>
      <c r="C158" s="406" t="s">
        <v>631</v>
      </c>
      <c r="D158" s="453">
        <f>'T3 ANSP'!D158+'T3 MET'!D158+'T3 MET'!D158</f>
        <v>27532.579740135214</v>
      </c>
      <c r="E158" s="441">
        <f>'T3 ANSP'!E158+'T3 MET'!E158+'T3 MET'!E158</f>
        <v>0</v>
      </c>
      <c r="F158" s="423">
        <f>'T3 ANSP'!F158+'T3 MET'!F158+'T3 MET'!F158</f>
        <v>0</v>
      </c>
      <c r="G158" s="423">
        <f>'T3 ANSP'!G158+'T3 MET'!G158+'T3 MET'!G158</f>
        <v>0</v>
      </c>
      <c r="H158" s="423">
        <f>'T3 ANSP'!H158+'T3 MET'!H158+'T3 MET'!H158</f>
        <v>27532.579740135214</v>
      </c>
      <c r="I158" s="1061">
        <f>'T3 ANSP'!I158+'T3 MET'!I158+'T3 MET'!I158</f>
        <v>0</v>
      </c>
      <c r="J158" s="447">
        <f>'T3 ANSP'!J158+'T3 MET'!J158+'T3 MET'!J158</f>
        <v>0</v>
      </c>
      <c r="K158" s="447">
        <f>'T3 ANSP'!K158+'T3 MET'!K158+'T3 MET'!K158</f>
        <v>0</v>
      </c>
      <c r="L158" s="447">
        <f>'T3 ANSP'!L158+'T3 MET'!L158+'T3 MET'!L158</f>
        <v>0</v>
      </c>
      <c r="M158" s="440">
        <f>'T3 ANSP'!M158+'T3 MET'!M158+'T3 MET'!M158</f>
        <v>0</v>
      </c>
      <c r="O158" s="405"/>
    </row>
    <row r="159" spans="1:15">
      <c r="A159" s="455">
        <v>2022</v>
      </c>
      <c r="B159" s="396"/>
      <c r="C159" s="406" t="s">
        <v>632</v>
      </c>
      <c r="D159" s="453">
        <f>'T3 ANSP'!D159+'T3 MET'!D159+'T3 MET'!D159</f>
        <v>-5144.7195341104725</v>
      </c>
      <c r="E159" s="441">
        <f>'T3 ANSP'!E159+'T3 MET'!E159+'T3 MET'!E159</f>
        <v>0</v>
      </c>
      <c r="F159" s="423">
        <f>'T3 ANSP'!F159+'T3 MET'!F159+'T3 MET'!F159</f>
        <v>0</v>
      </c>
      <c r="G159" s="423">
        <f>'T3 ANSP'!G159+'T3 MET'!G159+'T3 MET'!G159</f>
        <v>0</v>
      </c>
      <c r="H159" s="423">
        <f>'T3 ANSP'!H159+'T3 MET'!H159+'T3 MET'!H159</f>
        <v>0</v>
      </c>
      <c r="I159" s="1061">
        <f>'T3 ANSP'!I159+'T3 MET'!I159+'T3 MET'!I159</f>
        <v>-5144.7195341104725</v>
      </c>
      <c r="J159" s="447">
        <f>'T3 ANSP'!J159+'T3 MET'!J159+'T3 MET'!J159</f>
        <v>0</v>
      </c>
      <c r="K159" s="447">
        <f>'T3 ANSP'!K159+'T3 MET'!K159+'T3 MET'!K159</f>
        <v>0</v>
      </c>
      <c r="L159" s="447">
        <f>'T3 ANSP'!L159+'T3 MET'!L159+'T3 MET'!L159</f>
        <v>0</v>
      </c>
      <c r="M159" s="440">
        <f>'T3 ANSP'!M159+'T3 MET'!M159+'T3 MET'!M159</f>
        <v>0</v>
      </c>
      <c r="O159" s="405"/>
    </row>
    <row r="160" spans="1:15">
      <c r="A160" s="455" t="s">
        <v>498</v>
      </c>
      <c r="B160" s="396"/>
      <c r="C160" s="413" t="s">
        <v>633</v>
      </c>
      <c r="D160" s="414">
        <f>'T3 ANSP'!D160+'T3 MET'!D160+'T3 MET'!D160</f>
        <v>54857.503691306381</v>
      </c>
      <c r="E160" s="415">
        <f>'T3 ANSP'!E160+'T3 MET'!E160+'T3 MET'!E160</f>
        <v>0</v>
      </c>
      <c r="F160" s="416">
        <f>'T3 ANSP'!F160+'T3 MET'!F160+'T3 MET'!F160</f>
        <v>0</v>
      </c>
      <c r="G160" s="416">
        <f>'T3 ANSP'!G160+'T3 MET'!G160+'T3 MET'!G160</f>
        <v>32469.643485281635</v>
      </c>
      <c r="H160" s="416">
        <f>'T3 ANSP'!H160+'T3 MET'!H160+'T3 MET'!H160</f>
        <v>27532.579740135214</v>
      </c>
      <c r="I160" s="416">
        <f>'T3 ANSP'!I160+'T3 MET'!I160+'T3 MET'!I160</f>
        <v>-5144.7195341104725</v>
      </c>
      <c r="J160" s="416">
        <f>'T3 ANSP'!J160+'T3 MET'!J160+'T3 MET'!J160</f>
        <v>0</v>
      </c>
      <c r="K160" s="416">
        <f>'T3 ANSP'!K160+'T3 MET'!K160+'T3 MET'!K160</f>
        <v>0</v>
      </c>
      <c r="L160" s="416">
        <f>'T3 ANSP'!L160+'T3 MET'!L160+'T3 MET'!L160</f>
        <v>0</v>
      </c>
      <c r="M160" s="1051">
        <f>'T3 ANSP'!M160+'T3 MET'!M160+'T3 MET'!M160</f>
        <v>0</v>
      </c>
      <c r="O160" s="405"/>
    </row>
    <row r="161" spans="1:15">
      <c r="A161" s="455">
        <v>2023</v>
      </c>
      <c r="B161" s="396"/>
      <c r="C161" s="406" t="s">
        <v>634</v>
      </c>
      <c r="D161" s="453">
        <f>'T3 ANSP'!D161+'T3 MET'!D161+'T3 MET'!D161</f>
        <v>0</v>
      </c>
      <c r="E161" s="441">
        <f>'T3 ANSP'!E161+'T3 MET'!E161+'T3 MET'!E161</f>
        <v>0</v>
      </c>
      <c r="F161" s="423">
        <f>'T3 ANSP'!F161+'T3 MET'!F161+'T3 MET'!F161</f>
        <v>0</v>
      </c>
      <c r="G161" s="423">
        <f>'T3 ANSP'!G161+'T3 MET'!G161+'T3 MET'!G161</f>
        <v>0</v>
      </c>
      <c r="H161" s="423">
        <f>'T3 ANSP'!H161+'T3 MET'!H161+'T3 MET'!H161</f>
        <v>0</v>
      </c>
      <c r="I161" s="423">
        <f>'T3 ANSP'!I161+'T3 MET'!I161+'T3 MET'!I161</f>
        <v>0</v>
      </c>
      <c r="J161" s="423">
        <f>'T3 ANSP'!J161+'T3 MET'!J161+'T3 MET'!J161</f>
        <v>0</v>
      </c>
      <c r="K161" s="423">
        <f>'T3 ANSP'!K161+'T3 MET'!K161+'T3 MET'!K161</f>
        <v>0</v>
      </c>
      <c r="L161" s="423">
        <f>'T3 ANSP'!L161+'T3 MET'!L161+'T3 MET'!L161</f>
        <v>0</v>
      </c>
      <c r="M161" s="440">
        <f>'T3 ANSP'!M161+'T3 MET'!M161+'T3 MET'!M161</f>
        <v>0</v>
      </c>
      <c r="O161" s="405"/>
    </row>
    <row r="162" spans="1:15">
      <c r="A162" s="455">
        <v>2024</v>
      </c>
      <c r="B162" s="396"/>
      <c r="C162" s="406" t="s">
        <v>635</v>
      </c>
      <c r="D162" s="453">
        <f>'T3 ANSP'!D162+'T3 MET'!D162+'T3 MET'!D162</f>
        <v>0</v>
      </c>
      <c r="E162" s="441">
        <f>'T3 ANSP'!E162+'T3 MET'!E162+'T3 MET'!E162</f>
        <v>0</v>
      </c>
      <c r="F162" s="423">
        <f>'T3 ANSP'!F162+'T3 MET'!F162+'T3 MET'!F162</f>
        <v>0</v>
      </c>
      <c r="G162" s="423">
        <f>'T3 ANSP'!G162+'T3 MET'!G162+'T3 MET'!G162</f>
        <v>0</v>
      </c>
      <c r="H162" s="423">
        <f>'T3 ANSP'!H162+'T3 MET'!H162+'T3 MET'!H162</f>
        <v>0</v>
      </c>
      <c r="I162" s="423">
        <f>'T3 ANSP'!I162+'T3 MET'!I162+'T3 MET'!I162</f>
        <v>0</v>
      </c>
      <c r="J162" s="423">
        <f>'T3 ANSP'!J162+'T3 MET'!J162+'T3 MET'!J162</f>
        <v>0</v>
      </c>
      <c r="K162" s="423">
        <f>'T3 ANSP'!K162+'T3 MET'!K162+'T3 MET'!K162</f>
        <v>0</v>
      </c>
      <c r="L162" s="423">
        <f>'T3 ANSP'!L162+'T3 MET'!L162+'T3 MET'!L162</f>
        <v>0</v>
      </c>
      <c r="M162" s="440">
        <f>'T3 ANSP'!M162+'T3 MET'!M162+'T3 MET'!M162</f>
        <v>0</v>
      </c>
      <c r="O162" s="405"/>
    </row>
    <row r="163" spans="1:15">
      <c r="A163" s="455">
        <v>2025</v>
      </c>
      <c r="B163" s="396"/>
      <c r="C163" s="406" t="s">
        <v>636</v>
      </c>
      <c r="D163" s="453">
        <f>'T3 ANSP'!D163+'T3 MET'!D163+'T3 MET'!D163</f>
        <v>0</v>
      </c>
      <c r="E163" s="441">
        <f>'T3 ANSP'!E163+'T3 MET'!E163+'T3 MET'!E163</f>
        <v>0</v>
      </c>
      <c r="F163" s="423">
        <f>'T3 ANSP'!F163+'T3 MET'!F163+'T3 MET'!F163</f>
        <v>0</v>
      </c>
      <c r="G163" s="423">
        <f>'T3 ANSP'!G163+'T3 MET'!G163+'T3 MET'!G163</f>
        <v>0</v>
      </c>
      <c r="H163" s="423">
        <f>'T3 ANSP'!H163+'T3 MET'!H163+'T3 MET'!H163</f>
        <v>0</v>
      </c>
      <c r="I163" s="423">
        <f>'T3 ANSP'!I163+'T3 MET'!I163+'T3 MET'!I163</f>
        <v>0</v>
      </c>
      <c r="J163" s="423">
        <f>'T3 ANSP'!J163+'T3 MET'!J163+'T3 MET'!J163</f>
        <v>0</v>
      </c>
      <c r="K163" s="423">
        <f>'T3 ANSP'!K163+'T3 MET'!K163+'T3 MET'!K163</f>
        <v>0</v>
      </c>
      <c r="L163" s="423">
        <f>'T3 ANSP'!L163+'T3 MET'!L163+'T3 MET'!L163</f>
        <v>0</v>
      </c>
      <c r="M163" s="440">
        <f>'T3 ANSP'!M163+'T3 MET'!M163+'T3 MET'!M163</f>
        <v>0</v>
      </c>
      <c r="O163" s="405"/>
    </row>
    <row r="164" spans="1:15">
      <c r="A164" s="455">
        <v>2026</v>
      </c>
      <c r="B164" s="396"/>
      <c r="C164" s="406" t="s">
        <v>637</v>
      </c>
      <c r="D164" s="453">
        <f>'T3 ANSP'!D164+'T3 MET'!D164+'T3 MET'!D164</f>
        <v>0</v>
      </c>
      <c r="E164" s="441">
        <f>'T3 ANSP'!E164+'T3 MET'!E164+'T3 MET'!E164</f>
        <v>0</v>
      </c>
      <c r="F164" s="423">
        <f>'T3 ANSP'!F164+'T3 MET'!F164+'T3 MET'!F164</f>
        <v>0</v>
      </c>
      <c r="G164" s="423">
        <f>'T3 ANSP'!G164+'T3 MET'!G164+'T3 MET'!G164</f>
        <v>0</v>
      </c>
      <c r="H164" s="423">
        <f>'T3 ANSP'!H164+'T3 MET'!H164+'T3 MET'!H164</f>
        <v>0</v>
      </c>
      <c r="I164" s="423">
        <f>'T3 ANSP'!I164+'T3 MET'!I164+'T3 MET'!I164</f>
        <v>0</v>
      </c>
      <c r="J164" s="423">
        <f>'T3 ANSP'!J164+'T3 MET'!J164+'T3 MET'!J164</f>
        <v>0</v>
      </c>
      <c r="K164" s="423">
        <f>'T3 ANSP'!K164+'T3 MET'!K164+'T3 MET'!K164</f>
        <v>0</v>
      </c>
      <c r="L164" s="423">
        <f>'T3 ANSP'!L164+'T3 MET'!L164+'T3 MET'!L164</f>
        <v>0</v>
      </c>
      <c r="M164" s="440">
        <f>'T3 ANSP'!M164+'T3 MET'!M164+'T3 MET'!M164</f>
        <v>0</v>
      </c>
      <c r="O164" s="405"/>
    </row>
    <row r="165" spans="1:15">
      <c r="A165" s="455">
        <v>2027</v>
      </c>
      <c r="B165" s="396"/>
      <c r="C165" s="406" t="s">
        <v>638</v>
      </c>
      <c r="D165" s="454">
        <f>'T3 ANSP'!D165+'T3 MET'!D165+'T3 MET'!D165</f>
        <v>0</v>
      </c>
      <c r="E165" s="1411">
        <f>'T3 ANSP'!E165+'T3 MET'!E165+'T3 MET'!E165</f>
        <v>0</v>
      </c>
      <c r="F165" s="463">
        <f>'T3 ANSP'!F165+'T3 MET'!F165+'T3 MET'!F165</f>
        <v>0</v>
      </c>
      <c r="G165" s="463">
        <f>'T3 ANSP'!G165+'T3 MET'!G165+'T3 MET'!G165</f>
        <v>0</v>
      </c>
      <c r="H165" s="463">
        <f>'T3 ANSP'!H165+'T3 MET'!H165+'T3 MET'!H165</f>
        <v>0</v>
      </c>
      <c r="I165" s="463">
        <f>'T3 ANSP'!I165+'T3 MET'!I165+'T3 MET'!I165</f>
        <v>0</v>
      </c>
      <c r="J165" s="463">
        <f>'T3 ANSP'!J165+'T3 MET'!J165+'T3 MET'!J165</f>
        <v>0</v>
      </c>
      <c r="K165" s="463">
        <f>'T3 ANSP'!K165+'T3 MET'!K165+'T3 MET'!K165</f>
        <v>0</v>
      </c>
      <c r="L165" s="463">
        <f>'T3 ANSP'!L165+'T3 MET'!L165+'T3 MET'!L165</f>
        <v>0</v>
      </c>
      <c r="M165" s="1077">
        <f>'T3 ANSP'!M165+'T3 MET'!M165+'T3 MET'!M165</f>
        <v>0</v>
      </c>
      <c r="O165" s="405"/>
    </row>
    <row r="166" spans="1:15">
      <c r="A166" s="455" t="s">
        <v>505</v>
      </c>
      <c r="C166" s="431" t="s">
        <v>639</v>
      </c>
      <c r="D166" s="432" t="e">
        <f>'T3 ANSP'!D166+'T3 MET'!D166+'T3 MET'!D166</f>
        <v>#REF!</v>
      </c>
      <c r="E166" s="480">
        <f>'T3 ANSP'!E166+'T3 MET'!E166+'T3 MET'!E166</f>
        <v>-2655.40761629176</v>
      </c>
      <c r="F166" s="434">
        <f>'T3 ANSP'!F166+'T3 MET'!F166+'T3 MET'!F166</f>
        <v>6717.9998631642393</v>
      </c>
      <c r="G166" s="434">
        <f>'T3 ANSP'!G166+'T3 MET'!G166+'T3 MET'!G166</f>
        <v>-8357.8337002839689</v>
      </c>
      <c r="H166" s="434">
        <f>'T3 ANSP'!H166+'T3 MET'!H166+'T3 MET'!H166</f>
        <v>-8789.7328169473385</v>
      </c>
      <c r="I166" s="434">
        <f>'T3 ANSP'!I166+'T3 MET'!I166+'T3 MET'!I166</f>
        <v>-12895.314326033063</v>
      </c>
      <c r="J166" s="434">
        <f>'T3 ANSP'!J166+'T3 MET'!J166+'T3 MET'!J166</f>
        <v>0</v>
      </c>
      <c r="K166" s="434">
        <f>'T3 ANSP'!K166+'T3 MET'!K166+'T3 MET'!K166</f>
        <v>0</v>
      </c>
      <c r="L166" s="434">
        <f>'T3 ANSP'!L166+'T3 MET'!L166+'T3 MET'!L166</f>
        <v>0</v>
      </c>
      <c r="M166" s="1076" t="e">
        <f>'T3 ANSP'!M166+'T3 MET'!M166+'T3 MET'!M166</f>
        <v>#REF!</v>
      </c>
    </row>
    <row r="167" spans="1:15">
      <c r="A167" s="758"/>
      <c r="B167" s="396"/>
      <c r="D167" s="435"/>
      <c r="E167" s="435"/>
      <c r="F167" s="607"/>
      <c r="G167" s="435"/>
      <c r="H167" s="435"/>
      <c r="I167" s="435"/>
      <c r="J167" s="435"/>
      <c r="K167" s="435"/>
      <c r="L167" s="435"/>
      <c r="M167" s="435"/>
      <c r="O167" s="778"/>
    </row>
    <row r="168" spans="1:15">
      <c r="A168" s="455">
        <v>2017</v>
      </c>
      <c r="B168" s="396"/>
      <c r="C168" s="398" t="s">
        <v>640</v>
      </c>
      <c r="D168" s="475">
        <f>'T3 ANSP'!D168+'T3 MET'!D168+'T3 MET'!D168</f>
        <v>0</v>
      </c>
      <c r="E168" s="486">
        <f>'T3 ANSP'!E168+'T3 MET'!E168+'T3 MET'!E168</f>
        <v>0</v>
      </c>
      <c r="F168" s="487">
        <f>'T3 ANSP'!F168+'T3 MET'!F168+'T3 MET'!F168</f>
        <v>0</v>
      </c>
      <c r="G168" s="487">
        <f>'T3 ANSP'!G168+'T3 MET'!G168+'T3 MET'!G168</f>
        <v>0</v>
      </c>
      <c r="H168" s="487">
        <f>'T3 ANSP'!H168+'T3 MET'!H168+'T3 MET'!H168</f>
        <v>0</v>
      </c>
      <c r="I168" s="487">
        <f>'T3 ANSP'!I168+'T3 MET'!I168+'T3 MET'!I168</f>
        <v>0</v>
      </c>
      <c r="J168" s="487">
        <f>'T3 ANSP'!J168+'T3 MET'!J168+'T3 MET'!J168</f>
        <v>0</v>
      </c>
      <c r="K168" s="487">
        <f>'T3 ANSP'!K168+'T3 MET'!K168+'T3 MET'!K168</f>
        <v>0</v>
      </c>
      <c r="L168" s="487">
        <f>'T3 ANSP'!L168+'T3 MET'!L168+'T3 MET'!L168</f>
        <v>0</v>
      </c>
      <c r="M168" s="437">
        <f>'T3 ANSP'!M168+'T3 MET'!M168+'T3 MET'!M168</f>
        <v>0</v>
      </c>
      <c r="O168" s="778"/>
    </row>
    <row r="169" spans="1:15">
      <c r="A169" s="455">
        <v>2018</v>
      </c>
      <c r="B169" s="396"/>
      <c r="C169" s="406" t="s">
        <v>641</v>
      </c>
      <c r="D169" s="477">
        <f>'T3 ANSP'!D169+'T3 MET'!D169+'T3 MET'!D169</f>
        <v>0</v>
      </c>
      <c r="E169" s="490">
        <f>'T3 ANSP'!E169+'T3 MET'!E169+'T3 MET'!E169</f>
        <v>0</v>
      </c>
      <c r="F169" s="491">
        <f>'T3 ANSP'!F169+'T3 MET'!F169+'T3 MET'!F169</f>
        <v>0</v>
      </c>
      <c r="G169" s="491">
        <f>'T3 ANSP'!G169+'T3 MET'!G169+'T3 MET'!G169</f>
        <v>0</v>
      </c>
      <c r="H169" s="491">
        <f>'T3 ANSP'!H169+'T3 MET'!H169+'T3 MET'!H169</f>
        <v>0</v>
      </c>
      <c r="I169" s="491">
        <f>'T3 ANSP'!I169+'T3 MET'!I169+'T3 MET'!I169</f>
        <v>0</v>
      </c>
      <c r="J169" s="491">
        <f>'T3 ANSP'!J169+'T3 MET'!J169+'T3 MET'!J169</f>
        <v>0</v>
      </c>
      <c r="K169" s="491">
        <f>'T3 ANSP'!K169+'T3 MET'!K169+'T3 MET'!K169</f>
        <v>0</v>
      </c>
      <c r="L169" s="491">
        <f>'T3 ANSP'!L169+'T3 MET'!L169+'T3 MET'!L169</f>
        <v>0</v>
      </c>
      <c r="M169" s="440">
        <f>'T3 ANSP'!M169+'T3 MET'!M169+'T3 MET'!M169</f>
        <v>0</v>
      </c>
      <c r="O169" s="778"/>
    </row>
    <row r="170" spans="1:15">
      <c r="A170" s="455">
        <v>2019</v>
      </c>
      <c r="B170" s="396"/>
      <c r="C170" s="406" t="s">
        <v>642</v>
      </c>
      <c r="D170" s="477">
        <f>'T3 ANSP'!D170+'T3 MET'!D170+'T3 MET'!D170</f>
        <v>0</v>
      </c>
      <c r="E170" s="490">
        <f>'T3 ANSP'!E170+'T3 MET'!E170+'T3 MET'!E170</f>
        <v>0</v>
      </c>
      <c r="F170" s="491">
        <f>'T3 ANSP'!F170+'T3 MET'!F170+'T3 MET'!F170</f>
        <v>0</v>
      </c>
      <c r="G170" s="491">
        <f>'T3 ANSP'!G170+'T3 MET'!G170+'T3 MET'!G170</f>
        <v>0</v>
      </c>
      <c r="H170" s="491">
        <f>'T3 ANSP'!H170+'T3 MET'!H170+'T3 MET'!H170</f>
        <v>0</v>
      </c>
      <c r="I170" s="491">
        <f>'T3 ANSP'!I170+'T3 MET'!I170+'T3 MET'!I170</f>
        <v>0</v>
      </c>
      <c r="J170" s="491">
        <f>'T3 ANSP'!J170+'T3 MET'!J170+'T3 MET'!J170</f>
        <v>0</v>
      </c>
      <c r="K170" s="491">
        <f>'T3 ANSP'!K170+'T3 MET'!K170+'T3 MET'!K170</f>
        <v>0</v>
      </c>
      <c r="L170" s="491">
        <f>'T3 ANSP'!L170+'T3 MET'!L170+'T3 MET'!L170</f>
        <v>0</v>
      </c>
      <c r="M170" s="440">
        <f>'T3 ANSP'!M170+'T3 MET'!M170+'T3 MET'!M170</f>
        <v>0</v>
      </c>
      <c r="O170" s="778"/>
    </row>
    <row r="171" spans="1:15">
      <c r="A171" s="455" t="s">
        <v>493</v>
      </c>
      <c r="B171" s="396"/>
      <c r="C171" s="413" t="s">
        <v>643</v>
      </c>
      <c r="D171" s="414">
        <f>'T3 ANSP'!D171+'T3 MET'!D171+'T3 MET'!D171</f>
        <v>0</v>
      </c>
      <c r="E171" s="415">
        <f>'T3 ANSP'!E171+'T3 MET'!E171+'T3 MET'!E171</f>
        <v>0</v>
      </c>
      <c r="F171" s="416">
        <f>'T3 ANSP'!F171+'T3 MET'!F171+'T3 MET'!F171</f>
        <v>0</v>
      </c>
      <c r="G171" s="416">
        <f>'T3 ANSP'!G171+'T3 MET'!G171+'T3 MET'!G171</f>
        <v>0</v>
      </c>
      <c r="H171" s="416">
        <f>'T3 ANSP'!H171+'T3 MET'!H171+'T3 MET'!H171</f>
        <v>0</v>
      </c>
      <c r="I171" s="416">
        <f>'T3 ANSP'!I171+'T3 MET'!I171+'T3 MET'!I171</f>
        <v>0</v>
      </c>
      <c r="J171" s="416">
        <f>'T3 ANSP'!J171+'T3 MET'!J171+'T3 MET'!J171</f>
        <v>0</v>
      </c>
      <c r="K171" s="416">
        <f>'T3 ANSP'!K171+'T3 MET'!K171+'T3 MET'!K171</f>
        <v>0</v>
      </c>
      <c r="L171" s="416">
        <f>'T3 ANSP'!L171+'T3 MET'!L171+'T3 MET'!L171</f>
        <v>0</v>
      </c>
      <c r="M171" s="1051">
        <f>'T3 ANSP'!M171+'T3 MET'!M171+'T3 MET'!M171</f>
        <v>0</v>
      </c>
      <c r="O171" s="778"/>
    </row>
    <row r="172" spans="1:15">
      <c r="A172" s="982">
        <v>2020</v>
      </c>
      <c r="B172" s="396"/>
      <c r="C172" s="436" t="s">
        <v>644</v>
      </c>
      <c r="D172" s="452">
        <f>'T3 ANSP'!D172+'T3 MET'!D172+'T3 MET'!D172</f>
        <v>-166.68438219613321</v>
      </c>
      <c r="E172" s="486">
        <f>'T3 ANSP'!E172+'T3 MET'!E172+'T3 MET'!E172</f>
        <v>-166.68438219613321</v>
      </c>
      <c r="F172" s="487">
        <f>'T3 ANSP'!F172+'T3 MET'!F172+'T3 MET'!F172</f>
        <v>0</v>
      </c>
      <c r="G172" s="487">
        <f>'T3 ANSP'!G172+'T3 MET'!G172+'T3 MET'!G172</f>
        <v>0</v>
      </c>
      <c r="H172" s="487">
        <f>'T3 ANSP'!H172+'T3 MET'!H172+'T3 MET'!H172</f>
        <v>0</v>
      </c>
      <c r="I172" s="1064">
        <f>'T3 ANSP'!I172+'T3 MET'!I172+'T3 MET'!I172</f>
        <v>0</v>
      </c>
      <c r="J172" s="487">
        <f>'T3 ANSP'!J172+'T3 MET'!J172+'T3 MET'!J172</f>
        <v>0</v>
      </c>
      <c r="K172" s="487">
        <f>'T3 ANSP'!K172+'T3 MET'!K172+'T3 MET'!K172</f>
        <v>0</v>
      </c>
      <c r="L172" s="487">
        <f>'T3 ANSP'!L172+'T3 MET'!L172+'T3 MET'!L172</f>
        <v>0</v>
      </c>
      <c r="M172" s="437">
        <f>'T3 ANSP'!M172+'T3 MET'!M172+'T3 MET'!M172</f>
        <v>0</v>
      </c>
      <c r="O172" s="778"/>
    </row>
    <row r="173" spans="1:15">
      <c r="A173" s="455">
        <v>2021</v>
      </c>
      <c r="C173" s="406" t="s">
        <v>645</v>
      </c>
      <c r="D173" s="453">
        <f>'T3 ANSP'!D173+'T3 MET'!D173+'T3 MET'!D173</f>
        <v>-10399.967789999999</v>
      </c>
      <c r="E173" s="490">
        <f>'T3 ANSP'!E173+'T3 MET'!E173+'T3 MET'!E173</f>
        <v>0</v>
      </c>
      <c r="F173" s="491">
        <f>'T3 ANSP'!F173+'T3 MET'!F173+'T3 MET'!F173</f>
        <v>-10399.967789999999</v>
      </c>
      <c r="G173" s="491">
        <f>'T3 ANSP'!G173+'T3 MET'!G173+'T3 MET'!G173</f>
        <v>0</v>
      </c>
      <c r="H173" s="491">
        <f>'T3 ANSP'!H173+'T3 MET'!H173+'T3 MET'!H173</f>
        <v>0</v>
      </c>
      <c r="I173" s="1065">
        <f>'T3 ANSP'!I173+'T3 MET'!I173+'T3 MET'!I173</f>
        <v>0</v>
      </c>
      <c r="J173" s="491">
        <f>'T3 ANSP'!J173+'T3 MET'!J173+'T3 MET'!J173</f>
        <v>0</v>
      </c>
      <c r="K173" s="491">
        <f>'T3 ANSP'!K173+'T3 MET'!K173+'T3 MET'!K173</f>
        <v>0</v>
      </c>
      <c r="L173" s="491">
        <f>'T3 ANSP'!L173+'T3 MET'!L173+'T3 MET'!L173</f>
        <v>0</v>
      </c>
      <c r="M173" s="440">
        <f>'T3 ANSP'!M173+'T3 MET'!M173+'T3 MET'!M173</f>
        <v>0</v>
      </c>
    </row>
    <row r="174" spans="1:15">
      <c r="A174" s="455">
        <v>2022</v>
      </c>
      <c r="C174" s="406" t="s">
        <v>646</v>
      </c>
      <c r="D174" s="453">
        <f>'T3 ANSP'!D174+'T3 MET'!D174+'T3 MET'!D174</f>
        <v>-31197.739202655848</v>
      </c>
      <c r="E174" s="490">
        <f>'T3 ANSP'!E174+'T3 MET'!E174+'T3 MET'!E174</f>
        <v>0</v>
      </c>
      <c r="F174" s="491">
        <f>'T3 ANSP'!F174+'T3 MET'!F174+'T3 MET'!F174</f>
        <v>0</v>
      </c>
      <c r="G174" s="512">
        <f>'T3 ANSP'!G174+'T3 MET'!G174+'T3 MET'!G174</f>
        <v>-31197.739202655848</v>
      </c>
      <c r="H174" s="512">
        <f>'T3 ANSP'!H174+'T3 MET'!H174+'T3 MET'!H174</f>
        <v>0</v>
      </c>
      <c r="I174" s="1066">
        <f>'T3 ANSP'!I174+'T3 MET'!I174+'T3 MET'!I174</f>
        <v>0</v>
      </c>
      <c r="J174" s="491">
        <f>'T3 ANSP'!J174+'T3 MET'!J174+'T3 MET'!J174</f>
        <v>0</v>
      </c>
      <c r="K174" s="491">
        <f>'T3 ANSP'!K174+'T3 MET'!K174+'T3 MET'!K174</f>
        <v>0</v>
      </c>
      <c r="L174" s="491">
        <f>'T3 ANSP'!L174+'T3 MET'!L174+'T3 MET'!L174</f>
        <v>0</v>
      </c>
      <c r="M174" s="440">
        <f>'T3 ANSP'!M174+'T3 MET'!M174+'T3 MET'!M174</f>
        <v>0</v>
      </c>
    </row>
    <row r="175" spans="1:15">
      <c r="A175" s="455" t="s">
        <v>498</v>
      </c>
      <c r="B175" s="396"/>
      <c r="C175" s="413" t="s">
        <v>647</v>
      </c>
      <c r="D175" s="414">
        <f>'T3 ANSP'!D175+'T3 MET'!D175+'T3 MET'!D175</f>
        <v>-41764.391374851984</v>
      </c>
      <c r="E175" s="414">
        <f>'T3 ANSP'!E175+'T3 MET'!E175+'T3 MET'!E175</f>
        <v>-166.68438219613321</v>
      </c>
      <c r="F175" s="414">
        <f>'T3 ANSP'!F175+'T3 MET'!F175+'T3 MET'!F175</f>
        <v>-10399.967789999999</v>
      </c>
      <c r="G175" s="416">
        <f>'T3 ANSP'!G175+'T3 MET'!G175+'T3 MET'!G175</f>
        <v>-31197.739202655848</v>
      </c>
      <c r="H175" s="416">
        <f>'T3 ANSP'!H175+'T3 MET'!H175+'T3 MET'!H175</f>
        <v>0</v>
      </c>
      <c r="I175" s="416">
        <f>'T3 ANSP'!I175+'T3 MET'!I175+'T3 MET'!I175</f>
        <v>0</v>
      </c>
      <c r="J175" s="416">
        <f>'T3 ANSP'!J175+'T3 MET'!J175+'T3 MET'!J175</f>
        <v>0</v>
      </c>
      <c r="K175" s="416">
        <f>'T3 ANSP'!K175+'T3 MET'!K175+'T3 MET'!K175</f>
        <v>0</v>
      </c>
      <c r="L175" s="416">
        <f>'T3 ANSP'!L175+'T3 MET'!L175+'T3 MET'!L175</f>
        <v>0</v>
      </c>
      <c r="M175" s="1051">
        <f>'T3 ANSP'!M175+'T3 MET'!M175+'T3 MET'!M175</f>
        <v>0</v>
      </c>
      <c r="O175" s="405"/>
    </row>
    <row r="176" spans="1:15">
      <c r="A176" s="455">
        <v>2023</v>
      </c>
      <c r="C176" s="406" t="s">
        <v>648</v>
      </c>
      <c r="D176" s="453">
        <f>'T3 ANSP'!D176+'T3 MET'!D176+'T3 MET'!D176</f>
        <v>-5847.4033714322459</v>
      </c>
      <c r="E176" s="490">
        <f>'T3 ANSP'!E176+'T3 MET'!E176+'T3 MET'!E176</f>
        <v>0</v>
      </c>
      <c r="F176" s="491">
        <f>'T3 ANSP'!F176+'T3 MET'!F176+'T3 MET'!F176</f>
        <v>0</v>
      </c>
      <c r="G176" s="491">
        <f>'T3 ANSP'!G176+'T3 MET'!G176+'T3 MET'!G176</f>
        <v>0</v>
      </c>
      <c r="H176" s="491">
        <f>'T3 ANSP'!H176+'T3 MET'!H176+'T3 MET'!H176</f>
        <v>-5847.4033714322459</v>
      </c>
      <c r="I176" s="1065">
        <f>'T3 ANSP'!I176+'T3 MET'!I176+'T3 MET'!I176</f>
        <v>0</v>
      </c>
      <c r="J176" s="491">
        <f>'T3 ANSP'!J176+'T3 MET'!J176+'T3 MET'!J176</f>
        <v>0</v>
      </c>
      <c r="K176" s="491">
        <f>'T3 ANSP'!K176+'T3 MET'!K176+'T3 MET'!K176</f>
        <v>0</v>
      </c>
      <c r="L176" s="491">
        <f>'T3 ANSP'!L176+'T3 MET'!L176+'T3 MET'!L176</f>
        <v>0</v>
      </c>
      <c r="M176" s="440">
        <f>'T3 ANSP'!M176+'T3 MET'!M176+'T3 MET'!M176</f>
        <v>0</v>
      </c>
    </row>
    <row r="177" spans="1:13">
      <c r="A177" s="455">
        <v>2024</v>
      </c>
      <c r="C177" s="406" t="s">
        <v>649</v>
      </c>
      <c r="D177" s="453">
        <f>'T3 ANSP'!D177+'T3 MET'!D177+'T3 MET'!D177</f>
        <v>-3314.5763098988937</v>
      </c>
      <c r="E177" s="490">
        <f>'T3 ANSP'!E177+'T3 MET'!E177+'T3 MET'!E177</f>
        <v>0</v>
      </c>
      <c r="F177" s="491">
        <f>'T3 ANSP'!F177+'T3 MET'!F177+'T3 MET'!F177</f>
        <v>0</v>
      </c>
      <c r="G177" s="491">
        <f>'T3 ANSP'!G177+'T3 MET'!G177+'T3 MET'!G177</f>
        <v>0</v>
      </c>
      <c r="H177" s="491">
        <f>'T3 ANSP'!H177+'T3 MET'!H177+'T3 MET'!H177</f>
        <v>0</v>
      </c>
      <c r="I177" s="1065">
        <f>'T3 ANSP'!I177+'T3 MET'!I177+'T3 MET'!I177</f>
        <v>-3314.5763098988937</v>
      </c>
      <c r="J177" s="491">
        <f>'T3 ANSP'!J177+'T3 MET'!J177+'T3 MET'!J177</f>
        <v>0</v>
      </c>
      <c r="K177" s="491">
        <f>'T3 ANSP'!K177+'T3 MET'!K177+'T3 MET'!K177</f>
        <v>0</v>
      </c>
      <c r="L177" s="491">
        <f>'T3 ANSP'!L177+'T3 MET'!L177+'T3 MET'!L177</f>
        <v>0</v>
      </c>
      <c r="M177" s="440">
        <f>'T3 ANSP'!M177+'T3 MET'!M177+'T3 MET'!M177</f>
        <v>0</v>
      </c>
    </row>
    <row r="178" spans="1:13">
      <c r="A178" s="455">
        <v>2025</v>
      </c>
      <c r="C178" s="406" t="s">
        <v>650</v>
      </c>
      <c r="D178" s="453">
        <f>'T3 ANSP'!D178+'T3 MET'!D178+'T3 MET'!D178</f>
        <v>-7894.4413850276333</v>
      </c>
      <c r="E178" s="490">
        <f>'T3 ANSP'!E178+'T3 MET'!E178+'T3 MET'!E178</f>
        <v>0</v>
      </c>
      <c r="F178" s="491">
        <f>'T3 ANSP'!F178+'T3 MET'!F178+'T3 MET'!F178</f>
        <v>0</v>
      </c>
      <c r="G178" s="491">
        <f>'T3 ANSP'!G178+'T3 MET'!G178+'T3 MET'!G178</f>
        <v>0</v>
      </c>
      <c r="H178" s="491">
        <f>'T3 ANSP'!H178+'T3 MET'!H178+'T3 MET'!H178</f>
        <v>0</v>
      </c>
      <c r="I178" s="1065">
        <f>'T3 ANSP'!I178+'T3 MET'!I178+'T3 MET'!I178</f>
        <v>0</v>
      </c>
      <c r="J178" s="491">
        <f>'T3 ANSP'!J178+'T3 MET'!J178+'T3 MET'!J178</f>
        <v>-7894.4413850276333</v>
      </c>
      <c r="K178" s="491">
        <f>'T3 ANSP'!K178+'T3 MET'!K178+'T3 MET'!K178</f>
        <v>0</v>
      </c>
      <c r="L178" s="491">
        <f>'T3 ANSP'!L178+'T3 MET'!L178+'T3 MET'!L178</f>
        <v>0</v>
      </c>
      <c r="M178" s="440">
        <f>'T3 ANSP'!M178+'T3 MET'!M178+'T3 MET'!M178</f>
        <v>0</v>
      </c>
    </row>
    <row r="179" spans="1:13">
      <c r="A179" s="455">
        <v>2026</v>
      </c>
      <c r="C179" s="406" t="s">
        <v>651</v>
      </c>
      <c r="D179" s="453">
        <f>'T3 ANSP'!D179+'T3 MET'!D179+'T3 MET'!D179</f>
        <v>0</v>
      </c>
      <c r="E179" s="490">
        <f>'T3 ANSP'!E179+'T3 MET'!E179+'T3 MET'!E179</f>
        <v>0</v>
      </c>
      <c r="F179" s="491">
        <f>'T3 ANSP'!F179+'T3 MET'!F179+'T3 MET'!F179</f>
        <v>0</v>
      </c>
      <c r="G179" s="491">
        <f>'T3 ANSP'!G179+'T3 MET'!G179+'T3 MET'!G179</f>
        <v>0</v>
      </c>
      <c r="H179" s="491">
        <f>'T3 ANSP'!H179+'T3 MET'!H179+'T3 MET'!H179</f>
        <v>0</v>
      </c>
      <c r="I179" s="1065">
        <f>'T3 ANSP'!I179+'T3 MET'!I179+'T3 MET'!I179</f>
        <v>0</v>
      </c>
      <c r="J179" s="491">
        <f>'T3 ANSP'!J179+'T3 MET'!J179+'T3 MET'!J179</f>
        <v>0</v>
      </c>
      <c r="K179" s="491">
        <f>'T3 ANSP'!K179+'T3 MET'!K179+'T3 MET'!K179</f>
        <v>0</v>
      </c>
      <c r="L179" s="491">
        <f>'T3 ANSP'!L179+'T3 MET'!L179+'T3 MET'!L179</f>
        <v>0</v>
      </c>
      <c r="M179" s="440">
        <f>'T3 ANSP'!M179+'T3 MET'!M179+'T3 MET'!M179</f>
        <v>0</v>
      </c>
    </row>
    <row r="180" spans="1:13">
      <c r="A180" s="455">
        <v>2027</v>
      </c>
      <c r="C180" s="406" t="s">
        <v>652</v>
      </c>
      <c r="D180" s="453">
        <f>'T3 ANSP'!D180+'T3 MET'!D180+'T3 MET'!D180</f>
        <v>0</v>
      </c>
      <c r="E180" s="1413">
        <f>'T3 ANSP'!E180+'T3 MET'!E180+'T3 MET'!E180</f>
        <v>0</v>
      </c>
      <c r="F180" s="522">
        <f>'T3 ANSP'!F180+'T3 MET'!F180+'T3 MET'!F180</f>
        <v>0</v>
      </c>
      <c r="G180" s="522">
        <f>'T3 ANSP'!G180+'T3 MET'!G180+'T3 MET'!G180</f>
        <v>0</v>
      </c>
      <c r="H180" s="522">
        <f>'T3 ANSP'!H180+'T3 MET'!H180+'T3 MET'!H180</f>
        <v>0</v>
      </c>
      <c r="I180" s="1414">
        <f>'T3 ANSP'!I180+'T3 MET'!I180+'T3 MET'!I180</f>
        <v>0</v>
      </c>
      <c r="J180" s="491">
        <f>'T3 ANSP'!J180+'T3 MET'!J180+'T3 MET'!J180</f>
        <v>0</v>
      </c>
      <c r="K180" s="491">
        <f>'T3 ANSP'!K180+'T3 MET'!K180+'T3 MET'!K180</f>
        <v>0</v>
      </c>
      <c r="L180" s="491">
        <f>'T3 ANSP'!L180+'T3 MET'!L180+'T3 MET'!L180</f>
        <v>0</v>
      </c>
      <c r="M180" s="1077">
        <f>'T3 ANSP'!M180+'T3 MET'!M180+'T3 MET'!M180</f>
        <v>0</v>
      </c>
    </row>
    <row r="181" spans="1:13">
      <c r="A181" s="455" t="s">
        <v>505</v>
      </c>
      <c r="C181" s="431" t="s">
        <v>653</v>
      </c>
      <c r="D181" s="432">
        <f>'T3 ANSP'!D181+'T3 MET'!D181+'T3 MET'!D181</f>
        <v>-58820.812441210757</v>
      </c>
      <c r="E181" s="480">
        <f>'T3 ANSP'!E181+'T3 MET'!E181+'T3 MET'!E181</f>
        <v>-166.68438219613321</v>
      </c>
      <c r="F181" s="434">
        <f>'T3 ANSP'!F181+'T3 MET'!F181+'T3 MET'!F181</f>
        <v>-10399.967789999999</v>
      </c>
      <c r="G181" s="434">
        <f>'T3 ANSP'!G181+'T3 MET'!G181+'T3 MET'!G181</f>
        <v>-31197.739202655848</v>
      </c>
      <c r="H181" s="434">
        <f>'T3 ANSP'!H181+'T3 MET'!H181+'T3 MET'!H181</f>
        <v>-5847.4033714322459</v>
      </c>
      <c r="I181" s="434">
        <f>'T3 ANSP'!I181+'T3 MET'!I181+'T3 MET'!I181</f>
        <v>-3314.5763098988937</v>
      </c>
      <c r="J181" s="434">
        <f>'T3 ANSP'!J181+'T3 MET'!J181+'T3 MET'!J181</f>
        <v>-7894.4413850276333</v>
      </c>
      <c r="K181" s="434">
        <f>'T3 ANSP'!K181+'T3 MET'!K181+'T3 MET'!K181</f>
        <v>0</v>
      </c>
      <c r="L181" s="434">
        <f>'T3 ANSP'!L181+'T3 MET'!L181+'T3 MET'!L181</f>
        <v>0</v>
      </c>
      <c r="M181" s="1076">
        <f>'T3 ANSP'!M181+'T3 MET'!M181+'T3 MET'!M181</f>
        <v>0</v>
      </c>
    </row>
    <row r="182" spans="1:13">
      <c r="A182" s="758"/>
      <c r="D182" s="435"/>
      <c r="E182" s="435"/>
      <c r="F182" s="607"/>
      <c r="G182" s="435"/>
      <c r="H182" s="435"/>
      <c r="I182" s="435"/>
      <c r="J182" s="435"/>
      <c r="K182" s="435"/>
      <c r="L182" s="435"/>
      <c r="M182" s="435"/>
    </row>
    <row r="183" spans="1:13">
      <c r="A183" s="455">
        <v>2017</v>
      </c>
      <c r="C183" s="398" t="s">
        <v>654</v>
      </c>
      <c r="D183" s="475">
        <f>'T3 ANSP'!D183+'T3 MET'!D183+'T3 MET'!D183</f>
        <v>0</v>
      </c>
      <c r="E183" s="486">
        <f>'T3 ANSP'!E183+'T3 MET'!E183+'T3 MET'!E183</f>
        <v>0</v>
      </c>
      <c r="F183" s="487">
        <f>'T3 ANSP'!F183+'T3 MET'!F183+'T3 MET'!F183</f>
        <v>0</v>
      </c>
      <c r="G183" s="487">
        <f>'T3 ANSP'!G183+'T3 MET'!G183+'T3 MET'!G183</f>
        <v>0</v>
      </c>
      <c r="H183" s="487">
        <f>'T3 ANSP'!H183+'T3 MET'!H183+'T3 MET'!H183</f>
        <v>0</v>
      </c>
      <c r="I183" s="1064">
        <f>'T3 ANSP'!I183+'T3 MET'!I183+'T3 MET'!I183</f>
        <v>0</v>
      </c>
      <c r="J183" s="1064">
        <f>'T3 ANSP'!J183+'T3 MET'!J183+'T3 MET'!J183</f>
        <v>0</v>
      </c>
      <c r="K183" s="1064">
        <f>'T3 ANSP'!K183+'T3 MET'!K183+'T3 MET'!K183</f>
        <v>0</v>
      </c>
      <c r="L183" s="1064">
        <f>'T3 ANSP'!L183+'T3 MET'!L183+'T3 MET'!L183</f>
        <v>0</v>
      </c>
      <c r="M183" s="437">
        <f>'T3 ANSP'!M183+'T3 MET'!M183+'T3 MET'!M183</f>
        <v>0</v>
      </c>
    </row>
    <row r="184" spans="1:13">
      <c r="A184" s="455">
        <v>2018</v>
      </c>
      <c r="C184" s="406" t="s">
        <v>655</v>
      </c>
      <c r="D184" s="477">
        <f>'T3 ANSP'!D184+'T3 MET'!D184+'T3 MET'!D184</f>
        <v>0</v>
      </c>
      <c r="E184" s="490">
        <f>'T3 ANSP'!E184+'T3 MET'!E184+'T3 MET'!E184</f>
        <v>0</v>
      </c>
      <c r="F184" s="491">
        <f>'T3 ANSP'!F184+'T3 MET'!F184+'T3 MET'!F184</f>
        <v>0</v>
      </c>
      <c r="G184" s="491">
        <f>'T3 ANSP'!G184+'T3 MET'!G184+'T3 MET'!G184</f>
        <v>0</v>
      </c>
      <c r="H184" s="491">
        <f>'T3 ANSP'!H184+'T3 MET'!H184+'T3 MET'!H184</f>
        <v>0</v>
      </c>
      <c r="I184" s="1065">
        <f>'T3 ANSP'!I184+'T3 MET'!I184+'T3 MET'!I184</f>
        <v>0</v>
      </c>
      <c r="J184" s="1065">
        <f>'T3 ANSP'!J184+'T3 MET'!J184+'T3 MET'!J184</f>
        <v>0</v>
      </c>
      <c r="K184" s="1065">
        <f>'T3 ANSP'!K184+'T3 MET'!K184+'T3 MET'!K184</f>
        <v>0</v>
      </c>
      <c r="L184" s="1065">
        <f>'T3 ANSP'!L184+'T3 MET'!L184+'T3 MET'!L184</f>
        <v>0</v>
      </c>
      <c r="M184" s="440">
        <f>'T3 ANSP'!M184+'T3 MET'!M184+'T3 MET'!M184</f>
        <v>0</v>
      </c>
    </row>
    <row r="185" spans="1:13">
      <c r="A185" s="455">
        <v>2019</v>
      </c>
      <c r="C185" s="406" t="s">
        <v>656</v>
      </c>
      <c r="D185" s="477">
        <f>'T3 ANSP'!D185+'T3 MET'!D185+'T3 MET'!D185</f>
        <v>0</v>
      </c>
      <c r="E185" s="490">
        <f>'T3 ANSP'!E185+'T3 MET'!E185+'T3 MET'!E185</f>
        <v>0</v>
      </c>
      <c r="F185" s="491">
        <f>'T3 ANSP'!F185+'T3 MET'!F185+'T3 MET'!F185</f>
        <v>0</v>
      </c>
      <c r="G185" s="491">
        <f>'T3 ANSP'!G185+'T3 MET'!G185+'T3 MET'!G185</f>
        <v>0</v>
      </c>
      <c r="H185" s="491">
        <f>'T3 ANSP'!H185+'T3 MET'!H185+'T3 MET'!H185</f>
        <v>0</v>
      </c>
      <c r="I185" s="1065">
        <f>'T3 ANSP'!I185+'T3 MET'!I185+'T3 MET'!I185</f>
        <v>0</v>
      </c>
      <c r="J185" s="1065">
        <f>'T3 ANSP'!J185+'T3 MET'!J185+'T3 MET'!J185</f>
        <v>0</v>
      </c>
      <c r="K185" s="1065">
        <f>'T3 ANSP'!K185+'T3 MET'!K185+'T3 MET'!K185</f>
        <v>0</v>
      </c>
      <c r="L185" s="1065">
        <f>'T3 ANSP'!L185+'T3 MET'!L185+'T3 MET'!L185</f>
        <v>0</v>
      </c>
      <c r="M185" s="440">
        <f>'T3 ANSP'!M185+'T3 MET'!M185+'T3 MET'!M185</f>
        <v>0</v>
      </c>
    </row>
    <row r="186" spans="1:13">
      <c r="A186" s="455" t="s">
        <v>493</v>
      </c>
      <c r="C186" s="413" t="s">
        <v>657</v>
      </c>
      <c r="D186" s="414">
        <f>'T3 ANSP'!D186+'T3 MET'!D186+'T3 MET'!D186</f>
        <v>0</v>
      </c>
      <c r="E186" s="415">
        <f>'T3 ANSP'!E186+'T3 MET'!E186+'T3 MET'!E186</f>
        <v>0</v>
      </c>
      <c r="F186" s="416">
        <f>'T3 ANSP'!F186+'T3 MET'!F186+'T3 MET'!F186</f>
        <v>0</v>
      </c>
      <c r="G186" s="416">
        <f>'T3 ANSP'!G186+'T3 MET'!G186+'T3 MET'!G186</f>
        <v>0</v>
      </c>
      <c r="H186" s="416">
        <f>'T3 ANSP'!H186+'T3 MET'!H186+'T3 MET'!H186</f>
        <v>0</v>
      </c>
      <c r="I186" s="416">
        <f>'T3 ANSP'!I186+'T3 MET'!I186+'T3 MET'!I186</f>
        <v>0</v>
      </c>
      <c r="J186" s="416">
        <f>'T3 ANSP'!J186+'T3 MET'!J186+'T3 MET'!J186</f>
        <v>0</v>
      </c>
      <c r="K186" s="416">
        <f>'T3 ANSP'!K186+'T3 MET'!K186+'T3 MET'!K186</f>
        <v>0</v>
      </c>
      <c r="L186" s="416">
        <f>'T3 ANSP'!L186+'T3 MET'!L186+'T3 MET'!L186</f>
        <v>0</v>
      </c>
      <c r="M186" s="1051">
        <f>'T3 ANSP'!M186+'T3 MET'!M186+'T3 MET'!M186</f>
        <v>0</v>
      </c>
    </row>
    <row r="187" spans="1:13">
      <c r="A187" s="455">
        <v>2020</v>
      </c>
      <c r="C187" s="398" t="s">
        <v>658</v>
      </c>
      <c r="D187" s="452">
        <f>'T3 ANSP'!D187+'T3 MET'!D187+'T3 MET'!D187</f>
        <v>0</v>
      </c>
      <c r="E187" s="486">
        <f>'T3 ANSP'!E187+'T3 MET'!E187+'T3 MET'!E187</f>
        <v>0</v>
      </c>
      <c r="F187" s="487">
        <f>'T3 ANSP'!F187+'T3 MET'!F187+'T3 MET'!F187</f>
        <v>0</v>
      </c>
      <c r="G187" s="487">
        <f>'T3 ANSP'!G187+'T3 MET'!G187+'T3 MET'!G187</f>
        <v>0</v>
      </c>
      <c r="H187" s="487">
        <f>'T3 ANSP'!H187+'T3 MET'!H187+'T3 MET'!H187</f>
        <v>0</v>
      </c>
      <c r="I187" s="487">
        <f>'T3 ANSP'!I187+'T3 MET'!I187+'T3 MET'!I187</f>
        <v>0</v>
      </c>
      <c r="J187" s="487">
        <f>'T3 ANSP'!J187+'T3 MET'!J187+'T3 MET'!J187</f>
        <v>0</v>
      </c>
      <c r="K187" s="487">
        <f>'T3 ANSP'!K187+'T3 MET'!K187+'T3 MET'!K187</f>
        <v>0</v>
      </c>
      <c r="L187" s="487">
        <f>'T3 ANSP'!L187+'T3 MET'!L187+'T3 MET'!L187</f>
        <v>0</v>
      </c>
      <c r="M187" s="437">
        <f>'T3 ANSP'!M187+'T3 MET'!M187+'T3 MET'!M187</f>
        <v>0</v>
      </c>
    </row>
    <row r="188" spans="1:13">
      <c r="A188" s="455">
        <v>2021</v>
      </c>
      <c r="C188" s="406" t="s">
        <v>659</v>
      </c>
      <c r="D188" s="453">
        <f>'T3 ANSP'!D188+'T3 MET'!D188+'T3 MET'!D188</f>
        <v>0</v>
      </c>
      <c r="E188" s="490">
        <f>'T3 ANSP'!E188+'T3 MET'!E188+'T3 MET'!E188</f>
        <v>0</v>
      </c>
      <c r="F188" s="491">
        <f>'T3 ANSP'!F188+'T3 MET'!F188+'T3 MET'!F188</f>
        <v>0</v>
      </c>
      <c r="G188" s="491">
        <f>'T3 ANSP'!G188+'T3 MET'!G188+'T3 MET'!G188</f>
        <v>0</v>
      </c>
      <c r="H188" s="491">
        <f>'T3 ANSP'!H188+'T3 MET'!H188+'T3 MET'!H188</f>
        <v>0</v>
      </c>
      <c r="I188" s="491">
        <f>'T3 ANSP'!I188+'T3 MET'!I188+'T3 MET'!I188</f>
        <v>0</v>
      </c>
      <c r="J188" s="491">
        <f>'T3 ANSP'!J188+'T3 MET'!J188+'T3 MET'!J188</f>
        <v>0</v>
      </c>
      <c r="K188" s="491">
        <f>'T3 ANSP'!K188+'T3 MET'!K188+'T3 MET'!K188</f>
        <v>0</v>
      </c>
      <c r="L188" s="491">
        <f>'T3 ANSP'!L188+'T3 MET'!L188+'T3 MET'!L188</f>
        <v>0</v>
      </c>
      <c r="M188" s="440">
        <f>'T3 ANSP'!M188+'T3 MET'!M188+'T3 MET'!M188</f>
        <v>0</v>
      </c>
    </row>
    <row r="189" spans="1:13">
      <c r="A189" s="455">
        <v>2022</v>
      </c>
      <c r="C189" s="406" t="s">
        <v>660</v>
      </c>
      <c r="D189" s="453">
        <f>'T3 ANSP'!D189+'T3 MET'!D189+'T3 MET'!D189</f>
        <v>0</v>
      </c>
      <c r="E189" s="490">
        <f>'T3 ANSP'!E189+'T3 MET'!E189+'T3 MET'!E189</f>
        <v>0</v>
      </c>
      <c r="F189" s="491">
        <f>'T3 ANSP'!F189+'T3 MET'!F189+'T3 MET'!F189</f>
        <v>0</v>
      </c>
      <c r="G189" s="512">
        <f>'T3 ANSP'!G189+'T3 MET'!G189+'T3 MET'!G189</f>
        <v>0</v>
      </c>
      <c r="H189" s="512">
        <f>'T3 ANSP'!H189+'T3 MET'!H189+'T3 MET'!H189</f>
        <v>0</v>
      </c>
      <c r="I189" s="512">
        <f>'T3 ANSP'!I189+'T3 MET'!I189+'T3 MET'!I189</f>
        <v>0</v>
      </c>
      <c r="J189" s="512">
        <f>'T3 ANSP'!J189+'T3 MET'!J189+'T3 MET'!J189</f>
        <v>0</v>
      </c>
      <c r="K189" s="512">
        <f>'T3 ANSP'!K189+'T3 MET'!K189+'T3 MET'!K189</f>
        <v>0</v>
      </c>
      <c r="L189" s="512">
        <f>'T3 ANSP'!L189+'T3 MET'!L189+'T3 MET'!L189</f>
        <v>0</v>
      </c>
      <c r="M189" s="440">
        <f>'T3 ANSP'!M189+'T3 MET'!M189+'T3 MET'!M189</f>
        <v>0</v>
      </c>
    </row>
    <row r="190" spans="1:13">
      <c r="A190" s="455" t="s">
        <v>498</v>
      </c>
      <c r="C190" s="413" t="s">
        <v>661</v>
      </c>
      <c r="D190" s="414">
        <f>'T3 ANSP'!D190+'T3 MET'!D190+'T3 MET'!D190</f>
        <v>0</v>
      </c>
      <c r="E190" s="416">
        <f>'T3 ANSP'!E190+'T3 MET'!E190+'T3 MET'!E190</f>
        <v>0</v>
      </c>
      <c r="F190" s="416">
        <f>'T3 ANSP'!F190+'T3 MET'!F190+'T3 MET'!F190</f>
        <v>0</v>
      </c>
      <c r="G190" s="416">
        <f>'T3 ANSP'!G190+'T3 MET'!G190+'T3 MET'!G190</f>
        <v>0</v>
      </c>
      <c r="H190" s="416">
        <f>'T3 ANSP'!H190+'T3 MET'!H190+'T3 MET'!H190</f>
        <v>0</v>
      </c>
      <c r="I190" s="416">
        <f>'T3 ANSP'!I190+'T3 MET'!I190+'T3 MET'!I190</f>
        <v>0</v>
      </c>
      <c r="J190" s="416">
        <f>'T3 ANSP'!J190+'T3 MET'!J190+'T3 MET'!J190</f>
        <v>0</v>
      </c>
      <c r="K190" s="416">
        <f>'T3 ANSP'!K190+'T3 MET'!K190+'T3 MET'!K190</f>
        <v>0</v>
      </c>
      <c r="L190" s="416">
        <f>'T3 ANSP'!L190+'T3 MET'!L190+'T3 MET'!L190</f>
        <v>0</v>
      </c>
      <c r="M190" s="1051">
        <f>'T3 ANSP'!M190+'T3 MET'!M190+'T3 MET'!M190</f>
        <v>0</v>
      </c>
    </row>
    <row r="191" spans="1:13">
      <c r="A191" s="455">
        <v>2023</v>
      </c>
      <c r="C191" s="406" t="s">
        <v>662</v>
      </c>
      <c r="D191" s="453">
        <f>'T3 ANSP'!D191+'T3 MET'!D191+'T3 MET'!D191</f>
        <v>0</v>
      </c>
      <c r="E191" s="490">
        <f>'T3 ANSP'!E191+'T3 MET'!E191+'T3 MET'!E191</f>
        <v>0</v>
      </c>
      <c r="F191" s="491">
        <f>'T3 ANSP'!F191+'T3 MET'!F191+'T3 MET'!F191</f>
        <v>0</v>
      </c>
      <c r="G191" s="491">
        <f>'T3 ANSP'!G191+'T3 MET'!G191+'T3 MET'!G191</f>
        <v>0</v>
      </c>
      <c r="H191" s="512">
        <f>'T3 ANSP'!H191+'T3 MET'!H191+'T3 MET'!H191</f>
        <v>0</v>
      </c>
      <c r="I191" s="512">
        <f>'T3 ANSP'!I191+'T3 MET'!I191+'T3 MET'!I191</f>
        <v>0</v>
      </c>
      <c r="J191" s="1066">
        <f>'T3 ANSP'!J191+'T3 MET'!J191+'T3 MET'!J191</f>
        <v>0</v>
      </c>
      <c r="K191" s="491">
        <f>'T3 ANSP'!K191+'T3 MET'!K191+'T3 MET'!K191</f>
        <v>0</v>
      </c>
      <c r="L191" s="491">
        <f>'T3 ANSP'!L191+'T3 MET'!L191+'T3 MET'!L191</f>
        <v>0</v>
      </c>
      <c r="M191" s="440">
        <f>'T3 ANSP'!M191+'T3 MET'!M191+'T3 MET'!M191</f>
        <v>0</v>
      </c>
    </row>
    <row r="192" spans="1:13">
      <c r="A192" s="455">
        <v>2024</v>
      </c>
      <c r="C192" s="406" t="s">
        <v>663</v>
      </c>
      <c r="D192" s="453">
        <f>'T3 ANSP'!D192+'T3 MET'!D192+'T3 MET'!D192</f>
        <v>0</v>
      </c>
      <c r="E192" s="490">
        <f>'T3 ANSP'!E192+'T3 MET'!E192+'T3 MET'!E192</f>
        <v>0</v>
      </c>
      <c r="F192" s="491">
        <f>'T3 ANSP'!F192+'T3 MET'!F192+'T3 MET'!F192</f>
        <v>0</v>
      </c>
      <c r="G192" s="491">
        <f>'T3 ANSP'!G192+'T3 MET'!G192+'T3 MET'!G192</f>
        <v>0</v>
      </c>
      <c r="H192" s="491">
        <f>'T3 ANSP'!H192+'T3 MET'!H192+'T3 MET'!H192</f>
        <v>0</v>
      </c>
      <c r="I192" s="512">
        <f>'T3 ANSP'!I192+'T3 MET'!I192+'T3 MET'!I192</f>
        <v>0</v>
      </c>
      <c r="J192" s="1066">
        <f>'T3 ANSP'!J192+'T3 MET'!J192+'T3 MET'!J192</f>
        <v>0</v>
      </c>
      <c r="K192" s="491">
        <f>'T3 ANSP'!K192+'T3 MET'!K192+'T3 MET'!K192</f>
        <v>0</v>
      </c>
      <c r="L192" s="491">
        <f>'T3 ANSP'!L192+'T3 MET'!L192+'T3 MET'!L192</f>
        <v>0</v>
      </c>
      <c r="M192" s="440">
        <f>'T3 ANSP'!M192+'T3 MET'!M192+'T3 MET'!M192</f>
        <v>0</v>
      </c>
    </row>
    <row r="193" spans="1:13">
      <c r="A193" s="455">
        <v>2025</v>
      </c>
      <c r="C193" s="406" t="s">
        <v>664</v>
      </c>
      <c r="D193" s="453">
        <f>'T3 ANSP'!D193+'T3 MET'!D193+'T3 MET'!D193</f>
        <v>0</v>
      </c>
      <c r="E193" s="490">
        <f>'T3 ANSP'!E193+'T3 MET'!E193+'T3 MET'!E193</f>
        <v>0</v>
      </c>
      <c r="F193" s="491">
        <f>'T3 ANSP'!F193+'T3 MET'!F193+'T3 MET'!F193</f>
        <v>0</v>
      </c>
      <c r="G193" s="491">
        <f>'T3 ANSP'!G193+'T3 MET'!G193+'T3 MET'!G193</f>
        <v>0</v>
      </c>
      <c r="H193" s="491">
        <f>'T3 ANSP'!H193+'T3 MET'!H193+'T3 MET'!H193</f>
        <v>0</v>
      </c>
      <c r="I193" s="491">
        <f>'T3 ANSP'!I193+'T3 MET'!I193+'T3 MET'!I193</f>
        <v>0</v>
      </c>
      <c r="J193" s="512">
        <f>'T3 ANSP'!J193+'T3 MET'!J193+'T3 MET'!J193</f>
        <v>0</v>
      </c>
      <c r="K193" s="491">
        <f>'T3 ANSP'!K193+'T3 MET'!K193+'T3 MET'!K193</f>
        <v>0</v>
      </c>
      <c r="L193" s="491">
        <f>'T3 ANSP'!L193+'T3 MET'!L193+'T3 MET'!L193</f>
        <v>0</v>
      </c>
      <c r="M193" s="440">
        <f>'T3 ANSP'!M193+'T3 MET'!M193+'T3 MET'!M193</f>
        <v>0</v>
      </c>
    </row>
    <row r="194" spans="1:13">
      <c r="A194" s="455">
        <v>2026</v>
      </c>
      <c r="C194" s="406" t="s">
        <v>665</v>
      </c>
      <c r="D194" s="453">
        <f>'T3 ANSP'!D194+'T3 MET'!D194+'T3 MET'!D194</f>
        <v>0</v>
      </c>
      <c r="E194" s="490">
        <f>'T3 ANSP'!E194+'T3 MET'!E194+'T3 MET'!E194</f>
        <v>0</v>
      </c>
      <c r="F194" s="491">
        <f>'T3 ANSP'!F194+'T3 MET'!F194+'T3 MET'!F194</f>
        <v>0</v>
      </c>
      <c r="G194" s="491">
        <f>'T3 ANSP'!G194+'T3 MET'!G194+'T3 MET'!G194</f>
        <v>0</v>
      </c>
      <c r="H194" s="491">
        <f>'T3 ANSP'!H194+'T3 MET'!H194+'T3 MET'!H194</f>
        <v>0</v>
      </c>
      <c r="I194" s="491">
        <f>'T3 ANSP'!I194+'T3 MET'!I194+'T3 MET'!I194</f>
        <v>0</v>
      </c>
      <c r="J194" s="491">
        <f>'T3 ANSP'!J194+'T3 MET'!J194+'T3 MET'!J194</f>
        <v>0</v>
      </c>
      <c r="K194" s="491">
        <f>'T3 ANSP'!K194+'T3 MET'!K194+'T3 MET'!K194</f>
        <v>0</v>
      </c>
      <c r="L194" s="491">
        <f>'T3 ANSP'!L194+'T3 MET'!L194+'T3 MET'!L194</f>
        <v>0</v>
      </c>
      <c r="M194" s="440">
        <f>'T3 ANSP'!M194+'T3 MET'!M194+'T3 MET'!M194</f>
        <v>0</v>
      </c>
    </row>
    <row r="195" spans="1:13">
      <c r="A195" s="455">
        <v>2027</v>
      </c>
      <c r="C195" s="406" t="s">
        <v>666</v>
      </c>
      <c r="D195" s="454">
        <f>'T3 ANSP'!D195+'T3 MET'!D195+'T3 MET'!D195</f>
        <v>0</v>
      </c>
      <c r="E195" s="1413">
        <f>'T3 ANSP'!E195+'T3 MET'!E195+'T3 MET'!E195</f>
        <v>0</v>
      </c>
      <c r="F195" s="522">
        <f>'T3 ANSP'!F195+'T3 MET'!F195+'T3 MET'!F195</f>
        <v>0</v>
      </c>
      <c r="G195" s="522">
        <f>'T3 ANSP'!G195+'T3 MET'!G195+'T3 MET'!G195</f>
        <v>0</v>
      </c>
      <c r="H195" s="522">
        <f>'T3 ANSP'!H195+'T3 MET'!H195+'T3 MET'!H195</f>
        <v>0</v>
      </c>
      <c r="I195" s="522">
        <f>'T3 ANSP'!I195+'T3 MET'!I195+'T3 MET'!I195</f>
        <v>0</v>
      </c>
      <c r="J195" s="522">
        <f>'T3 ANSP'!J195+'T3 MET'!J195+'T3 MET'!J195</f>
        <v>0</v>
      </c>
      <c r="K195" s="522">
        <f>'T3 ANSP'!K195+'T3 MET'!K195+'T3 MET'!K195</f>
        <v>0</v>
      </c>
      <c r="L195" s="491">
        <f>'T3 ANSP'!L195+'T3 MET'!L195+'T3 MET'!L195</f>
        <v>0</v>
      </c>
      <c r="M195" s="1077">
        <f>'T3 ANSP'!M195+'T3 MET'!M195+'T3 MET'!M195</f>
        <v>0</v>
      </c>
    </row>
    <row r="196" spans="1:13">
      <c r="A196" s="455" t="s">
        <v>505</v>
      </c>
      <c r="C196" s="431" t="s">
        <v>667</v>
      </c>
      <c r="D196" s="432">
        <f>'T3 ANSP'!D196+'T3 MET'!D196+'T3 MET'!D196</f>
        <v>0</v>
      </c>
      <c r="E196" s="480">
        <f>'T3 ANSP'!E196+'T3 MET'!E196+'T3 MET'!E196</f>
        <v>0</v>
      </c>
      <c r="F196" s="434">
        <f>'T3 ANSP'!F196+'T3 MET'!F196+'T3 MET'!F196</f>
        <v>0</v>
      </c>
      <c r="G196" s="434">
        <f>'T3 ANSP'!G196+'T3 MET'!G196+'T3 MET'!G196</f>
        <v>0</v>
      </c>
      <c r="H196" s="434">
        <f>'T3 ANSP'!H196+'T3 MET'!H196+'T3 MET'!H196</f>
        <v>0</v>
      </c>
      <c r="I196" s="434">
        <f>'T3 ANSP'!I196+'T3 MET'!I196+'T3 MET'!I196</f>
        <v>0</v>
      </c>
      <c r="J196" s="434">
        <f>'T3 ANSP'!J196+'T3 MET'!J196+'T3 MET'!J196</f>
        <v>0</v>
      </c>
      <c r="K196" s="434">
        <f>'T3 ANSP'!K196+'T3 MET'!K196+'T3 MET'!K196</f>
        <v>0</v>
      </c>
      <c r="L196" s="434">
        <f>'T3 ANSP'!L196+'T3 MET'!L196+'T3 MET'!L196</f>
        <v>0</v>
      </c>
      <c r="M196" s="1076">
        <f>'T3 ANSP'!M196+'T3 MET'!M196+'T3 MET'!M196</f>
        <v>0</v>
      </c>
    </row>
    <row r="197" spans="1:13">
      <c r="A197" s="758"/>
      <c r="D197" s="435"/>
      <c r="E197" s="435"/>
      <c r="F197" s="607"/>
      <c r="G197" s="435"/>
      <c r="H197" s="435"/>
      <c r="I197" s="435"/>
      <c r="J197" s="435"/>
      <c r="K197" s="435"/>
      <c r="L197" s="435"/>
      <c r="M197" s="435"/>
    </row>
    <row r="198" spans="1:13">
      <c r="A198" s="455">
        <v>2017</v>
      </c>
      <c r="C198" s="398" t="s">
        <v>668</v>
      </c>
      <c r="D198" s="517">
        <f>'T3 ANSP'!D198+'T3 MET'!D198+'T3 MET'!D198</f>
        <v>0</v>
      </c>
      <c r="E198" s="486">
        <f>'T3 ANSP'!E198+'T3 MET'!E198+'T3 MET'!E198</f>
        <v>0</v>
      </c>
      <c r="F198" s="487">
        <f>'T3 ANSP'!F198+'T3 MET'!F198+'T3 MET'!F198</f>
        <v>0</v>
      </c>
      <c r="G198" s="487">
        <f>'T3 ANSP'!G198+'T3 MET'!G198+'T3 MET'!G198</f>
        <v>0</v>
      </c>
      <c r="H198" s="487">
        <f>'T3 ANSP'!H198+'T3 MET'!H198+'T3 MET'!H198</f>
        <v>0</v>
      </c>
      <c r="I198" s="487">
        <f>'T3 ANSP'!I198+'T3 MET'!I198+'T3 MET'!I198</f>
        <v>0</v>
      </c>
      <c r="J198" s="487">
        <f>'T3 ANSP'!J198+'T3 MET'!J198+'T3 MET'!J198</f>
        <v>0</v>
      </c>
      <c r="K198" s="487">
        <f>'T3 ANSP'!K198+'T3 MET'!K198+'T3 MET'!K198</f>
        <v>0</v>
      </c>
      <c r="L198" s="487">
        <f>'T3 ANSP'!L198+'T3 MET'!L198+'T3 MET'!L198</f>
        <v>0</v>
      </c>
      <c r="M198" s="437">
        <f>'T3 ANSP'!M198+'T3 MET'!M198+'T3 MET'!M198</f>
        <v>0</v>
      </c>
    </row>
    <row r="199" spans="1:13">
      <c r="A199" s="455">
        <v>2018</v>
      </c>
      <c r="C199" s="406" t="s">
        <v>669</v>
      </c>
      <c r="D199" s="518">
        <f>'T3 ANSP'!D199+'T3 MET'!D199+'T3 MET'!D199</f>
        <v>0</v>
      </c>
      <c r="E199" s="490">
        <f>'T3 ANSP'!E199+'T3 MET'!E199+'T3 MET'!E199</f>
        <v>0</v>
      </c>
      <c r="F199" s="491">
        <f>'T3 ANSP'!F199+'T3 MET'!F199+'T3 MET'!F199</f>
        <v>0</v>
      </c>
      <c r="G199" s="491">
        <f>'T3 ANSP'!G199+'T3 MET'!G199+'T3 MET'!G199</f>
        <v>0</v>
      </c>
      <c r="H199" s="491">
        <f>'T3 ANSP'!H199+'T3 MET'!H199+'T3 MET'!H199</f>
        <v>0</v>
      </c>
      <c r="I199" s="491">
        <f>'T3 ANSP'!I199+'T3 MET'!I199+'T3 MET'!I199</f>
        <v>0</v>
      </c>
      <c r="J199" s="491">
        <f>'T3 ANSP'!J199+'T3 MET'!J199+'T3 MET'!J199</f>
        <v>0</v>
      </c>
      <c r="K199" s="491">
        <f>'T3 ANSP'!K199+'T3 MET'!K199+'T3 MET'!K199</f>
        <v>0</v>
      </c>
      <c r="L199" s="491">
        <f>'T3 ANSP'!L199+'T3 MET'!L199+'T3 MET'!L199</f>
        <v>0</v>
      </c>
      <c r="M199" s="440">
        <f>'T3 ANSP'!M199+'T3 MET'!M199+'T3 MET'!M199</f>
        <v>0</v>
      </c>
    </row>
    <row r="200" spans="1:13">
      <c r="A200" s="455">
        <v>2019</v>
      </c>
      <c r="C200" s="406" t="s">
        <v>670</v>
      </c>
      <c r="D200" s="407">
        <f>'T3 ANSP'!D200+'T3 MET'!D200+'T3 MET'!D200</f>
        <v>0</v>
      </c>
      <c r="E200" s="490">
        <f>'T3 ANSP'!E200+'T3 MET'!E200+'T3 MET'!E200</f>
        <v>0</v>
      </c>
      <c r="F200" s="491">
        <f>'T3 ANSP'!F200+'T3 MET'!F200+'T3 MET'!F200</f>
        <v>0</v>
      </c>
      <c r="G200" s="491">
        <f>'T3 ANSP'!G200+'T3 MET'!G200+'T3 MET'!G200</f>
        <v>0</v>
      </c>
      <c r="H200" s="491">
        <f>'T3 ANSP'!H200+'T3 MET'!H200+'T3 MET'!H200</f>
        <v>0</v>
      </c>
      <c r="I200" s="491">
        <f>'T3 ANSP'!I200+'T3 MET'!I200+'T3 MET'!I200</f>
        <v>0</v>
      </c>
      <c r="J200" s="491">
        <f>'T3 ANSP'!J200+'T3 MET'!J200+'T3 MET'!J200</f>
        <v>0</v>
      </c>
      <c r="K200" s="491">
        <f>'T3 ANSP'!K200+'T3 MET'!K200+'T3 MET'!K200</f>
        <v>0</v>
      </c>
      <c r="L200" s="491">
        <f>'T3 ANSP'!L200+'T3 MET'!L200+'T3 MET'!L200</f>
        <v>0</v>
      </c>
      <c r="M200" s="440">
        <f>'T3 ANSP'!M200+'T3 MET'!M200+'T3 MET'!M200</f>
        <v>0</v>
      </c>
    </row>
    <row r="201" spans="1:13">
      <c r="A201" s="455" t="s">
        <v>493</v>
      </c>
      <c r="C201" s="413" t="s">
        <v>671</v>
      </c>
      <c r="D201" s="414">
        <f>'T3 ANSP'!D201+'T3 MET'!D201+'T3 MET'!D201</f>
        <v>0</v>
      </c>
      <c r="E201" s="415">
        <f>'T3 ANSP'!E201+'T3 MET'!E201+'T3 MET'!E201</f>
        <v>0</v>
      </c>
      <c r="F201" s="416">
        <f>'T3 ANSP'!F201+'T3 MET'!F201+'T3 MET'!F201</f>
        <v>0</v>
      </c>
      <c r="G201" s="416">
        <f>'T3 ANSP'!G201+'T3 MET'!G201+'T3 MET'!G201</f>
        <v>0</v>
      </c>
      <c r="H201" s="416">
        <f>'T3 ANSP'!H201+'T3 MET'!H201+'T3 MET'!H201</f>
        <v>0</v>
      </c>
      <c r="I201" s="416">
        <f>'T3 ANSP'!I201+'T3 MET'!I201+'T3 MET'!I201</f>
        <v>0</v>
      </c>
      <c r="J201" s="416">
        <f>'T3 ANSP'!J201+'T3 MET'!J201+'T3 MET'!J201</f>
        <v>0</v>
      </c>
      <c r="K201" s="416">
        <f>'T3 ANSP'!K201+'T3 MET'!K201+'T3 MET'!K201</f>
        <v>0</v>
      </c>
      <c r="L201" s="416">
        <f>'T3 ANSP'!L201+'T3 MET'!L201+'T3 MET'!L201</f>
        <v>0</v>
      </c>
      <c r="M201" s="1051">
        <f>'T3 ANSP'!M201+'T3 MET'!M201+'T3 MET'!M201</f>
        <v>0</v>
      </c>
    </row>
    <row r="202" spans="1:13">
      <c r="A202" s="982">
        <v>2020</v>
      </c>
      <c r="C202" s="436" t="s">
        <v>672</v>
      </c>
      <c r="D202" s="452">
        <f>'T3 ANSP'!D202+'T3 MET'!D202+'T3 MET'!D202</f>
        <v>-7306.3912952168575</v>
      </c>
      <c r="E202" s="486">
        <f>'T3 ANSP'!E202+'T3 MET'!E202+'T3 MET'!E202</f>
        <v>-7306.3912952168575</v>
      </c>
      <c r="F202" s="487">
        <f>'T3 ANSP'!F202+'T3 MET'!F202+'T3 MET'!F202</f>
        <v>0</v>
      </c>
      <c r="G202" s="487">
        <f>'T3 ANSP'!G202+'T3 MET'!G202+'T3 MET'!G202</f>
        <v>0</v>
      </c>
      <c r="H202" s="487">
        <f>'T3 ANSP'!H202+'T3 MET'!H202+'T3 MET'!H202</f>
        <v>0</v>
      </c>
      <c r="I202" s="487">
        <f>'T3 ANSP'!I202+'T3 MET'!I202+'T3 MET'!I202</f>
        <v>0</v>
      </c>
      <c r="J202" s="487">
        <f>'T3 ANSP'!J202+'T3 MET'!J202+'T3 MET'!J202</f>
        <v>0</v>
      </c>
      <c r="K202" s="487">
        <f>'T3 ANSP'!K202+'T3 MET'!K202+'T3 MET'!K202</f>
        <v>0</v>
      </c>
      <c r="L202" s="487">
        <f>'T3 ANSP'!L202+'T3 MET'!L202+'T3 MET'!L202</f>
        <v>0</v>
      </c>
      <c r="M202" s="437">
        <f>'T3 ANSP'!M202+'T3 MET'!M202+'T3 MET'!M202</f>
        <v>0</v>
      </c>
    </row>
    <row r="203" spans="1:13">
      <c r="A203" s="455">
        <v>2021</v>
      </c>
      <c r="C203" s="406" t="s">
        <v>673</v>
      </c>
      <c r="D203" s="453">
        <f>'T3 ANSP'!D203+'T3 MET'!D203+'T3 MET'!D203</f>
        <v>-2637.4695319517432</v>
      </c>
      <c r="E203" s="490">
        <f>'T3 ANSP'!E203+'T3 MET'!E203+'T3 MET'!E203</f>
        <v>0</v>
      </c>
      <c r="F203" s="491">
        <f>'T3 ANSP'!F203+'T3 MET'!F203+'T3 MET'!F203</f>
        <v>-2637.4695319517432</v>
      </c>
      <c r="G203" s="491">
        <f>'T3 ANSP'!G203+'T3 MET'!G203+'T3 MET'!G203</f>
        <v>0</v>
      </c>
      <c r="H203" s="491">
        <f>'T3 ANSP'!H203+'T3 MET'!H203+'T3 MET'!H203</f>
        <v>0</v>
      </c>
      <c r="I203" s="491">
        <f>'T3 ANSP'!I203+'T3 MET'!I203+'T3 MET'!I203</f>
        <v>0</v>
      </c>
      <c r="J203" s="491">
        <f>'T3 ANSP'!J203+'T3 MET'!J203+'T3 MET'!J203</f>
        <v>0</v>
      </c>
      <c r="K203" s="491">
        <f>'T3 ANSP'!K203+'T3 MET'!K203+'T3 MET'!K203</f>
        <v>0</v>
      </c>
      <c r="L203" s="491">
        <f>'T3 ANSP'!L203+'T3 MET'!L203+'T3 MET'!L203</f>
        <v>0</v>
      </c>
      <c r="M203" s="440">
        <f>'T3 ANSP'!M203+'T3 MET'!M203+'T3 MET'!M203</f>
        <v>0</v>
      </c>
    </row>
    <row r="204" spans="1:13">
      <c r="A204" s="455">
        <v>2022</v>
      </c>
      <c r="C204" s="406" t="s">
        <v>674</v>
      </c>
      <c r="D204" s="453">
        <f>'T3 ANSP'!D204+'T3 MET'!D204+'T3 MET'!D204</f>
        <v>0</v>
      </c>
      <c r="E204" s="490">
        <f>'T3 ANSP'!E204+'T3 MET'!E204+'T3 MET'!E204</f>
        <v>0</v>
      </c>
      <c r="F204" s="490">
        <f>'T3 ANSP'!F204+'T3 MET'!F204+'T3 MET'!F204</f>
        <v>0</v>
      </c>
      <c r="G204" s="491">
        <f>'T3 ANSP'!G204+'T3 MET'!G204+'T3 MET'!G204</f>
        <v>0</v>
      </c>
      <c r="H204" s="491">
        <f>'T3 ANSP'!H204+'T3 MET'!H204+'T3 MET'!H204</f>
        <v>0</v>
      </c>
      <c r="I204" s="491">
        <f>'T3 ANSP'!I204+'T3 MET'!I204+'T3 MET'!I204</f>
        <v>0</v>
      </c>
      <c r="J204" s="491">
        <f>'T3 ANSP'!J204+'T3 MET'!J204+'T3 MET'!J204</f>
        <v>0</v>
      </c>
      <c r="K204" s="491">
        <f>'T3 ANSP'!K204+'T3 MET'!K204+'T3 MET'!K204</f>
        <v>0</v>
      </c>
      <c r="L204" s="491">
        <f>'T3 ANSP'!L204+'T3 MET'!L204+'T3 MET'!L204</f>
        <v>0</v>
      </c>
      <c r="M204" s="440">
        <f>'T3 ANSP'!M204+'T3 MET'!M204+'T3 MET'!M204</f>
        <v>0</v>
      </c>
    </row>
    <row r="205" spans="1:13">
      <c r="A205" s="455" t="s">
        <v>498</v>
      </c>
      <c r="C205" s="413" t="s">
        <v>675</v>
      </c>
      <c r="D205" s="414">
        <f>'T3 ANSP'!D205+'T3 MET'!D205+'T3 MET'!D205</f>
        <v>-9943.8608271686007</v>
      </c>
      <c r="E205" s="416">
        <f>'T3 ANSP'!E205+'T3 MET'!E205+'T3 MET'!E205</f>
        <v>-7306.3912952168575</v>
      </c>
      <c r="F205" s="416">
        <f>'T3 ANSP'!F205+'T3 MET'!F205+'T3 MET'!F205</f>
        <v>-2637.4695319517432</v>
      </c>
      <c r="G205" s="416">
        <f>'T3 ANSP'!G205+'T3 MET'!G205+'T3 MET'!G205</f>
        <v>0</v>
      </c>
      <c r="H205" s="416">
        <f>'T3 ANSP'!H205+'T3 MET'!H205+'T3 MET'!H205</f>
        <v>0</v>
      </c>
      <c r="I205" s="416">
        <f>'T3 ANSP'!I205+'T3 MET'!I205+'T3 MET'!I205</f>
        <v>0</v>
      </c>
      <c r="J205" s="416">
        <f>'T3 ANSP'!J205+'T3 MET'!J205+'T3 MET'!J205</f>
        <v>0</v>
      </c>
      <c r="K205" s="416">
        <f>'T3 ANSP'!K205+'T3 MET'!K205+'T3 MET'!K205</f>
        <v>0</v>
      </c>
      <c r="L205" s="416">
        <f>'T3 ANSP'!L205+'T3 MET'!L205+'T3 MET'!L205</f>
        <v>0</v>
      </c>
      <c r="M205" s="1051">
        <f>'T3 ANSP'!M205+'T3 MET'!M205+'T3 MET'!M205</f>
        <v>0</v>
      </c>
    </row>
    <row r="206" spans="1:13">
      <c r="A206" s="455">
        <v>2023</v>
      </c>
      <c r="C206" s="406" t="s">
        <v>676</v>
      </c>
      <c r="D206" s="453">
        <f>'T3 ANSP'!D206+'T3 MET'!D206+'T3 MET'!D206</f>
        <v>0</v>
      </c>
      <c r="E206" s="490">
        <f>'T3 ANSP'!E206+'T3 MET'!E206+'T3 MET'!E206</f>
        <v>0</v>
      </c>
      <c r="F206" s="491">
        <f>'T3 ANSP'!F206+'T3 MET'!F206+'T3 MET'!F206</f>
        <v>0</v>
      </c>
      <c r="G206" s="491">
        <f>'T3 ANSP'!G206+'T3 MET'!G206+'T3 MET'!G206</f>
        <v>0</v>
      </c>
      <c r="H206" s="491">
        <f>'T3 ANSP'!H206+'T3 MET'!H206+'T3 MET'!H206</f>
        <v>0</v>
      </c>
      <c r="I206" s="491">
        <f>'T3 ANSP'!I206+'T3 MET'!I206+'T3 MET'!I206</f>
        <v>0</v>
      </c>
      <c r="J206" s="491">
        <f>'T3 ANSP'!J206+'T3 MET'!J206+'T3 MET'!J206</f>
        <v>0</v>
      </c>
      <c r="K206" s="491">
        <f>'T3 ANSP'!K206+'T3 MET'!K206+'T3 MET'!K206</f>
        <v>0</v>
      </c>
      <c r="L206" s="491">
        <f>'T3 ANSP'!L206+'T3 MET'!L206+'T3 MET'!L206</f>
        <v>0</v>
      </c>
      <c r="M206" s="440">
        <f>'T3 ANSP'!M206+'T3 MET'!M206+'T3 MET'!M206</f>
        <v>0</v>
      </c>
    </row>
    <row r="207" spans="1:13">
      <c r="A207" s="455">
        <v>2024</v>
      </c>
      <c r="C207" s="406" t="s">
        <v>677</v>
      </c>
      <c r="D207" s="453">
        <f>'T3 ANSP'!D207+'T3 MET'!D207+'T3 MET'!D207</f>
        <v>0</v>
      </c>
      <c r="E207" s="490">
        <f>'T3 ANSP'!E207+'T3 MET'!E207+'T3 MET'!E207</f>
        <v>0</v>
      </c>
      <c r="F207" s="491">
        <f>'T3 ANSP'!F207+'T3 MET'!F207+'T3 MET'!F207</f>
        <v>0</v>
      </c>
      <c r="G207" s="491">
        <f>'T3 ANSP'!G207+'T3 MET'!G207+'T3 MET'!G207</f>
        <v>0</v>
      </c>
      <c r="H207" s="491">
        <f>'T3 ANSP'!H207+'T3 MET'!H207+'T3 MET'!H207</f>
        <v>0</v>
      </c>
      <c r="I207" s="491">
        <f>'T3 ANSP'!I207+'T3 MET'!I207+'T3 MET'!I207</f>
        <v>0</v>
      </c>
      <c r="J207" s="491">
        <f>'T3 ANSP'!J207+'T3 MET'!J207+'T3 MET'!J207</f>
        <v>0</v>
      </c>
      <c r="K207" s="491">
        <f>'T3 ANSP'!K207+'T3 MET'!K207+'T3 MET'!K207</f>
        <v>0</v>
      </c>
      <c r="L207" s="491">
        <f>'T3 ANSP'!L207+'T3 MET'!L207+'T3 MET'!L207</f>
        <v>0</v>
      </c>
      <c r="M207" s="440">
        <f>'T3 ANSP'!M207+'T3 MET'!M207+'T3 MET'!M207</f>
        <v>0</v>
      </c>
    </row>
    <row r="208" spans="1:13">
      <c r="A208" s="455">
        <v>2025</v>
      </c>
      <c r="C208" s="406" t="s">
        <v>678</v>
      </c>
      <c r="D208" s="453">
        <f>'T3 ANSP'!D208+'T3 MET'!D208+'T3 MET'!D208</f>
        <v>0</v>
      </c>
      <c r="E208" s="490">
        <f>'T3 ANSP'!E208+'T3 MET'!E208+'T3 MET'!E208</f>
        <v>0</v>
      </c>
      <c r="F208" s="491">
        <f>'T3 ANSP'!F208+'T3 MET'!F208+'T3 MET'!F208</f>
        <v>0</v>
      </c>
      <c r="G208" s="491">
        <f>'T3 ANSP'!G208+'T3 MET'!G208+'T3 MET'!G208</f>
        <v>0</v>
      </c>
      <c r="H208" s="491">
        <f>'T3 ANSP'!H208+'T3 MET'!H208+'T3 MET'!H208</f>
        <v>0</v>
      </c>
      <c r="I208" s="491">
        <f>'T3 ANSP'!I208+'T3 MET'!I208+'T3 MET'!I208</f>
        <v>0</v>
      </c>
      <c r="J208" s="491">
        <f>'T3 ANSP'!J208+'T3 MET'!J208+'T3 MET'!J208</f>
        <v>0</v>
      </c>
      <c r="K208" s="491">
        <f>'T3 ANSP'!K208+'T3 MET'!K208+'T3 MET'!K208</f>
        <v>0</v>
      </c>
      <c r="L208" s="491">
        <f>'T3 ANSP'!L208+'T3 MET'!L208+'T3 MET'!L208</f>
        <v>0</v>
      </c>
      <c r="M208" s="440">
        <f>'T3 ANSP'!M208+'T3 MET'!M208+'T3 MET'!M208</f>
        <v>0</v>
      </c>
    </row>
    <row r="209" spans="1:13">
      <c r="A209" s="455">
        <v>2026</v>
      </c>
      <c r="C209" s="406" t="s">
        <v>679</v>
      </c>
      <c r="D209" s="453">
        <f>'T3 ANSP'!D209+'T3 MET'!D209+'T3 MET'!D209</f>
        <v>0</v>
      </c>
      <c r="E209" s="490">
        <f>'T3 ANSP'!E209+'T3 MET'!E209+'T3 MET'!E209</f>
        <v>0</v>
      </c>
      <c r="F209" s="491">
        <f>'T3 ANSP'!F209+'T3 MET'!F209+'T3 MET'!F209</f>
        <v>0</v>
      </c>
      <c r="G209" s="491">
        <f>'T3 ANSP'!G209+'T3 MET'!G209+'T3 MET'!G209</f>
        <v>0</v>
      </c>
      <c r="H209" s="491">
        <f>'T3 ANSP'!H209+'T3 MET'!H209+'T3 MET'!H209</f>
        <v>0</v>
      </c>
      <c r="I209" s="491">
        <f>'T3 ANSP'!I209+'T3 MET'!I209+'T3 MET'!I209</f>
        <v>0</v>
      </c>
      <c r="J209" s="491">
        <f>'T3 ANSP'!J209+'T3 MET'!J209+'T3 MET'!J209</f>
        <v>0</v>
      </c>
      <c r="K209" s="491">
        <f>'T3 ANSP'!K209+'T3 MET'!K209+'T3 MET'!K209</f>
        <v>0</v>
      </c>
      <c r="L209" s="491">
        <f>'T3 ANSP'!L209+'T3 MET'!L209+'T3 MET'!L209</f>
        <v>0</v>
      </c>
      <c r="M209" s="440">
        <f>'T3 ANSP'!M209+'T3 MET'!M209+'T3 MET'!M209</f>
        <v>0</v>
      </c>
    </row>
    <row r="210" spans="1:13">
      <c r="A210" s="455">
        <v>2027</v>
      </c>
      <c r="C210" s="406" t="s">
        <v>680</v>
      </c>
      <c r="D210" s="454">
        <f>'T3 ANSP'!D210+'T3 MET'!D210+'T3 MET'!D210</f>
        <v>0</v>
      </c>
      <c r="E210" s="1413">
        <f>'T3 ANSP'!E210+'T3 MET'!E210+'T3 MET'!E210</f>
        <v>0</v>
      </c>
      <c r="F210" s="522">
        <f>'T3 ANSP'!F210+'T3 MET'!F210+'T3 MET'!F210</f>
        <v>0</v>
      </c>
      <c r="G210" s="522">
        <f>'T3 ANSP'!G210+'T3 MET'!G210+'T3 MET'!G210</f>
        <v>0</v>
      </c>
      <c r="H210" s="522">
        <f>'T3 ANSP'!H210+'T3 MET'!H210+'T3 MET'!H210</f>
        <v>0</v>
      </c>
      <c r="I210" s="522">
        <f>'T3 ANSP'!I210+'T3 MET'!I210+'T3 MET'!I210</f>
        <v>0</v>
      </c>
      <c r="J210" s="522">
        <f>'T3 ANSP'!J210+'T3 MET'!J210+'T3 MET'!J210</f>
        <v>0</v>
      </c>
      <c r="K210" s="522">
        <f>'T3 ANSP'!K210+'T3 MET'!K210+'T3 MET'!K210</f>
        <v>0</v>
      </c>
      <c r="L210" s="522">
        <f>'T3 ANSP'!L210+'T3 MET'!L210+'T3 MET'!L210</f>
        <v>0</v>
      </c>
      <c r="M210" s="1077">
        <f>'T3 ANSP'!M210+'T3 MET'!M210+'T3 MET'!M210</f>
        <v>0</v>
      </c>
    </row>
    <row r="211" spans="1:13">
      <c r="A211" s="455" t="s">
        <v>505</v>
      </c>
      <c r="C211" s="431" t="s">
        <v>681</v>
      </c>
      <c r="D211" s="432">
        <f>'T3 ANSP'!D211+'T3 MET'!D211+'T3 MET'!D211</f>
        <v>-9943.8608271686007</v>
      </c>
      <c r="E211" s="480">
        <f>'T3 ANSP'!E211+'T3 MET'!E211+'T3 MET'!E211</f>
        <v>-7306.3912952168575</v>
      </c>
      <c r="F211" s="434">
        <f>'T3 ANSP'!F211+'T3 MET'!F211+'T3 MET'!F211</f>
        <v>-2637.4695319517432</v>
      </c>
      <c r="G211" s="434">
        <f>'T3 ANSP'!G211+'T3 MET'!G211+'T3 MET'!G211</f>
        <v>0</v>
      </c>
      <c r="H211" s="434">
        <f>'T3 ANSP'!H211+'T3 MET'!H211+'T3 MET'!H211</f>
        <v>0</v>
      </c>
      <c r="I211" s="481">
        <f>'T3 ANSP'!I211+'T3 MET'!I211+'T3 MET'!I211</f>
        <v>0</v>
      </c>
      <c r="J211" s="481">
        <f>'T3 ANSP'!J211+'T3 MET'!J211+'T3 MET'!J211</f>
        <v>0</v>
      </c>
      <c r="K211" s="481">
        <f>'T3 ANSP'!K211+'T3 MET'!K211+'T3 MET'!K211</f>
        <v>0</v>
      </c>
      <c r="L211" s="481">
        <f>'T3 ANSP'!L211+'T3 MET'!L211+'T3 MET'!L211</f>
        <v>0</v>
      </c>
      <c r="M211" s="1076">
        <f>'T3 ANSP'!M211+'T3 MET'!M211+'T3 MET'!M211</f>
        <v>0</v>
      </c>
    </row>
    <row r="212" spans="1:13">
      <c r="A212" s="758"/>
      <c r="D212" s="435"/>
      <c r="E212" s="435"/>
      <c r="F212" s="607"/>
      <c r="G212" s="435"/>
      <c r="H212" s="435"/>
      <c r="I212" s="435"/>
      <c r="J212" s="435"/>
      <c r="K212" s="435"/>
      <c r="L212" s="435"/>
      <c r="M212" s="435"/>
    </row>
    <row r="213" spans="1:13">
      <c r="A213" s="455">
        <v>2017</v>
      </c>
      <c r="C213" s="398" t="s">
        <v>682</v>
      </c>
      <c r="D213" s="399">
        <f>'T3 ANSP'!D213+'T3 MET'!D213+'T3 MET'!D213</f>
        <v>0</v>
      </c>
      <c r="E213" s="438">
        <f>'T3 ANSP'!E213+'T3 MET'!E213+'T3 MET'!E213</f>
        <v>0</v>
      </c>
      <c r="F213" s="421">
        <f>'T3 ANSP'!F213+'T3 MET'!F213+'T3 MET'!F213</f>
        <v>0</v>
      </c>
      <c r="G213" s="421">
        <f>'T3 ANSP'!G213+'T3 MET'!G213+'T3 MET'!G213</f>
        <v>0</v>
      </c>
      <c r="H213" s="421">
        <f>'T3 ANSP'!H213+'T3 MET'!H213+'T3 MET'!H213</f>
        <v>0</v>
      </c>
      <c r="I213" s="1408">
        <f>'T3 ANSP'!I213+'T3 MET'!I213+'T3 MET'!I213</f>
        <v>0</v>
      </c>
      <c r="J213" s="1408">
        <f>'T3 ANSP'!J213+'T3 MET'!J213+'T3 MET'!J213</f>
        <v>0</v>
      </c>
      <c r="K213" s="1408">
        <f>'T3 ANSP'!K213+'T3 MET'!K213+'T3 MET'!K213</f>
        <v>0</v>
      </c>
      <c r="L213" s="1408">
        <f>'T3 ANSP'!L213+'T3 MET'!L213+'T3 MET'!L213</f>
        <v>0</v>
      </c>
      <c r="M213" s="437">
        <f>'T3 ANSP'!M213+'T3 MET'!M213+'T3 MET'!M213</f>
        <v>0</v>
      </c>
    </row>
    <row r="214" spans="1:13">
      <c r="A214" s="455">
        <v>2018</v>
      </c>
      <c r="C214" s="406" t="s">
        <v>683</v>
      </c>
      <c r="D214" s="407">
        <f>'T3 ANSP'!D214+'T3 MET'!D214+'T3 MET'!D214</f>
        <v>0</v>
      </c>
      <c r="E214" s="441">
        <f>'T3 ANSP'!E214+'T3 MET'!E214+'T3 MET'!E214</f>
        <v>0</v>
      </c>
      <c r="F214" s="423">
        <f>'T3 ANSP'!F214+'T3 MET'!F214+'T3 MET'!F214</f>
        <v>0</v>
      </c>
      <c r="G214" s="423">
        <f>'T3 ANSP'!G214+'T3 MET'!G214+'T3 MET'!G214</f>
        <v>0</v>
      </c>
      <c r="H214" s="423">
        <f>'T3 ANSP'!H214+'T3 MET'!H214+'T3 MET'!H214</f>
        <v>0</v>
      </c>
      <c r="I214" s="1061">
        <f>'T3 ANSP'!I214+'T3 MET'!I214+'T3 MET'!I214</f>
        <v>0</v>
      </c>
      <c r="J214" s="1061">
        <f>'T3 ANSP'!J214+'T3 MET'!J214+'T3 MET'!J214</f>
        <v>0</v>
      </c>
      <c r="K214" s="1061">
        <f>'T3 ANSP'!K214+'T3 MET'!K214+'T3 MET'!K214</f>
        <v>0</v>
      </c>
      <c r="L214" s="1061">
        <f>'T3 ANSP'!L214+'T3 MET'!L214+'T3 MET'!L214</f>
        <v>0</v>
      </c>
      <c r="M214" s="440">
        <f>'T3 ANSP'!M214+'T3 MET'!M214+'T3 MET'!M214</f>
        <v>0</v>
      </c>
    </row>
    <row r="215" spans="1:13">
      <c r="A215" s="455">
        <v>2019</v>
      </c>
      <c r="C215" s="406" t="s">
        <v>684</v>
      </c>
      <c r="D215" s="407">
        <f>'T3 ANSP'!D215+'T3 MET'!D215+'T3 MET'!D215</f>
        <v>0</v>
      </c>
      <c r="E215" s="441">
        <f>'T3 ANSP'!E215+'T3 MET'!E215+'T3 MET'!E215</f>
        <v>0</v>
      </c>
      <c r="F215" s="423">
        <f>'T3 ANSP'!F215+'T3 MET'!F215+'T3 MET'!F215</f>
        <v>0</v>
      </c>
      <c r="G215" s="423">
        <f>'T3 ANSP'!G215+'T3 MET'!G215+'T3 MET'!G215</f>
        <v>0</v>
      </c>
      <c r="H215" s="423">
        <f>'T3 ANSP'!H215+'T3 MET'!H215+'T3 MET'!H215</f>
        <v>0</v>
      </c>
      <c r="I215" s="1061">
        <f>'T3 ANSP'!I215+'T3 MET'!I215+'T3 MET'!I215</f>
        <v>0</v>
      </c>
      <c r="J215" s="1061">
        <f>'T3 ANSP'!J215+'T3 MET'!J215+'T3 MET'!J215</f>
        <v>0</v>
      </c>
      <c r="K215" s="1061">
        <f>'T3 ANSP'!K215+'T3 MET'!K215+'T3 MET'!K215</f>
        <v>0</v>
      </c>
      <c r="L215" s="1061">
        <f>'T3 ANSP'!L215+'T3 MET'!L215+'T3 MET'!L215</f>
        <v>0</v>
      </c>
      <c r="M215" s="440">
        <f>'T3 ANSP'!M215+'T3 MET'!M215+'T3 MET'!M215</f>
        <v>0</v>
      </c>
    </row>
    <row r="216" spans="1:13">
      <c r="A216" s="455" t="s">
        <v>493</v>
      </c>
      <c r="C216" s="413" t="s">
        <v>685</v>
      </c>
      <c r="D216" s="414">
        <f>'T3 ANSP'!D216+'T3 MET'!D216+'T3 MET'!D216</f>
        <v>0</v>
      </c>
      <c r="E216" s="415">
        <f>'T3 ANSP'!E216+'T3 MET'!E216+'T3 MET'!E216</f>
        <v>0</v>
      </c>
      <c r="F216" s="416">
        <f>'T3 ANSP'!F216+'T3 MET'!F216+'T3 MET'!F216</f>
        <v>0</v>
      </c>
      <c r="G216" s="416">
        <f>'T3 ANSP'!G216+'T3 MET'!G216+'T3 MET'!G216</f>
        <v>0</v>
      </c>
      <c r="H216" s="416">
        <f>'T3 ANSP'!H216+'T3 MET'!H216+'T3 MET'!H216</f>
        <v>0</v>
      </c>
      <c r="I216" s="451">
        <f>'T3 ANSP'!I216+'T3 MET'!I216+'T3 MET'!I216</f>
        <v>0</v>
      </c>
      <c r="J216" s="451">
        <f>'T3 ANSP'!J216+'T3 MET'!J216+'T3 MET'!J216</f>
        <v>0</v>
      </c>
      <c r="K216" s="451">
        <f>'T3 ANSP'!K216+'T3 MET'!K216+'T3 MET'!K216</f>
        <v>0</v>
      </c>
      <c r="L216" s="451">
        <f>'T3 ANSP'!L216+'T3 MET'!L216+'T3 MET'!L216</f>
        <v>0</v>
      </c>
      <c r="M216" s="1051">
        <f>'T3 ANSP'!M216+'T3 MET'!M216+'T3 MET'!M216</f>
        <v>0</v>
      </c>
    </row>
    <row r="217" spans="1:13">
      <c r="A217" s="455">
        <v>2020</v>
      </c>
      <c r="C217" s="398" t="s">
        <v>686</v>
      </c>
      <c r="D217" s="452">
        <f>'T3 ANSP'!D217+'T3 MET'!D217+'T3 MET'!D217</f>
        <v>0</v>
      </c>
      <c r="E217" s="438">
        <f>'T3 ANSP'!E217+'T3 MET'!E217+'T3 MET'!E217</f>
        <v>0</v>
      </c>
      <c r="F217" s="421">
        <f>'T3 ANSP'!F217+'T3 MET'!F217+'T3 MET'!F217</f>
        <v>0</v>
      </c>
      <c r="G217" s="421">
        <f>'T3 ANSP'!G217+'T3 MET'!G217+'T3 MET'!G217</f>
        <v>0</v>
      </c>
      <c r="H217" s="421">
        <f>'T3 ANSP'!H217+'T3 MET'!H217+'T3 MET'!H217</f>
        <v>0</v>
      </c>
      <c r="I217" s="1408">
        <f>'T3 ANSP'!I217+'T3 MET'!I217+'T3 MET'!I217</f>
        <v>0</v>
      </c>
      <c r="J217" s="1408">
        <f>'T3 ANSP'!J217+'T3 MET'!J217+'T3 MET'!J217</f>
        <v>0</v>
      </c>
      <c r="K217" s="1408">
        <f>'T3 ANSP'!K217+'T3 MET'!K217+'T3 MET'!K217</f>
        <v>0</v>
      </c>
      <c r="L217" s="1408">
        <f>'T3 ANSP'!L217+'T3 MET'!L217+'T3 MET'!L217</f>
        <v>0</v>
      </c>
      <c r="M217" s="437">
        <f>'T3 ANSP'!M217+'T3 MET'!M217+'T3 MET'!M217</f>
        <v>0</v>
      </c>
    </row>
    <row r="218" spans="1:13">
      <c r="A218" s="455">
        <v>2021</v>
      </c>
      <c r="C218" s="406" t="s">
        <v>687</v>
      </c>
      <c r="D218" s="453">
        <f>'T3 ANSP'!D218+'T3 MET'!D218+'T3 MET'!D218</f>
        <v>0</v>
      </c>
      <c r="E218" s="441">
        <f>'T3 ANSP'!E218+'T3 MET'!E218+'T3 MET'!E218</f>
        <v>0</v>
      </c>
      <c r="F218" s="423">
        <f>'T3 ANSP'!F218+'T3 MET'!F218+'T3 MET'!F218</f>
        <v>0</v>
      </c>
      <c r="G218" s="423">
        <f>'T3 ANSP'!G218+'T3 MET'!G218+'T3 MET'!G218</f>
        <v>0</v>
      </c>
      <c r="H218" s="423">
        <f>'T3 ANSP'!H218+'T3 MET'!H218+'T3 MET'!H218</f>
        <v>0</v>
      </c>
      <c r="I218" s="1061">
        <f>'T3 ANSP'!I218+'T3 MET'!I218+'T3 MET'!I218</f>
        <v>0</v>
      </c>
      <c r="J218" s="1061">
        <f>'T3 ANSP'!J218+'T3 MET'!J218+'T3 MET'!J218</f>
        <v>0</v>
      </c>
      <c r="K218" s="1061">
        <f>'T3 ANSP'!K218+'T3 MET'!K218+'T3 MET'!K218</f>
        <v>0</v>
      </c>
      <c r="L218" s="1061">
        <f>'T3 ANSP'!L218+'T3 MET'!L218+'T3 MET'!L218</f>
        <v>0</v>
      </c>
      <c r="M218" s="440">
        <f>'T3 ANSP'!M218+'T3 MET'!M218+'T3 MET'!M218</f>
        <v>0</v>
      </c>
    </row>
    <row r="219" spans="1:13">
      <c r="A219" s="455">
        <v>2022</v>
      </c>
      <c r="C219" s="406" t="s">
        <v>688</v>
      </c>
      <c r="D219" s="453">
        <f>'T3 ANSP'!D219+'T3 MET'!D219+'T3 MET'!D219</f>
        <v>0</v>
      </c>
      <c r="E219" s="441">
        <f>'T3 ANSP'!E219+'T3 MET'!E219+'T3 MET'!E219</f>
        <v>0</v>
      </c>
      <c r="F219" s="423">
        <f>'T3 ANSP'!F219+'T3 MET'!F219+'T3 MET'!F219</f>
        <v>0</v>
      </c>
      <c r="G219" s="423">
        <f>'T3 ANSP'!G219+'T3 MET'!G219+'T3 MET'!G219</f>
        <v>0</v>
      </c>
      <c r="H219" s="423">
        <f>'T3 ANSP'!H219+'T3 MET'!H219+'T3 MET'!H219</f>
        <v>0</v>
      </c>
      <c r="I219" s="1061">
        <f>'T3 ANSP'!I219+'T3 MET'!I219+'T3 MET'!I219</f>
        <v>0</v>
      </c>
      <c r="J219" s="1061">
        <f>'T3 ANSP'!J219+'T3 MET'!J219+'T3 MET'!J219</f>
        <v>0</v>
      </c>
      <c r="K219" s="1061">
        <f>'T3 ANSP'!K219+'T3 MET'!K219+'T3 MET'!K219</f>
        <v>0</v>
      </c>
      <c r="L219" s="1061">
        <f>'T3 ANSP'!L219+'T3 MET'!L219+'T3 MET'!L219</f>
        <v>0</v>
      </c>
      <c r="M219" s="440">
        <f>'T3 ANSP'!M219+'T3 MET'!M219+'T3 MET'!M219</f>
        <v>0</v>
      </c>
    </row>
    <row r="220" spans="1:13">
      <c r="A220" s="455" t="s">
        <v>498</v>
      </c>
      <c r="C220" s="413" t="s">
        <v>689</v>
      </c>
      <c r="D220" s="414">
        <f>'T3 ANSP'!D220+'T3 MET'!D220+'T3 MET'!D220</f>
        <v>0</v>
      </c>
      <c r="E220" s="415">
        <f>'T3 ANSP'!E220+'T3 MET'!E220+'T3 MET'!E220</f>
        <v>0</v>
      </c>
      <c r="F220" s="416">
        <f>'T3 ANSP'!F220+'T3 MET'!F220+'T3 MET'!F220</f>
        <v>0</v>
      </c>
      <c r="G220" s="416">
        <f>'T3 ANSP'!G220+'T3 MET'!G220+'T3 MET'!G220</f>
        <v>0</v>
      </c>
      <c r="H220" s="416">
        <f>'T3 ANSP'!H220+'T3 MET'!H220+'T3 MET'!H220</f>
        <v>0</v>
      </c>
      <c r="I220" s="451">
        <f>'T3 ANSP'!I220+'T3 MET'!I220+'T3 MET'!I220</f>
        <v>0</v>
      </c>
      <c r="J220" s="451">
        <f>'T3 ANSP'!J220+'T3 MET'!J220+'T3 MET'!J220</f>
        <v>0</v>
      </c>
      <c r="K220" s="451">
        <f>'T3 ANSP'!K220+'T3 MET'!K220+'T3 MET'!K220</f>
        <v>0</v>
      </c>
      <c r="L220" s="451">
        <f>'T3 ANSP'!L220+'T3 MET'!L220+'T3 MET'!L220</f>
        <v>0</v>
      </c>
      <c r="M220" s="1051">
        <f>'T3 ANSP'!M220+'T3 MET'!M220+'T3 MET'!M220</f>
        <v>0</v>
      </c>
    </row>
    <row r="221" spans="1:13">
      <c r="A221" s="455">
        <v>2023</v>
      </c>
      <c r="C221" s="406" t="s">
        <v>690</v>
      </c>
      <c r="D221" s="453">
        <f>'T3 ANSP'!D221+'T3 MET'!D221+'T3 MET'!D221</f>
        <v>0</v>
      </c>
      <c r="E221" s="441">
        <f>'T3 ANSP'!E221+'T3 MET'!E221+'T3 MET'!E221</f>
        <v>0</v>
      </c>
      <c r="F221" s="423">
        <f>'T3 ANSP'!F221+'T3 MET'!F221+'T3 MET'!F221</f>
        <v>0</v>
      </c>
      <c r="G221" s="423">
        <f>'T3 ANSP'!G221+'T3 MET'!G221+'T3 MET'!G221</f>
        <v>0</v>
      </c>
      <c r="H221" s="423">
        <f>'T3 ANSP'!H221+'T3 MET'!H221+'T3 MET'!H221</f>
        <v>0</v>
      </c>
      <c r="I221" s="1061">
        <f>'T3 ANSP'!I221+'T3 MET'!I221+'T3 MET'!I221</f>
        <v>0</v>
      </c>
      <c r="J221" s="1061">
        <f>'T3 ANSP'!J221+'T3 MET'!J221+'T3 MET'!J221</f>
        <v>0</v>
      </c>
      <c r="K221" s="1061">
        <f>'T3 ANSP'!K221+'T3 MET'!K221+'T3 MET'!K221</f>
        <v>0</v>
      </c>
      <c r="L221" s="1061">
        <f>'T3 ANSP'!L221+'T3 MET'!L221+'T3 MET'!L221</f>
        <v>0</v>
      </c>
      <c r="M221" s="440">
        <f>'T3 ANSP'!M221+'T3 MET'!M221+'T3 MET'!M221</f>
        <v>0</v>
      </c>
    </row>
    <row r="222" spans="1:13">
      <c r="A222" s="455">
        <v>2024</v>
      </c>
      <c r="C222" s="406" t="s">
        <v>691</v>
      </c>
      <c r="D222" s="453">
        <f>'T3 ANSP'!D222+'T3 MET'!D222+'T3 MET'!D222</f>
        <v>0</v>
      </c>
      <c r="E222" s="441">
        <f>'T3 ANSP'!E222+'T3 MET'!E222+'T3 MET'!E222</f>
        <v>0</v>
      </c>
      <c r="F222" s="423">
        <f>'T3 ANSP'!F222+'T3 MET'!F222+'T3 MET'!F222</f>
        <v>0</v>
      </c>
      <c r="G222" s="423">
        <f>'T3 ANSP'!G222+'T3 MET'!G222+'T3 MET'!G222</f>
        <v>0</v>
      </c>
      <c r="H222" s="423">
        <f>'T3 ANSP'!H222+'T3 MET'!H222+'T3 MET'!H222</f>
        <v>0</v>
      </c>
      <c r="I222" s="1061">
        <f>'T3 ANSP'!I222+'T3 MET'!I222+'T3 MET'!I222</f>
        <v>0</v>
      </c>
      <c r="J222" s="1061">
        <f>'T3 ANSP'!J222+'T3 MET'!J222+'T3 MET'!J222</f>
        <v>0</v>
      </c>
      <c r="K222" s="1061">
        <f>'T3 ANSP'!K222+'T3 MET'!K222+'T3 MET'!K222</f>
        <v>0</v>
      </c>
      <c r="L222" s="1061">
        <f>'T3 ANSP'!L222+'T3 MET'!L222+'T3 MET'!L222</f>
        <v>0</v>
      </c>
      <c r="M222" s="440">
        <f>'T3 ANSP'!M222+'T3 MET'!M222+'T3 MET'!M222</f>
        <v>0</v>
      </c>
    </row>
    <row r="223" spans="1:13">
      <c r="A223" s="455">
        <v>2025</v>
      </c>
      <c r="C223" s="406" t="s">
        <v>692</v>
      </c>
      <c r="D223" s="453">
        <f>'T3 ANSP'!D223+'T3 MET'!D223+'T3 MET'!D223</f>
        <v>0</v>
      </c>
      <c r="E223" s="441">
        <f>'T3 ANSP'!E223+'T3 MET'!E223+'T3 MET'!E223</f>
        <v>0</v>
      </c>
      <c r="F223" s="423">
        <f>'T3 ANSP'!F223+'T3 MET'!F223+'T3 MET'!F223</f>
        <v>0</v>
      </c>
      <c r="G223" s="423">
        <f>'T3 ANSP'!G223+'T3 MET'!G223+'T3 MET'!G223</f>
        <v>0</v>
      </c>
      <c r="H223" s="423">
        <f>'T3 ANSP'!H223+'T3 MET'!H223+'T3 MET'!H223</f>
        <v>0</v>
      </c>
      <c r="I223" s="1061">
        <f>'T3 ANSP'!I223+'T3 MET'!I223+'T3 MET'!I223</f>
        <v>0</v>
      </c>
      <c r="J223" s="1061">
        <f>'T3 ANSP'!J223+'T3 MET'!J223+'T3 MET'!J223</f>
        <v>0</v>
      </c>
      <c r="K223" s="1061">
        <f>'T3 ANSP'!K223+'T3 MET'!K223+'T3 MET'!K223</f>
        <v>0</v>
      </c>
      <c r="L223" s="1061">
        <f>'T3 ANSP'!L223+'T3 MET'!L223+'T3 MET'!L223</f>
        <v>0</v>
      </c>
      <c r="M223" s="440">
        <f>'T3 ANSP'!M223+'T3 MET'!M223+'T3 MET'!M223</f>
        <v>0</v>
      </c>
    </row>
    <row r="224" spans="1:13">
      <c r="A224" s="455">
        <v>2026</v>
      </c>
      <c r="C224" s="406" t="s">
        <v>693</v>
      </c>
      <c r="D224" s="453">
        <f>'T3 ANSP'!D224+'T3 MET'!D224+'T3 MET'!D224</f>
        <v>0</v>
      </c>
      <c r="E224" s="441">
        <f>'T3 ANSP'!E224+'T3 MET'!E224+'T3 MET'!E224</f>
        <v>0</v>
      </c>
      <c r="F224" s="423">
        <f>'T3 ANSP'!F224+'T3 MET'!F224+'T3 MET'!F224</f>
        <v>0</v>
      </c>
      <c r="G224" s="423">
        <f>'T3 ANSP'!G224+'T3 MET'!G224+'T3 MET'!G224</f>
        <v>0</v>
      </c>
      <c r="H224" s="423">
        <f>'T3 ANSP'!H224+'T3 MET'!H224+'T3 MET'!H224</f>
        <v>0</v>
      </c>
      <c r="I224" s="1061">
        <f>'T3 ANSP'!I224+'T3 MET'!I224+'T3 MET'!I224</f>
        <v>0</v>
      </c>
      <c r="J224" s="1061">
        <f>'T3 ANSP'!J224+'T3 MET'!J224+'T3 MET'!J224</f>
        <v>0</v>
      </c>
      <c r="K224" s="1061">
        <f>'T3 ANSP'!K224+'T3 MET'!K224+'T3 MET'!K224</f>
        <v>0</v>
      </c>
      <c r="L224" s="1061">
        <f>'T3 ANSP'!L224+'T3 MET'!L224+'T3 MET'!L224</f>
        <v>0</v>
      </c>
      <c r="M224" s="440">
        <f>'T3 ANSP'!M224+'T3 MET'!M224+'T3 MET'!M224</f>
        <v>0</v>
      </c>
    </row>
    <row r="225" spans="1:13">
      <c r="A225" s="455">
        <v>2027</v>
      </c>
      <c r="C225" s="406" t="s">
        <v>694</v>
      </c>
      <c r="D225" s="454">
        <f>'T3 ANSP'!D225+'T3 MET'!D225+'T3 MET'!D225</f>
        <v>0</v>
      </c>
      <c r="E225" s="1411">
        <f>'T3 ANSP'!E225+'T3 MET'!E225+'T3 MET'!E225</f>
        <v>0</v>
      </c>
      <c r="F225" s="463">
        <f>'T3 ANSP'!F225+'T3 MET'!F225+'T3 MET'!F225</f>
        <v>0</v>
      </c>
      <c r="G225" s="463">
        <f>'T3 ANSP'!G225+'T3 MET'!G225+'T3 MET'!G225</f>
        <v>0</v>
      </c>
      <c r="H225" s="463">
        <f>'T3 ANSP'!H225+'T3 MET'!H225+'T3 MET'!H225</f>
        <v>0</v>
      </c>
      <c r="I225" s="1415">
        <f>'T3 ANSP'!I225+'T3 MET'!I225+'T3 MET'!I225</f>
        <v>0</v>
      </c>
      <c r="J225" s="1415">
        <f>'T3 ANSP'!J225+'T3 MET'!J225+'T3 MET'!J225</f>
        <v>0</v>
      </c>
      <c r="K225" s="1415">
        <f>'T3 ANSP'!K225+'T3 MET'!K225+'T3 MET'!K225</f>
        <v>0</v>
      </c>
      <c r="L225" s="1415">
        <f>'T3 ANSP'!L225+'T3 MET'!L225+'T3 MET'!L225</f>
        <v>0</v>
      </c>
      <c r="M225" s="1077">
        <f>'T3 ANSP'!M225+'T3 MET'!M225+'T3 MET'!M225</f>
        <v>0</v>
      </c>
    </row>
    <row r="226" spans="1:13">
      <c r="A226" s="455" t="s">
        <v>505</v>
      </c>
      <c r="C226" s="431" t="s">
        <v>695</v>
      </c>
      <c r="D226" s="432">
        <f>'T3 ANSP'!D226+'T3 MET'!D226+'T3 MET'!D226</f>
        <v>0</v>
      </c>
      <c r="E226" s="480">
        <f>'T3 ANSP'!E226+'T3 MET'!E226+'T3 MET'!E226</f>
        <v>0</v>
      </c>
      <c r="F226" s="434">
        <f>'T3 ANSP'!F226+'T3 MET'!F226+'T3 MET'!F226</f>
        <v>0</v>
      </c>
      <c r="G226" s="434">
        <f>'T3 ANSP'!G226+'T3 MET'!G226+'T3 MET'!G226</f>
        <v>0</v>
      </c>
      <c r="H226" s="434">
        <f>'T3 ANSP'!H226+'T3 MET'!H226+'T3 MET'!H226</f>
        <v>0</v>
      </c>
      <c r="I226" s="481">
        <f>'T3 ANSP'!I226+'T3 MET'!I226+'T3 MET'!I226</f>
        <v>0</v>
      </c>
      <c r="J226" s="481">
        <f>'T3 ANSP'!J226+'T3 MET'!J226+'T3 MET'!J226</f>
        <v>0</v>
      </c>
      <c r="K226" s="481">
        <f>'T3 ANSP'!K226+'T3 MET'!K226+'T3 MET'!K226</f>
        <v>0</v>
      </c>
      <c r="L226" s="481">
        <f>'T3 ANSP'!L226+'T3 MET'!L226+'T3 MET'!L226</f>
        <v>0</v>
      </c>
      <c r="M226" s="1076">
        <f>'T3 ANSP'!M226+'T3 MET'!M226+'T3 MET'!M226</f>
        <v>0</v>
      </c>
    </row>
    <row r="227" spans="1:13">
      <c r="A227" s="758"/>
      <c r="D227" s="435"/>
      <c r="E227" s="435"/>
      <c r="F227" s="607"/>
      <c r="G227" s="435"/>
      <c r="H227" s="435"/>
      <c r="I227" s="435"/>
      <c r="J227" s="435"/>
      <c r="K227" s="435"/>
      <c r="L227" s="435"/>
      <c r="M227" s="435"/>
    </row>
    <row r="228" spans="1:13">
      <c r="A228" s="455">
        <v>2020</v>
      </c>
      <c r="C228" s="469" t="s">
        <v>696</v>
      </c>
      <c r="D228" s="448">
        <f>'T3 ANSP'!D228+'T3 MET'!D228+'T3 MET'!D228</f>
        <v>4630.4594271457227</v>
      </c>
      <c r="E228" s="438">
        <f>'T3 ANSP'!E228+'T3 MET'!E228+'T3 MET'!E228</f>
        <v>0</v>
      </c>
      <c r="F228" s="421">
        <f>'T3 ANSP'!F228+'T3 MET'!F228+'T3 MET'!F228</f>
        <v>0</v>
      </c>
      <c r="G228" s="487">
        <f>'T3 ANSP'!G228+'T3 MET'!G228+'T3 MET'!G228</f>
        <v>4630.4594271457227</v>
      </c>
      <c r="H228" s="487">
        <f>'T3 ANSP'!H228+'T3 MET'!H228+'T3 MET'!H228</f>
        <v>0</v>
      </c>
      <c r="I228" s="487">
        <f>'T3 ANSP'!I228+'T3 MET'!I228+'T3 MET'!I228</f>
        <v>0</v>
      </c>
      <c r="J228" s="487">
        <f>'T3 ANSP'!J228+'T3 MET'!J228+'T3 MET'!J228</f>
        <v>0</v>
      </c>
      <c r="K228" s="487">
        <f>'T3 ANSP'!K228+'T3 MET'!K228+'T3 MET'!K228</f>
        <v>0</v>
      </c>
      <c r="L228" s="487">
        <f>'T3 ANSP'!L228+'T3 MET'!L228+'T3 MET'!L228</f>
        <v>0</v>
      </c>
      <c r="M228" s="437">
        <f>'T3 ANSP'!M228+'T3 MET'!M228+'T3 MET'!M228</f>
        <v>0</v>
      </c>
    </row>
    <row r="229" spans="1:13">
      <c r="A229" s="455">
        <v>2021</v>
      </c>
      <c r="C229" s="470" t="s">
        <v>697</v>
      </c>
      <c r="D229" s="449">
        <f>'T3 ANSP'!D229+'T3 MET'!D229+'T3 MET'!D229</f>
        <v>0</v>
      </c>
      <c r="E229" s="441">
        <f>'T3 ANSP'!E229+'T3 MET'!E229+'T3 MET'!E229</f>
        <v>0</v>
      </c>
      <c r="F229" s="423">
        <f>'T3 ANSP'!F229+'T3 MET'!F229+'T3 MET'!F229</f>
        <v>0</v>
      </c>
      <c r="G229" s="423">
        <f>'T3 ANSP'!G229+'T3 MET'!G229+'T3 MET'!G229</f>
        <v>0</v>
      </c>
      <c r="H229" s="423">
        <f>'T3 ANSP'!H229+'T3 MET'!H229+'T3 MET'!H229</f>
        <v>0</v>
      </c>
      <c r="I229" s="423">
        <f>'T3 ANSP'!I229+'T3 MET'!I229+'T3 MET'!I229</f>
        <v>0</v>
      </c>
      <c r="J229" s="423">
        <f>'T3 ANSP'!J229+'T3 MET'!J229+'T3 MET'!J229</f>
        <v>0</v>
      </c>
      <c r="K229" s="423">
        <f>'T3 ANSP'!K229+'T3 MET'!K229+'T3 MET'!K229</f>
        <v>0</v>
      </c>
      <c r="L229" s="423">
        <f>'T3 ANSP'!L229+'T3 MET'!L229+'T3 MET'!L229</f>
        <v>0</v>
      </c>
      <c r="M229" s="440">
        <f>'T3 ANSP'!M229+'T3 MET'!M229+'T3 MET'!M229</f>
        <v>0</v>
      </c>
    </row>
    <row r="230" spans="1:13">
      <c r="A230" s="455">
        <v>2022</v>
      </c>
      <c r="C230" s="470" t="s">
        <v>698</v>
      </c>
      <c r="D230" s="449">
        <f>'T3 ANSP'!D230+'T3 MET'!D230+'T3 MET'!D230</f>
        <v>0</v>
      </c>
      <c r="E230" s="490">
        <f>'T3 ANSP'!E230+'T3 MET'!E230+'T3 MET'!E230</f>
        <v>0</v>
      </c>
      <c r="F230" s="491">
        <f>'T3 ANSP'!F230+'T3 MET'!F230+'T3 MET'!F230</f>
        <v>0</v>
      </c>
      <c r="G230" s="491">
        <f>'T3 ANSP'!G230+'T3 MET'!G230+'T3 MET'!G230</f>
        <v>0</v>
      </c>
      <c r="H230" s="491">
        <f>'T3 ANSP'!H230+'T3 MET'!H230+'T3 MET'!H230</f>
        <v>0</v>
      </c>
      <c r="I230" s="491">
        <f>'T3 ANSP'!I230+'T3 MET'!I230+'T3 MET'!I230</f>
        <v>0</v>
      </c>
      <c r="J230" s="491">
        <f>'T3 ANSP'!J230+'T3 MET'!J230+'T3 MET'!J230</f>
        <v>0</v>
      </c>
      <c r="K230" s="491">
        <f>'T3 ANSP'!K230+'T3 MET'!K230+'T3 MET'!K230</f>
        <v>0</v>
      </c>
      <c r="L230" s="491">
        <f>'T3 ANSP'!L230+'T3 MET'!L230+'T3 MET'!L230</f>
        <v>0</v>
      </c>
      <c r="M230" s="440">
        <f>'T3 ANSP'!M230+'T3 MET'!M230+'T3 MET'!M230</f>
        <v>0</v>
      </c>
    </row>
    <row r="231" spans="1:13">
      <c r="A231" s="455" t="s">
        <v>498</v>
      </c>
      <c r="C231" s="413" t="s">
        <v>699</v>
      </c>
      <c r="D231" s="414">
        <f>'T3 ANSP'!D231+'T3 MET'!D231+'T3 MET'!D231</f>
        <v>4630.4594271457227</v>
      </c>
      <c r="E231" s="415">
        <f>'T3 ANSP'!E231+'T3 MET'!E231+'T3 MET'!E231</f>
        <v>0</v>
      </c>
      <c r="F231" s="416">
        <f>'T3 ANSP'!F231+'T3 MET'!F231+'T3 MET'!F231</f>
        <v>0</v>
      </c>
      <c r="G231" s="416">
        <f>'T3 ANSP'!G231+'T3 MET'!G231+'T3 MET'!G231</f>
        <v>4630.4594271457227</v>
      </c>
      <c r="H231" s="416">
        <f>'T3 ANSP'!H231+'T3 MET'!H231+'T3 MET'!H231</f>
        <v>0</v>
      </c>
      <c r="I231" s="451">
        <f>'T3 ANSP'!I231+'T3 MET'!I231+'T3 MET'!I231</f>
        <v>0</v>
      </c>
      <c r="J231" s="451">
        <f>'T3 ANSP'!J231+'T3 MET'!J231+'T3 MET'!J231</f>
        <v>0</v>
      </c>
      <c r="K231" s="451">
        <f>'T3 ANSP'!K231+'T3 MET'!K231+'T3 MET'!K231</f>
        <v>0</v>
      </c>
      <c r="L231" s="451">
        <f>'T3 ANSP'!L231+'T3 MET'!L231+'T3 MET'!L231</f>
        <v>0</v>
      </c>
      <c r="M231" s="1051">
        <f>'T3 ANSP'!M231+'T3 MET'!M231+'T3 MET'!M231</f>
        <v>0</v>
      </c>
    </row>
    <row r="232" spans="1:13">
      <c r="A232" s="455">
        <v>2023</v>
      </c>
      <c r="C232" s="470" t="s">
        <v>700</v>
      </c>
      <c r="D232" s="449">
        <f>'T3 ANSP'!D232+'T3 MET'!D232+'T3 MET'!D232</f>
        <v>0</v>
      </c>
      <c r="E232" s="490">
        <f>'T3 ANSP'!E232+'T3 MET'!E232+'T3 MET'!E232</f>
        <v>0</v>
      </c>
      <c r="F232" s="491">
        <f>'T3 ANSP'!F232+'T3 MET'!F232+'T3 MET'!F232</f>
        <v>0</v>
      </c>
      <c r="G232" s="491">
        <f>'T3 ANSP'!G232+'T3 MET'!G232+'T3 MET'!G232</f>
        <v>0</v>
      </c>
      <c r="H232" s="491">
        <f>'T3 ANSP'!H232+'T3 MET'!H232+'T3 MET'!H232</f>
        <v>0</v>
      </c>
      <c r="I232" s="491">
        <f>'T3 ANSP'!I232+'T3 MET'!I232+'T3 MET'!I232</f>
        <v>0</v>
      </c>
      <c r="J232" s="491">
        <f>'T3 ANSP'!J232+'T3 MET'!J232+'T3 MET'!J232</f>
        <v>0</v>
      </c>
      <c r="K232" s="491">
        <f>'T3 ANSP'!K232+'T3 MET'!K232+'T3 MET'!K232</f>
        <v>0</v>
      </c>
      <c r="L232" s="491">
        <f>'T3 ANSP'!L232+'T3 MET'!L232+'T3 MET'!L232</f>
        <v>0</v>
      </c>
      <c r="M232" s="437">
        <f>'T3 ANSP'!M232+'T3 MET'!M232+'T3 MET'!M232</f>
        <v>0</v>
      </c>
    </row>
    <row r="233" spans="1:13">
      <c r="A233" s="455">
        <v>2024</v>
      </c>
      <c r="C233" s="470" t="s">
        <v>701</v>
      </c>
      <c r="D233" s="449">
        <f>'T3 ANSP'!D233+'T3 MET'!D233+'T3 MET'!D233</f>
        <v>0</v>
      </c>
      <c r="E233" s="490">
        <f>'T3 ANSP'!E233+'T3 MET'!E233+'T3 MET'!E233</f>
        <v>0</v>
      </c>
      <c r="F233" s="491">
        <f>'T3 ANSP'!F233+'T3 MET'!F233+'T3 MET'!F233</f>
        <v>0</v>
      </c>
      <c r="G233" s="491">
        <f>'T3 ANSP'!G233+'T3 MET'!G233+'T3 MET'!G233</f>
        <v>0</v>
      </c>
      <c r="H233" s="491">
        <f>'T3 ANSP'!H233+'T3 MET'!H233+'T3 MET'!H233</f>
        <v>0</v>
      </c>
      <c r="I233" s="491">
        <f>'T3 ANSP'!I233+'T3 MET'!I233+'T3 MET'!I233</f>
        <v>0</v>
      </c>
      <c r="J233" s="491">
        <f>'T3 ANSP'!J233+'T3 MET'!J233+'T3 MET'!J233</f>
        <v>0</v>
      </c>
      <c r="K233" s="491">
        <f>'T3 ANSP'!K233+'T3 MET'!K233+'T3 MET'!K233</f>
        <v>0</v>
      </c>
      <c r="L233" s="491">
        <f>'T3 ANSP'!L233+'T3 MET'!L233+'T3 MET'!L233</f>
        <v>0</v>
      </c>
      <c r="M233" s="440">
        <f>'T3 ANSP'!M233+'T3 MET'!M233+'T3 MET'!M233</f>
        <v>0</v>
      </c>
    </row>
    <row r="234" spans="1:13">
      <c r="A234" s="455">
        <v>2025</v>
      </c>
      <c r="C234" s="470" t="s">
        <v>702</v>
      </c>
      <c r="D234" s="449">
        <f>'T3 ANSP'!D234+'T3 MET'!D234+'T3 MET'!D234</f>
        <v>0</v>
      </c>
      <c r="E234" s="490">
        <f>'T3 ANSP'!E234+'T3 MET'!E234+'T3 MET'!E234</f>
        <v>0</v>
      </c>
      <c r="F234" s="491">
        <f>'T3 ANSP'!F234+'T3 MET'!F234+'T3 MET'!F234</f>
        <v>0</v>
      </c>
      <c r="G234" s="491">
        <f>'T3 ANSP'!G234+'T3 MET'!G234+'T3 MET'!G234</f>
        <v>0</v>
      </c>
      <c r="H234" s="491">
        <f>'T3 ANSP'!H234+'T3 MET'!H234+'T3 MET'!H234</f>
        <v>0</v>
      </c>
      <c r="I234" s="491">
        <f>'T3 ANSP'!I234+'T3 MET'!I234+'T3 MET'!I234</f>
        <v>0</v>
      </c>
      <c r="J234" s="491">
        <f>'T3 ANSP'!J234+'T3 MET'!J234+'T3 MET'!J234</f>
        <v>0</v>
      </c>
      <c r="K234" s="491">
        <f>'T3 ANSP'!K234+'T3 MET'!K234+'T3 MET'!K234</f>
        <v>0</v>
      </c>
      <c r="L234" s="491">
        <f>'T3 ANSP'!L234+'T3 MET'!L234+'T3 MET'!L234</f>
        <v>0</v>
      </c>
      <c r="M234" s="440">
        <f>'T3 ANSP'!M234+'T3 MET'!M234+'T3 MET'!M234</f>
        <v>0</v>
      </c>
    </row>
    <row r="235" spans="1:13">
      <c r="A235" s="455">
        <v>2026</v>
      </c>
      <c r="C235" s="470" t="s">
        <v>703</v>
      </c>
      <c r="D235" s="449">
        <f>'T3 ANSP'!D235+'T3 MET'!D235+'T3 MET'!D235</f>
        <v>0</v>
      </c>
      <c r="E235" s="490">
        <f>'T3 ANSP'!E235+'T3 MET'!E235+'T3 MET'!E235</f>
        <v>0</v>
      </c>
      <c r="F235" s="491">
        <f>'T3 ANSP'!F235+'T3 MET'!F235+'T3 MET'!F235</f>
        <v>0</v>
      </c>
      <c r="G235" s="491">
        <f>'T3 ANSP'!G235+'T3 MET'!G235+'T3 MET'!G235</f>
        <v>0</v>
      </c>
      <c r="H235" s="491">
        <f>'T3 ANSP'!H235+'T3 MET'!H235+'T3 MET'!H235</f>
        <v>0</v>
      </c>
      <c r="I235" s="491">
        <f>'T3 ANSP'!I235+'T3 MET'!I235+'T3 MET'!I235</f>
        <v>0</v>
      </c>
      <c r="J235" s="491">
        <f>'T3 ANSP'!J235+'T3 MET'!J235+'T3 MET'!J235</f>
        <v>0</v>
      </c>
      <c r="K235" s="491">
        <f>'T3 ANSP'!K235+'T3 MET'!K235+'T3 MET'!K235</f>
        <v>0</v>
      </c>
      <c r="L235" s="491">
        <f>'T3 ANSP'!L235+'T3 MET'!L235+'T3 MET'!L235</f>
        <v>0</v>
      </c>
      <c r="M235" s="440">
        <f>'T3 ANSP'!M235+'T3 MET'!M235+'T3 MET'!M235</f>
        <v>0</v>
      </c>
    </row>
    <row r="236" spans="1:13">
      <c r="A236" s="455">
        <v>2027</v>
      </c>
      <c r="C236" s="470" t="s">
        <v>704</v>
      </c>
      <c r="D236" s="450">
        <f>'T3 ANSP'!D236+'T3 MET'!D236+'T3 MET'!D236</f>
        <v>0</v>
      </c>
      <c r="E236" s="1413">
        <f>'T3 ANSP'!E236+'T3 MET'!E236+'T3 MET'!E236</f>
        <v>0</v>
      </c>
      <c r="F236" s="522">
        <f>'T3 ANSP'!F236+'T3 MET'!F236+'T3 MET'!F236</f>
        <v>0</v>
      </c>
      <c r="G236" s="522">
        <f>'T3 ANSP'!G236+'T3 MET'!G236+'T3 MET'!G236</f>
        <v>0</v>
      </c>
      <c r="H236" s="522">
        <f>'T3 ANSP'!H236+'T3 MET'!H236+'T3 MET'!H236</f>
        <v>0</v>
      </c>
      <c r="I236" s="522">
        <f>'T3 ANSP'!I236+'T3 MET'!I236+'T3 MET'!I236</f>
        <v>0</v>
      </c>
      <c r="J236" s="522">
        <f>'T3 ANSP'!J236+'T3 MET'!J236+'T3 MET'!J236</f>
        <v>0</v>
      </c>
      <c r="K236" s="522">
        <f>'T3 ANSP'!K236+'T3 MET'!K236+'T3 MET'!K236</f>
        <v>0</v>
      </c>
      <c r="L236" s="522">
        <f>'T3 ANSP'!L236+'T3 MET'!L236+'T3 MET'!L236</f>
        <v>0</v>
      </c>
      <c r="M236" s="1077">
        <f>'T3 ANSP'!M236+'T3 MET'!M236+'T3 MET'!M236</f>
        <v>0</v>
      </c>
    </row>
    <row r="237" spans="1:13">
      <c r="A237" s="455" t="s">
        <v>505</v>
      </c>
      <c r="C237" s="526" t="s">
        <v>705</v>
      </c>
      <c r="D237" s="432">
        <f>'T3 ANSP'!D237+'T3 MET'!D237+'T3 MET'!D237</f>
        <v>4630.4594271457227</v>
      </c>
      <c r="E237" s="433">
        <f>'T3 ANSP'!E237+'T3 MET'!E237+'T3 MET'!E237</f>
        <v>0</v>
      </c>
      <c r="F237" s="434">
        <f>'T3 ANSP'!F237+'T3 MET'!F237+'T3 MET'!F237</f>
        <v>0</v>
      </c>
      <c r="G237" s="434">
        <f>'T3 ANSP'!G237+'T3 MET'!G237+'T3 MET'!G237</f>
        <v>4630.4594271457227</v>
      </c>
      <c r="H237" s="434">
        <f>'T3 ANSP'!H237+'T3 MET'!H237+'T3 MET'!H237</f>
        <v>0</v>
      </c>
      <c r="I237" s="481">
        <f>'T3 ANSP'!I237+'T3 MET'!I237+'T3 MET'!I237</f>
        <v>0</v>
      </c>
      <c r="J237" s="481">
        <f>'T3 ANSP'!J237+'T3 MET'!J237+'T3 MET'!J237</f>
        <v>0</v>
      </c>
      <c r="K237" s="481">
        <f>'T3 ANSP'!K237+'T3 MET'!K237+'T3 MET'!K237</f>
        <v>0</v>
      </c>
      <c r="L237" s="481">
        <f>'T3 ANSP'!L237+'T3 MET'!L237+'T3 MET'!L237</f>
        <v>0</v>
      </c>
      <c r="M237" s="1076">
        <f>'T3 ANSP'!M237+'T3 MET'!M237+'T3 MET'!M237</f>
        <v>0</v>
      </c>
    </row>
    <row r="238" spans="1:13">
      <c r="D238" s="435"/>
      <c r="E238" s="435"/>
      <c r="F238" s="607"/>
      <c r="G238" s="435"/>
      <c r="H238" s="435"/>
      <c r="I238" s="435"/>
      <c r="J238" s="435"/>
      <c r="K238" s="435"/>
      <c r="L238" s="435"/>
      <c r="M238" s="435"/>
    </row>
    <row r="239" spans="1:13">
      <c r="A239" s="455">
        <v>2020</v>
      </c>
      <c r="C239" s="469" t="s">
        <v>706</v>
      </c>
      <c r="D239" s="448">
        <f>'T3 ANSP'!D239+'T3 MET'!D239+'T3 MET'!D239</f>
        <v>0</v>
      </c>
      <c r="E239" s="438">
        <f>'T3 ANSP'!E239+'T3 MET'!E239+'T3 MET'!E239</f>
        <v>0</v>
      </c>
      <c r="F239" s="421">
        <f>'T3 ANSP'!F239+'T3 MET'!F239+'T3 MET'!F239</f>
        <v>0</v>
      </c>
      <c r="G239" s="421">
        <f>'T3 ANSP'!G239+'T3 MET'!G239+'T3 MET'!G239</f>
        <v>0</v>
      </c>
      <c r="H239" s="421">
        <f>'T3 ANSP'!H239+'T3 MET'!H239+'T3 MET'!H239</f>
        <v>0</v>
      </c>
      <c r="I239" s="1408">
        <f>'T3 ANSP'!I239+'T3 MET'!I239+'T3 MET'!I239</f>
        <v>0</v>
      </c>
      <c r="J239" s="1408">
        <f>'T3 ANSP'!J239+'T3 MET'!J239+'T3 MET'!J239</f>
        <v>0</v>
      </c>
      <c r="K239" s="1408">
        <f>'T3 ANSP'!K239+'T3 MET'!K239+'T3 MET'!K239</f>
        <v>0</v>
      </c>
      <c r="L239" s="1408">
        <f>'T3 ANSP'!L239+'T3 MET'!L239+'T3 MET'!L239</f>
        <v>0</v>
      </c>
      <c r="M239" s="437">
        <f>'T3 ANSP'!M239+'T3 MET'!M239+'T3 MET'!M239</f>
        <v>0</v>
      </c>
    </row>
    <row r="240" spans="1:13">
      <c r="A240" s="455">
        <v>2021</v>
      </c>
      <c r="C240" s="470" t="s">
        <v>707</v>
      </c>
      <c r="D240" s="449">
        <f>'T3 ANSP'!D240+'T3 MET'!D240+'T3 MET'!D240</f>
        <v>0</v>
      </c>
      <c r="E240" s="441">
        <f>'T3 ANSP'!E240+'T3 MET'!E240+'T3 MET'!E240</f>
        <v>0</v>
      </c>
      <c r="F240" s="423">
        <f>'T3 ANSP'!F240+'T3 MET'!F240+'T3 MET'!F240</f>
        <v>0</v>
      </c>
      <c r="G240" s="423">
        <f>'T3 ANSP'!G240+'T3 MET'!G240+'T3 MET'!G240</f>
        <v>0</v>
      </c>
      <c r="H240" s="423">
        <f>'T3 ANSP'!H240+'T3 MET'!H240+'T3 MET'!H240</f>
        <v>0</v>
      </c>
      <c r="I240" s="1061">
        <f>'T3 ANSP'!I240+'T3 MET'!I240+'T3 MET'!I240</f>
        <v>0</v>
      </c>
      <c r="J240" s="1061">
        <f>'T3 ANSP'!J240+'T3 MET'!J240+'T3 MET'!J240</f>
        <v>0</v>
      </c>
      <c r="K240" s="1061">
        <f>'T3 ANSP'!K240+'T3 MET'!K240+'T3 MET'!K240</f>
        <v>0</v>
      </c>
      <c r="L240" s="1061">
        <f>'T3 ANSP'!L240+'T3 MET'!L240+'T3 MET'!L240</f>
        <v>0</v>
      </c>
      <c r="M240" s="440">
        <f>'T3 ANSP'!M240+'T3 MET'!M240+'T3 MET'!M240</f>
        <v>0</v>
      </c>
    </row>
    <row r="241" spans="1:13">
      <c r="A241" s="455">
        <v>2022</v>
      </c>
      <c r="C241" s="470" t="s">
        <v>708</v>
      </c>
      <c r="D241" s="449">
        <f>'T3 ANSP'!D241+'T3 MET'!D241+'T3 MET'!D241</f>
        <v>0</v>
      </c>
      <c r="E241" s="441">
        <f>'T3 ANSP'!E241+'T3 MET'!E241+'T3 MET'!E241</f>
        <v>0</v>
      </c>
      <c r="F241" s="423">
        <f>'T3 ANSP'!F241+'T3 MET'!F241+'T3 MET'!F241</f>
        <v>0</v>
      </c>
      <c r="G241" s="423">
        <f>'T3 ANSP'!G241+'T3 MET'!G241+'T3 MET'!G241</f>
        <v>0</v>
      </c>
      <c r="H241" s="423">
        <f>'T3 ANSP'!H241+'T3 MET'!H241+'T3 MET'!H241</f>
        <v>0</v>
      </c>
      <c r="I241" s="1061">
        <f>'T3 ANSP'!I241+'T3 MET'!I241+'T3 MET'!I241</f>
        <v>0</v>
      </c>
      <c r="J241" s="1061">
        <f>'T3 ANSP'!J241+'T3 MET'!J241+'T3 MET'!J241</f>
        <v>0</v>
      </c>
      <c r="K241" s="1061">
        <f>'T3 ANSP'!K241+'T3 MET'!K241+'T3 MET'!K241</f>
        <v>0</v>
      </c>
      <c r="L241" s="1061">
        <f>'T3 ANSP'!L241+'T3 MET'!L241+'T3 MET'!L241</f>
        <v>0</v>
      </c>
      <c r="M241" s="440">
        <f>'T3 ANSP'!M241+'T3 MET'!M241+'T3 MET'!M241</f>
        <v>0</v>
      </c>
    </row>
    <row r="242" spans="1:13">
      <c r="A242" s="455" t="s">
        <v>498</v>
      </c>
      <c r="C242" s="413" t="s">
        <v>709</v>
      </c>
      <c r="D242" s="451">
        <f>'T3 ANSP'!D242+'T3 MET'!D242+'T3 MET'!D242</f>
        <v>0</v>
      </c>
      <c r="E242" s="451">
        <f>'T3 ANSP'!E242+'T3 MET'!E242+'T3 MET'!E242</f>
        <v>0</v>
      </c>
      <c r="F242" s="451">
        <f>'T3 ANSP'!F242+'T3 MET'!F242+'T3 MET'!F242</f>
        <v>0</v>
      </c>
      <c r="G242" s="451">
        <f>'T3 ANSP'!G242+'T3 MET'!G242+'T3 MET'!G242</f>
        <v>0</v>
      </c>
      <c r="H242" s="451">
        <f>'T3 ANSP'!H242+'T3 MET'!H242+'T3 MET'!H242</f>
        <v>0</v>
      </c>
      <c r="I242" s="451">
        <f>'T3 ANSP'!I242+'T3 MET'!I242+'T3 MET'!I242</f>
        <v>0</v>
      </c>
      <c r="J242" s="451">
        <f>'T3 ANSP'!J242+'T3 MET'!J242+'T3 MET'!J242</f>
        <v>0</v>
      </c>
      <c r="K242" s="451">
        <f>'T3 ANSP'!K242+'T3 MET'!K242+'T3 MET'!K242</f>
        <v>0</v>
      </c>
      <c r="L242" s="451">
        <f>'T3 ANSP'!L242+'T3 MET'!L242+'T3 MET'!L242</f>
        <v>0</v>
      </c>
      <c r="M242" s="1051">
        <f>'T3 ANSP'!M242+'T3 MET'!M242+'T3 MET'!M242</f>
        <v>0</v>
      </c>
    </row>
    <row r="243" spans="1:13">
      <c r="A243" s="455">
        <v>2023</v>
      </c>
      <c r="C243" s="470" t="s">
        <v>710</v>
      </c>
      <c r="D243" s="449">
        <f>'T3 ANSP'!D243+'T3 MET'!D243+'T3 MET'!D243</f>
        <v>0</v>
      </c>
      <c r="E243" s="441">
        <f>'T3 ANSP'!E243+'T3 MET'!E243+'T3 MET'!E243</f>
        <v>0</v>
      </c>
      <c r="F243" s="423">
        <f>'T3 ANSP'!F243+'T3 MET'!F243+'T3 MET'!F243</f>
        <v>0</v>
      </c>
      <c r="G243" s="423">
        <f>'T3 ANSP'!G243+'T3 MET'!G243+'T3 MET'!G243</f>
        <v>0</v>
      </c>
      <c r="H243" s="423">
        <f>'T3 ANSP'!H243+'T3 MET'!H243+'T3 MET'!H243</f>
        <v>0</v>
      </c>
      <c r="I243" s="1061">
        <f>'T3 ANSP'!I243+'T3 MET'!I243+'T3 MET'!I243</f>
        <v>0</v>
      </c>
      <c r="J243" s="1061">
        <f>'T3 ANSP'!J243+'T3 MET'!J243+'T3 MET'!J243</f>
        <v>0</v>
      </c>
      <c r="K243" s="1061">
        <f>'T3 ANSP'!K243+'T3 MET'!K243+'T3 MET'!K243</f>
        <v>0</v>
      </c>
      <c r="L243" s="1061">
        <f>'T3 ANSP'!L243+'T3 MET'!L243+'T3 MET'!L243</f>
        <v>0</v>
      </c>
      <c r="M243" s="440">
        <f>'T3 ANSP'!M243+'T3 MET'!M243+'T3 MET'!M243</f>
        <v>0</v>
      </c>
    </row>
    <row r="244" spans="1:13">
      <c r="A244" s="455">
        <v>2024</v>
      </c>
      <c r="C244" s="470" t="s">
        <v>711</v>
      </c>
      <c r="D244" s="449">
        <f>'T3 ANSP'!D244+'T3 MET'!D244+'T3 MET'!D244</f>
        <v>0</v>
      </c>
      <c r="E244" s="441">
        <f>'T3 ANSP'!E244+'T3 MET'!E244+'T3 MET'!E244</f>
        <v>0</v>
      </c>
      <c r="F244" s="423">
        <f>'T3 ANSP'!F244+'T3 MET'!F244+'T3 MET'!F244</f>
        <v>0</v>
      </c>
      <c r="G244" s="423">
        <f>'T3 ANSP'!G244+'T3 MET'!G244+'T3 MET'!G244</f>
        <v>0</v>
      </c>
      <c r="H244" s="423">
        <f>'T3 ANSP'!H244+'T3 MET'!H244+'T3 MET'!H244</f>
        <v>0</v>
      </c>
      <c r="I244" s="1061">
        <f>'T3 ANSP'!I244+'T3 MET'!I244+'T3 MET'!I244</f>
        <v>0</v>
      </c>
      <c r="J244" s="1061">
        <f>'T3 ANSP'!J244+'T3 MET'!J244+'T3 MET'!J244</f>
        <v>0</v>
      </c>
      <c r="K244" s="1061">
        <f>'T3 ANSP'!K244+'T3 MET'!K244+'T3 MET'!K244</f>
        <v>0</v>
      </c>
      <c r="L244" s="1061">
        <f>'T3 ANSP'!L244+'T3 MET'!L244+'T3 MET'!L244</f>
        <v>0</v>
      </c>
      <c r="M244" s="440">
        <f>'T3 ANSP'!M244+'T3 MET'!M244+'T3 MET'!M244</f>
        <v>0</v>
      </c>
    </row>
    <row r="245" spans="1:13">
      <c r="A245" s="455">
        <v>2025</v>
      </c>
      <c r="C245" s="470" t="s">
        <v>712</v>
      </c>
      <c r="D245" s="449">
        <f>'T3 ANSP'!D245+'T3 MET'!D245+'T3 MET'!D245</f>
        <v>0</v>
      </c>
      <c r="E245" s="441">
        <f>'T3 ANSP'!E245+'T3 MET'!E245+'T3 MET'!E245</f>
        <v>0</v>
      </c>
      <c r="F245" s="423">
        <f>'T3 ANSP'!F245+'T3 MET'!F245+'T3 MET'!F245</f>
        <v>0</v>
      </c>
      <c r="G245" s="423">
        <f>'T3 ANSP'!G245+'T3 MET'!G245+'T3 MET'!G245</f>
        <v>0</v>
      </c>
      <c r="H245" s="423">
        <f>'T3 ANSP'!H245+'T3 MET'!H245+'T3 MET'!H245</f>
        <v>0</v>
      </c>
      <c r="I245" s="1061">
        <f>'T3 ANSP'!I245+'T3 MET'!I245+'T3 MET'!I245</f>
        <v>0</v>
      </c>
      <c r="J245" s="1061">
        <f>'T3 ANSP'!J245+'T3 MET'!J245+'T3 MET'!J245</f>
        <v>0</v>
      </c>
      <c r="K245" s="1061">
        <f>'T3 ANSP'!K245+'T3 MET'!K245+'T3 MET'!K245</f>
        <v>0</v>
      </c>
      <c r="L245" s="1061">
        <f>'T3 ANSP'!L245+'T3 MET'!L245+'T3 MET'!L245</f>
        <v>0</v>
      </c>
      <c r="M245" s="440">
        <f>'T3 ANSP'!M245+'T3 MET'!M245+'T3 MET'!M245</f>
        <v>0</v>
      </c>
    </row>
    <row r="246" spans="1:13">
      <c r="A246" s="455">
        <v>2026</v>
      </c>
      <c r="C246" s="470" t="s">
        <v>713</v>
      </c>
      <c r="D246" s="449">
        <f>'T3 ANSP'!D246+'T3 MET'!D246+'T3 MET'!D246</f>
        <v>0</v>
      </c>
      <c r="E246" s="441">
        <f>'T3 ANSP'!E246+'T3 MET'!E246+'T3 MET'!E246</f>
        <v>0</v>
      </c>
      <c r="F246" s="423">
        <f>'T3 ANSP'!F246+'T3 MET'!F246+'T3 MET'!F246</f>
        <v>0</v>
      </c>
      <c r="G246" s="423">
        <f>'T3 ANSP'!G246+'T3 MET'!G246+'T3 MET'!G246</f>
        <v>0</v>
      </c>
      <c r="H246" s="423">
        <f>'T3 ANSP'!H246+'T3 MET'!H246+'T3 MET'!H246</f>
        <v>0</v>
      </c>
      <c r="I246" s="1061">
        <f>'T3 ANSP'!I246+'T3 MET'!I246+'T3 MET'!I246</f>
        <v>0</v>
      </c>
      <c r="J246" s="1061">
        <f>'T3 ANSP'!J246+'T3 MET'!J246+'T3 MET'!J246</f>
        <v>0</v>
      </c>
      <c r="K246" s="1061">
        <f>'T3 ANSP'!K246+'T3 MET'!K246+'T3 MET'!K246</f>
        <v>0</v>
      </c>
      <c r="L246" s="1061">
        <f>'T3 ANSP'!L246+'T3 MET'!L246+'T3 MET'!L246</f>
        <v>0</v>
      </c>
      <c r="M246" s="440">
        <f>'T3 ANSP'!M246+'T3 MET'!M246+'T3 MET'!M246</f>
        <v>0</v>
      </c>
    </row>
    <row r="247" spans="1:13">
      <c r="A247" s="455">
        <v>2027</v>
      </c>
      <c r="C247" s="470" t="s">
        <v>714</v>
      </c>
      <c r="D247" s="450">
        <f>'T3 ANSP'!D247+'T3 MET'!D247+'T3 MET'!D247</f>
        <v>0</v>
      </c>
      <c r="E247" s="1411">
        <f>'T3 ANSP'!E247+'T3 MET'!E247+'T3 MET'!E247</f>
        <v>0</v>
      </c>
      <c r="F247" s="463">
        <f>'T3 ANSP'!F247+'T3 MET'!F247+'T3 MET'!F247</f>
        <v>0</v>
      </c>
      <c r="G247" s="463">
        <f>'T3 ANSP'!G247+'T3 MET'!G247+'T3 MET'!G247</f>
        <v>0</v>
      </c>
      <c r="H247" s="463">
        <f>'T3 ANSP'!H247+'T3 MET'!H247+'T3 MET'!H247</f>
        <v>0</v>
      </c>
      <c r="I247" s="1415">
        <f>'T3 ANSP'!I247+'T3 MET'!I247+'T3 MET'!I247</f>
        <v>0</v>
      </c>
      <c r="J247" s="1415">
        <f>'T3 ANSP'!J247+'T3 MET'!J247+'T3 MET'!J247</f>
        <v>0</v>
      </c>
      <c r="K247" s="1415">
        <f>'T3 ANSP'!K247+'T3 MET'!K247+'T3 MET'!K247</f>
        <v>0</v>
      </c>
      <c r="L247" s="1415">
        <f>'T3 ANSP'!L247+'T3 MET'!L247+'T3 MET'!L247</f>
        <v>0</v>
      </c>
      <c r="M247" s="1077">
        <f>'T3 ANSP'!M247+'T3 MET'!M247+'T3 MET'!M247</f>
        <v>0</v>
      </c>
    </row>
    <row r="248" spans="1:13">
      <c r="A248" s="455" t="s">
        <v>505</v>
      </c>
      <c r="C248" s="431" t="s">
        <v>715</v>
      </c>
      <c r="D248" s="432">
        <f>'T3 ANSP'!D248+'T3 MET'!D248+'T3 MET'!D248</f>
        <v>0</v>
      </c>
      <c r="E248" s="433">
        <f>'T3 ANSP'!E248+'T3 MET'!E248+'T3 MET'!E248</f>
        <v>0</v>
      </c>
      <c r="F248" s="434">
        <f>'T3 ANSP'!F248+'T3 MET'!F248+'T3 MET'!F248</f>
        <v>0</v>
      </c>
      <c r="G248" s="434">
        <f>'T3 ANSP'!G248+'T3 MET'!G248+'T3 MET'!G248</f>
        <v>0</v>
      </c>
      <c r="H248" s="434">
        <f>'T3 ANSP'!H248+'T3 MET'!H248+'T3 MET'!H248</f>
        <v>0</v>
      </c>
      <c r="I248" s="481">
        <f>'T3 ANSP'!I248+'T3 MET'!I248+'T3 MET'!I248</f>
        <v>0</v>
      </c>
      <c r="J248" s="481">
        <f>'T3 ANSP'!J248+'T3 MET'!J248+'T3 MET'!J248</f>
        <v>0</v>
      </c>
      <c r="K248" s="481">
        <f>'T3 ANSP'!K248+'T3 MET'!K248+'T3 MET'!K248</f>
        <v>0</v>
      </c>
      <c r="L248" s="481">
        <f>'T3 ANSP'!L248+'T3 MET'!L248+'T3 MET'!L248</f>
        <v>0</v>
      </c>
      <c r="M248" s="1076">
        <f>'T3 ANSP'!M248+'T3 MET'!M248+'T3 MET'!M248</f>
        <v>0</v>
      </c>
    </row>
    <row r="249" spans="1:13" ht="5.25" customHeight="1">
      <c r="C249" s="472"/>
      <c r="D249" s="1417"/>
      <c r="E249" s="1417"/>
      <c r="F249" s="1418"/>
      <c r="G249" s="1417"/>
      <c r="H249" s="1417"/>
      <c r="I249" s="1417"/>
      <c r="J249" s="1417"/>
      <c r="K249" s="1417"/>
      <c r="L249" s="1417"/>
      <c r="M249" s="1417"/>
    </row>
    <row r="250" spans="1:13" ht="3" customHeight="1">
      <c r="D250" s="435"/>
      <c r="E250" s="435"/>
      <c r="F250" s="607"/>
      <c r="G250" s="435"/>
      <c r="H250" s="435"/>
      <c r="I250" s="435"/>
      <c r="J250" s="435"/>
      <c r="K250" s="435"/>
      <c r="L250" s="435"/>
      <c r="M250" s="435"/>
    </row>
    <row r="251" spans="1:13">
      <c r="C251" s="431" t="s">
        <v>716</v>
      </c>
      <c r="D251" s="432" t="e">
        <f>'T3 ANSP'!D251+'T3 MET'!D251+'T3 MET'!D251</f>
        <v>#REF!</v>
      </c>
      <c r="E251" s="432">
        <f>'T3 ANSP'!E251+'T3 MET'!E251+'T3 MET'!E251</f>
        <v>-75879.446457986749</v>
      </c>
      <c r="F251" s="432">
        <f>'T3 ANSP'!F251+'T3 MET'!F251+'T3 MET'!F251</f>
        <v>-75504.392347561385</v>
      </c>
      <c r="G251" s="432">
        <f>'T3 ANSP'!G251+'T3 MET'!G251+'T3 MET'!G251</f>
        <v>-35081.168692528459</v>
      </c>
      <c r="H251" s="432">
        <f>'T3 ANSP'!H251+'T3 MET'!H251+'T3 MET'!H251</f>
        <v>69385.085805184091</v>
      </c>
      <c r="I251" s="1073">
        <f>'T3 ANSP'!I251+'T3 MET'!I251+'T3 MET'!I251</f>
        <v>55050.314840123174</v>
      </c>
      <c r="J251" s="1073">
        <f>'T3 ANSP'!J251+'T3 MET'!J251+'T3 MET'!J251</f>
        <v>74621.638789678924</v>
      </c>
      <c r="K251" s="1073">
        <f>'T3 ANSP'!K251+'T3 MET'!K251+'T3 MET'!K251</f>
        <v>92865.697502843381</v>
      </c>
      <c r="L251" s="1073">
        <f>'T3 ANSP'!L251+'T3 MET'!L251+'T3 MET'!L251</f>
        <v>118915.24861054491</v>
      </c>
      <c r="M251" s="1076" t="e">
        <f>'T3 ANSP'!M251+'T3 MET'!M251+'T3 MET'!M251</f>
        <v>#REF!</v>
      </c>
    </row>
  </sheetData>
  <autoFilter ref="A8:M172" xr:uid="{00000000-0009-0000-0000-000009000000}"/>
  <mergeCells count="1">
    <mergeCell ref="C1:M1"/>
  </mergeCells>
  <pageMargins left="0.7" right="0.7" top="0.75" bottom="0.75" header="0.3" footer="0.3"/>
  <pageSetup paperSize="9" scale="38"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61"/>
  <sheetViews>
    <sheetView zoomScaleNormal="100" workbookViewId="0">
      <pane xSplit="4" ySplit="7" topLeftCell="E245" activePane="bottomRight" state="frozen"/>
      <selection pane="topRight" activeCell="E1" sqref="E1"/>
      <selection pane="bottomLeft" activeCell="A8" sqref="A8"/>
      <selection pane="bottomRight" activeCell="A263" sqref="A263"/>
    </sheetView>
  </sheetViews>
  <sheetFormatPr defaultColWidth="12.5703125" defaultRowHeight="15"/>
  <cols>
    <col min="1" max="1" width="12.5703125" style="455" customWidth="1"/>
    <col min="2" max="2" width="2.140625" style="386" customWidth="1"/>
    <col min="3" max="3" width="57.7109375" style="386" customWidth="1"/>
    <col min="4" max="4" width="10.5703125" style="386" bestFit="1" customWidth="1"/>
    <col min="5" max="5" width="10" style="386" customWidth="1"/>
    <col min="6" max="6" width="10" style="219" customWidth="1"/>
    <col min="7" max="12" width="10" style="386" customWidth="1"/>
    <col min="13" max="13" width="10.7109375" style="386" customWidth="1"/>
    <col min="14" max="16384" width="12.5703125" style="386"/>
  </cols>
  <sheetData>
    <row r="1" spans="1:13" ht="12" customHeight="1">
      <c r="C1" s="1598" t="s">
        <v>486</v>
      </c>
      <c r="D1" s="1598"/>
      <c r="E1" s="1598"/>
      <c r="F1" s="1598"/>
      <c r="G1" s="1598"/>
      <c r="H1" s="1598"/>
      <c r="I1" s="1598"/>
      <c r="J1" s="1598"/>
      <c r="K1" s="1598"/>
      <c r="L1" s="1598"/>
      <c r="M1" s="1598"/>
    </row>
    <row r="2" spans="1:13" ht="12" customHeight="1">
      <c r="C2" s="793"/>
      <c r="D2" s="388"/>
      <c r="E2" s="388"/>
      <c r="G2" s="388"/>
      <c r="H2" s="388"/>
      <c r="I2" s="388"/>
      <c r="J2" s="388"/>
      <c r="K2" s="388"/>
      <c r="L2" s="388"/>
      <c r="M2" s="388"/>
    </row>
    <row r="3" spans="1:13" ht="12" customHeight="1">
      <c r="C3" s="681" t="str">
        <f>'T2 ANSP'!A3</f>
        <v>United Kingdom</v>
      </c>
      <c r="D3" s="388"/>
      <c r="E3" s="388"/>
      <c r="G3" s="388"/>
      <c r="H3" s="388"/>
      <c r="I3" s="388"/>
      <c r="J3" s="388"/>
      <c r="K3" s="388"/>
      <c r="L3" s="388"/>
      <c r="M3" s="388"/>
    </row>
    <row r="4" spans="1:13" ht="12" customHeight="1">
      <c r="C4" s="83" t="str">
        <f>'T2 ANSP'!A4</f>
        <v>Currency : GBP £</v>
      </c>
      <c r="D4" s="388"/>
      <c r="E4" s="388"/>
      <c r="G4" s="388"/>
      <c r="H4" s="388"/>
      <c r="I4" s="1000"/>
      <c r="J4" s="1000"/>
      <c r="K4" s="1000"/>
      <c r="L4" s="1000"/>
      <c r="M4" s="388"/>
    </row>
    <row r="5" spans="1:13" ht="12" customHeight="1">
      <c r="C5" s="147" t="str">
        <f>'T2 ANSP'!A5</f>
        <v>NERL</v>
      </c>
      <c r="D5" s="388"/>
      <c r="E5" s="390"/>
      <c r="G5" s="390"/>
      <c r="H5" s="388"/>
      <c r="I5" s="388"/>
      <c r="J5" s="388"/>
      <c r="K5" s="388"/>
      <c r="L5" s="388"/>
      <c r="M5" s="388"/>
    </row>
    <row r="6" spans="1:13" ht="12" customHeight="1">
      <c r="C6" s="390"/>
      <c r="D6" s="390"/>
      <c r="E6" s="390"/>
      <c r="F6" s="390"/>
      <c r="G6" s="390"/>
      <c r="H6" s="390"/>
      <c r="I6" s="390"/>
      <c r="J6" s="390"/>
      <c r="K6" s="390"/>
      <c r="L6" s="390"/>
      <c r="M6" s="390"/>
    </row>
    <row r="7" spans="1:13" ht="12" customHeight="1">
      <c r="A7" s="455" t="s">
        <v>487</v>
      </c>
      <c r="C7" s="391" t="s">
        <v>488</v>
      </c>
      <c r="D7" s="392" t="s">
        <v>489</v>
      </c>
      <c r="E7" s="393">
        <v>2020</v>
      </c>
      <c r="F7" s="394">
        <v>2021</v>
      </c>
      <c r="G7" s="394">
        <v>2022</v>
      </c>
      <c r="H7" s="394">
        <v>2023</v>
      </c>
      <c r="I7" s="1057">
        <v>2024</v>
      </c>
      <c r="J7" s="394">
        <v>2025</v>
      </c>
      <c r="K7" s="1057">
        <v>2026</v>
      </c>
      <c r="L7" s="394">
        <v>2027</v>
      </c>
      <c r="M7" s="1048" t="s">
        <v>490</v>
      </c>
    </row>
    <row r="8" spans="1:13" ht="11.1" customHeight="1">
      <c r="C8" s="397"/>
      <c r="D8" s="397"/>
      <c r="E8" s="397"/>
      <c r="F8" s="397"/>
      <c r="G8" s="397"/>
      <c r="H8" s="397"/>
      <c r="I8" s="397"/>
      <c r="M8" s="397"/>
    </row>
    <row r="9" spans="1:13" ht="12" customHeight="1">
      <c r="A9" s="455">
        <v>2018</v>
      </c>
      <c r="C9" s="398" t="s">
        <v>491</v>
      </c>
      <c r="D9" s="475">
        <v>-13078.944372610684</v>
      </c>
      <c r="E9" s="400">
        <v>-13078.944372610684</v>
      </c>
      <c r="F9" s="401"/>
      <c r="G9" s="402"/>
      <c r="H9" s="402"/>
      <c r="I9" s="1058"/>
      <c r="J9" s="1058"/>
      <c r="K9" s="1058"/>
      <c r="L9" s="1058"/>
      <c r="M9" s="1058"/>
    </row>
    <row r="10" spans="1:13" ht="12" customHeight="1">
      <c r="A10" s="455">
        <v>2019</v>
      </c>
      <c r="C10" s="406" t="s">
        <v>492</v>
      </c>
      <c r="D10" s="477">
        <v>-13954.402440005846</v>
      </c>
      <c r="E10" s="408"/>
      <c r="F10" s="409">
        <f>D10</f>
        <v>-13954.402440005846</v>
      </c>
      <c r="G10" s="410"/>
      <c r="H10" s="410"/>
      <c r="I10" s="1059"/>
      <c r="J10" s="1059"/>
      <c r="K10" s="1059"/>
      <c r="L10" s="1059"/>
      <c r="M10" s="1059"/>
    </row>
    <row r="11" spans="1:13" ht="12" customHeight="1">
      <c r="A11" s="455" t="s">
        <v>493</v>
      </c>
      <c r="C11" s="413" t="s">
        <v>494</v>
      </c>
      <c r="D11" s="414">
        <f>SUM(D9:D10)</f>
        <v>-27033.346812616532</v>
      </c>
      <c r="E11" s="415">
        <f t="shared" ref="E11:F11" si="0">SUM(E9:E10)</f>
        <v>-13078.944372610684</v>
      </c>
      <c r="F11" s="416">
        <f t="shared" si="0"/>
        <v>-13954.402440005846</v>
      </c>
      <c r="G11" s="417"/>
      <c r="H11" s="417"/>
      <c r="I11" s="1060"/>
      <c r="J11" s="1060"/>
      <c r="K11" s="1060"/>
      <c r="L11" s="1060"/>
      <c r="M11" s="1060"/>
    </row>
    <row r="12" spans="1:13" ht="12" customHeight="1">
      <c r="A12" s="455">
        <v>2020</v>
      </c>
      <c r="C12" s="398" t="s">
        <v>495</v>
      </c>
      <c r="D12" s="915">
        <f>'T2 ANSP'!C19</f>
        <v>-7512.170058296193</v>
      </c>
      <c r="E12" s="420"/>
      <c r="F12" s="401"/>
      <c r="G12" s="421">
        <f>D12</f>
        <v>-7512.170058296193</v>
      </c>
      <c r="H12" s="402"/>
      <c r="I12" s="410"/>
      <c r="J12" s="410"/>
      <c r="K12" s="410"/>
      <c r="L12" s="410"/>
      <c r="M12" s="1054"/>
    </row>
    <row r="13" spans="1:13" ht="12" customHeight="1">
      <c r="A13" s="455">
        <v>2021</v>
      </c>
      <c r="C13" s="406" t="s">
        <v>496</v>
      </c>
      <c r="D13" s="407">
        <f>'T2 ANSP'!D19</f>
        <v>-3418.2838664568976</v>
      </c>
      <c r="E13" s="408"/>
      <c r="F13" s="422"/>
      <c r="G13" s="410"/>
      <c r="H13" s="423">
        <f>D13</f>
        <v>-3418.2838664568976</v>
      </c>
      <c r="I13" s="410"/>
      <c r="J13" s="410"/>
      <c r="K13" s="410"/>
      <c r="L13" s="410"/>
      <c r="M13" s="1049"/>
    </row>
    <row r="14" spans="1:13" ht="12" customHeight="1">
      <c r="A14" s="455">
        <v>2022</v>
      </c>
      <c r="C14" s="406" t="s">
        <v>497</v>
      </c>
      <c r="D14" s="407">
        <f>'T2 ANSP'!E19</f>
        <v>1211.0470623107449</v>
      </c>
      <c r="E14" s="408"/>
      <c r="F14" s="422"/>
      <c r="G14" s="410"/>
      <c r="H14" s="410"/>
      <c r="I14" s="1061">
        <f>D14</f>
        <v>1211.0470623107449</v>
      </c>
      <c r="J14" s="410"/>
      <c r="K14" s="410"/>
      <c r="L14" s="410"/>
      <c r="M14" s="1049"/>
    </row>
    <row r="15" spans="1:13" ht="12" customHeight="1">
      <c r="A15" s="455" t="s">
        <v>498</v>
      </c>
      <c r="C15" s="413" t="s">
        <v>499</v>
      </c>
      <c r="D15" s="414">
        <f>SUM(D12:D14)</f>
        <v>-9719.4068624423453</v>
      </c>
      <c r="E15" s="1083"/>
      <c r="F15" s="1084"/>
      <c r="G15" s="416">
        <f>SUM(G12:G14)</f>
        <v>-7512.170058296193</v>
      </c>
      <c r="H15" s="416">
        <f>SUM(H12:H14)</f>
        <v>-3418.2838664568976</v>
      </c>
      <c r="I15" s="416">
        <f>SUM(I12:I14)</f>
        <v>1211.0470623107449</v>
      </c>
      <c r="J15" s="417"/>
      <c r="K15" s="417"/>
      <c r="L15" s="417"/>
      <c r="M15" s="1050"/>
    </row>
    <row r="16" spans="1:13" ht="12" customHeight="1">
      <c r="A16" s="455">
        <v>2023</v>
      </c>
      <c r="C16" s="406" t="s">
        <v>500</v>
      </c>
      <c r="D16" s="407">
        <f>'T2 ANSP'!F19</f>
        <v>0</v>
      </c>
      <c r="E16" s="408"/>
      <c r="F16" s="422"/>
      <c r="G16" s="410"/>
      <c r="H16" s="410"/>
      <c r="I16" s="410"/>
      <c r="J16" s="1061">
        <f>D16</f>
        <v>0</v>
      </c>
      <c r="K16" s="410"/>
      <c r="L16" s="410"/>
      <c r="M16" s="1049"/>
    </row>
    <row r="17" spans="1:13" ht="12" customHeight="1">
      <c r="A17" s="455">
        <v>2024</v>
      </c>
      <c r="C17" s="406" t="s">
        <v>501</v>
      </c>
      <c r="D17" s="407">
        <f>'T2 ANSP'!G19</f>
        <v>0</v>
      </c>
      <c r="E17" s="408"/>
      <c r="F17" s="422"/>
      <c r="G17" s="410"/>
      <c r="H17" s="410"/>
      <c r="I17" s="410"/>
      <c r="J17" s="410"/>
      <c r="K17" s="1061">
        <f>D17</f>
        <v>0</v>
      </c>
      <c r="L17" s="410"/>
      <c r="M17" s="1049"/>
    </row>
    <row r="18" spans="1:13" ht="12" customHeight="1">
      <c r="A18" s="455">
        <v>2025</v>
      </c>
      <c r="C18" s="406" t="s">
        <v>502</v>
      </c>
      <c r="D18" s="407">
        <f>'T2 ANSP'!H19</f>
        <v>0</v>
      </c>
      <c r="E18" s="408"/>
      <c r="F18" s="422"/>
      <c r="G18" s="410"/>
      <c r="H18" s="410"/>
      <c r="I18" s="410"/>
      <c r="J18" s="410"/>
      <c r="K18" s="410"/>
      <c r="L18" s="1061">
        <f>D18</f>
        <v>0</v>
      </c>
      <c r="M18" s="1049"/>
    </row>
    <row r="19" spans="1:13" ht="12" customHeight="1">
      <c r="A19" s="455">
        <v>2026</v>
      </c>
      <c r="C19" s="406" t="s">
        <v>503</v>
      </c>
      <c r="D19" s="407">
        <f>'T2 ANSP'!I19</f>
        <v>0</v>
      </c>
      <c r="E19" s="408"/>
      <c r="F19" s="422"/>
      <c r="G19" s="410"/>
      <c r="H19" s="410"/>
      <c r="I19" s="410"/>
      <c r="J19" s="410"/>
      <c r="K19" s="410"/>
      <c r="L19" s="410"/>
      <c r="M19" s="1074">
        <f>D19</f>
        <v>0</v>
      </c>
    </row>
    <row r="20" spans="1:13" ht="12" customHeight="1">
      <c r="A20" s="455">
        <v>2027</v>
      </c>
      <c r="C20" s="426" t="s">
        <v>504</v>
      </c>
      <c r="D20" s="427">
        <f>'T2 ANSP'!J19</f>
        <v>0</v>
      </c>
      <c r="E20" s="428"/>
      <c r="F20" s="429"/>
      <c r="G20" s="429"/>
      <c r="H20" s="429"/>
      <c r="I20" s="410"/>
      <c r="J20" s="410"/>
      <c r="K20" s="410"/>
      <c r="L20" s="410"/>
      <c r="M20" s="1075">
        <f>D20</f>
        <v>0</v>
      </c>
    </row>
    <row r="21" spans="1:13" ht="12" customHeight="1">
      <c r="A21" s="455" t="s">
        <v>505</v>
      </c>
      <c r="C21" s="431" t="s">
        <v>506</v>
      </c>
      <c r="D21" s="432">
        <f>SUM(D16:D20)+D11+D15</f>
        <v>-36752.753675058877</v>
      </c>
      <c r="E21" s="480">
        <f t="shared" ref="E21:M21" si="1">SUM(E16:E20)+E11+E15</f>
        <v>-13078.944372610684</v>
      </c>
      <c r="F21" s="434">
        <f t="shared" si="1"/>
        <v>-13954.402440005846</v>
      </c>
      <c r="G21" s="434">
        <f t="shared" si="1"/>
        <v>-7512.170058296193</v>
      </c>
      <c r="H21" s="434">
        <f t="shared" si="1"/>
        <v>-3418.2838664568976</v>
      </c>
      <c r="I21" s="481">
        <f t="shared" si="1"/>
        <v>1211.0470623107449</v>
      </c>
      <c r="J21" s="481">
        <f t="shared" si="1"/>
        <v>0</v>
      </c>
      <c r="K21" s="481">
        <f t="shared" si="1"/>
        <v>0</v>
      </c>
      <c r="L21" s="481">
        <f t="shared" si="1"/>
        <v>0</v>
      </c>
      <c r="M21" s="1076">
        <f t="shared" si="1"/>
        <v>0</v>
      </c>
    </row>
    <row r="22" spans="1:13" ht="4.1500000000000004" customHeight="1">
      <c r="A22" s="758"/>
      <c r="C22" s="482"/>
      <c r="D22" s="483"/>
      <c r="E22" s="484"/>
      <c r="F22" s="484"/>
      <c r="G22" s="484"/>
      <c r="H22" s="484"/>
      <c r="I22" s="484"/>
      <c r="J22" s="447"/>
      <c r="K22" s="447"/>
      <c r="L22" s="447"/>
      <c r="M22" s="484"/>
    </row>
    <row r="23" spans="1:13" ht="12.6" customHeight="1">
      <c r="A23" s="455">
        <v>2017</v>
      </c>
      <c r="C23" s="398" t="s">
        <v>507</v>
      </c>
      <c r="D23" s="485">
        <v>0</v>
      </c>
      <c r="E23" s="486">
        <v>0</v>
      </c>
      <c r="F23" s="487">
        <v>0</v>
      </c>
      <c r="G23" s="507"/>
      <c r="H23" s="507"/>
      <c r="I23" s="1085"/>
      <c r="J23" s="1085"/>
      <c r="K23" s="1085"/>
      <c r="L23" s="1085"/>
      <c r="M23" s="1054"/>
    </row>
    <row r="24" spans="1:13" ht="12" customHeight="1">
      <c r="A24" s="455">
        <v>2018</v>
      </c>
      <c r="C24" s="406" t="s">
        <v>508</v>
      </c>
      <c r="D24" s="489">
        <v>-52778.573401516776</v>
      </c>
      <c r="E24" s="490">
        <f>D24</f>
        <v>-52778.573401516776</v>
      </c>
      <c r="F24" s="491">
        <v>0</v>
      </c>
      <c r="G24" s="509"/>
      <c r="H24" s="509"/>
      <c r="I24" s="1068"/>
      <c r="J24" s="1068"/>
      <c r="K24" s="1068"/>
      <c r="L24" s="1068"/>
      <c r="M24" s="1049"/>
    </row>
    <row r="25" spans="1:13" ht="12" customHeight="1">
      <c r="A25" s="455">
        <v>2019</v>
      </c>
      <c r="C25" s="406" t="s">
        <v>509</v>
      </c>
      <c r="D25" s="489">
        <v>-62084.313388410344</v>
      </c>
      <c r="E25" s="408"/>
      <c r="F25" s="491">
        <f>D25</f>
        <v>-62084.313388410344</v>
      </c>
      <c r="G25" s="509"/>
      <c r="H25" s="509"/>
      <c r="I25" s="1068"/>
      <c r="J25" s="1068"/>
      <c r="K25" s="1068"/>
      <c r="L25" s="1068"/>
      <c r="M25" s="1049"/>
    </row>
    <row r="26" spans="1:13" ht="12" customHeight="1">
      <c r="A26" s="455" t="s">
        <v>493</v>
      </c>
      <c r="C26" s="413" t="s">
        <v>510</v>
      </c>
      <c r="D26" s="414">
        <f>SUM(D23:D25)</f>
        <v>-114862.88678992711</v>
      </c>
      <c r="E26" s="415">
        <f t="shared" ref="E26:F26" si="2">SUM(E23:E25)</f>
        <v>-52778.573401516776</v>
      </c>
      <c r="F26" s="416">
        <f t="shared" si="2"/>
        <v>-62084.313388410344</v>
      </c>
      <c r="G26" s="417"/>
      <c r="H26" s="417"/>
      <c r="I26" s="1060"/>
      <c r="J26" s="1060"/>
      <c r="K26" s="1060"/>
      <c r="L26" s="1060"/>
      <c r="M26" s="1050"/>
    </row>
    <row r="27" spans="1:13" ht="12" customHeight="1">
      <c r="A27" s="455">
        <v>2020</v>
      </c>
      <c r="C27" s="398" t="s">
        <v>511</v>
      </c>
      <c r="D27" s="1040"/>
      <c r="E27" s="420"/>
      <c r="F27" s="401"/>
      <c r="G27" s="1041"/>
      <c r="H27" s="402"/>
      <c r="I27" s="402"/>
      <c r="J27" s="402"/>
      <c r="K27" s="402"/>
      <c r="L27" s="402"/>
      <c r="M27" s="1054"/>
    </row>
    <row r="28" spans="1:13" ht="12" customHeight="1">
      <c r="A28" s="455">
        <v>2021</v>
      </c>
      <c r="C28" s="406" t="s">
        <v>512</v>
      </c>
      <c r="D28" s="1040"/>
      <c r="E28" s="408"/>
      <c r="F28" s="422"/>
      <c r="G28" s="410"/>
      <c r="H28" s="1236"/>
      <c r="I28" s="1065"/>
      <c r="J28" s="423"/>
      <c r="K28" s="423"/>
      <c r="L28" s="423"/>
      <c r="M28" s="1049"/>
    </row>
    <row r="29" spans="1:13" ht="12" customHeight="1">
      <c r="A29" s="455">
        <v>2022</v>
      </c>
      <c r="C29" s="406" t="s">
        <v>513</v>
      </c>
      <c r="D29" s="407">
        <f>'T2 ANSP'!E41</f>
        <v>0</v>
      </c>
      <c r="E29" s="408"/>
      <c r="F29" s="422"/>
      <c r="G29" s="410"/>
      <c r="H29" s="410"/>
      <c r="I29" s="423"/>
      <c r="J29" s="410"/>
      <c r="K29" s="410"/>
      <c r="L29" s="410"/>
      <c r="M29" s="1049"/>
    </row>
    <row r="30" spans="1:13" ht="12" customHeight="1">
      <c r="A30" s="455" t="s">
        <v>498</v>
      </c>
      <c r="C30" s="413" t="s">
        <v>514</v>
      </c>
      <c r="D30" s="414">
        <f>SUM(D27:D29)</f>
        <v>0</v>
      </c>
      <c r="E30" s="1083"/>
      <c r="F30" s="1084"/>
      <c r="G30" s="416">
        <f>SUM(G27:G29)</f>
        <v>0</v>
      </c>
      <c r="H30" s="416">
        <f>SUM(H27:H29)</f>
        <v>0</v>
      </c>
      <c r="I30" s="416">
        <f>SUM(I27:I29)</f>
        <v>0</v>
      </c>
      <c r="J30" s="417"/>
      <c r="K30" s="417"/>
      <c r="L30" s="417"/>
      <c r="M30" s="1050"/>
    </row>
    <row r="31" spans="1:13" ht="12" customHeight="1">
      <c r="A31" s="455">
        <v>2023</v>
      </c>
      <c r="C31" s="406" t="s">
        <v>515</v>
      </c>
      <c r="D31" s="407">
        <f>'T2 ANSP'!F41</f>
        <v>0</v>
      </c>
      <c r="E31" s="408"/>
      <c r="F31" s="422"/>
      <c r="G31" s="410"/>
      <c r="H31" s="410"/>
      <c r="I31" s="410"/>
      <c r="J31" s="423">
        <f>D31</f>
        <v>0</v>
      </c>
      <c r="K31" s="410"/>
      <c r="L31" s="410"/>
      <c r="M31" s="1049"/>
    </row>
    <row r="32" spans="1:13" ht="12" customHeight="1">
      <c r="A32" s="455">
        <v>2024</v>
      </c>
      <c r="C32" s="406" t="s">
        <v>516</v>
      </c>
      <c r="D32" s="407">
        <f>'T2 ANSP'!G41</f>
        <v>0</v>
      </c>
      <c r="E32" s="408"/>
      <c r="F32" s="422"/>
      <c r="G32" s="410"/>
      <c r="H32" s="410"/>
      <c r="I32" s="410"/>
      <c r="J32" s="410"/>
      <c r="K32" s="423">
        <f>D32</f>
        <v>0</v>
      </c>
      <c r="L32" s="410"/>
      <c r="M32" s="1049"/>
    </row>
    <row r="33" spans="1:13" ht="12" customHeight="1">
      <c r="A33" s="455">
        <v>2025</v>
      </c>
      <c r="C33" s="406" t="s">
        <v>517</v>
      </c>
      <c r="D33" s="407">
        <f>'T2 ANSP'!H41</f>
        <v>0</v>
      </c>
      <c r="E33" s="408"/>
      <c r="F33" s="422"/>
      <c r="G33" s="410"/>
      <c r="H33" s="410"/>
      <c r="I33" s="410"/>
      <c r="J33" s="410"/>
      <c r="K33" s="410"/>
      <c r="L33" s="423">
        <f>D33</f>
        <v>0</v>
      </c>
      <c r="M33" s="1049"/>
    </row>
    <row r="34" spans="1:13" ht="12" customHeight="1">
      <c r="A34" s="455">
        <v>2026</v>
      </c>
      <c r="C34" s="406" t="s">
        <v>518</v>
      </c>
      <c r="D34" s="407">
        <f>'T2 ANSP'!I41</f>
        <v>0</v>
      </c>
      <c r="E34" s="408"/>
      <c r="F34" s="422"/>
      <c r="G34" s="410"/>
      <c r="H34" s="410"/>
      <c r="I34" s="410"/>
      <c r="J34" s="410"/>
      <c r="K34" s="410"/>
      <c r="L34" s="410"/>
      <c r="M34" s="1074">
        <f>D34</f>
        <v>0</v>
      </c>
    </row>
    <row r="35" spans="1:13" ht="12" customHeight="1">
      <c r="A35" s="455">
        <v>2027</v>
      </c>
      <c r="C35" s="406" t="s">
        <v>519</v>
      </c>
      <c r="D35" s="427">
        <f>'T2 ANSP'!J41</f>
        <v>0</v>
      </c>
      <c r="E35" s="428"/>
      <c r="F35" s="429"/>
      <c r="G35" s="429"/>
      <c r="H35" s="429"/>
      <c r="I35" s="429"/>
      <c r="J35" s="429"/>
      <c r="K35" s="429"/>
      <c r="L35" s="429"/>
      <c r="M35" s="1075">
        <f>D35</f>
        <v>0</v>
      </c>
    </row>
    <row r="36" spans="1:13" ht="12" customHeight="1">
      <c r="A36" s="455" t="s">
        <v>505</v>
      </c>
      <c r="C36" s="431" t="s">
        <v>520</v>
      </c>
      <c r="D36" s="480">
        <f>SUM(D31:D35)+D26+D30+D258</f>
        <v>775146.69424862484</v>
      </c>
      <c r="E36" s="480">
        <f t="shared" ref="E36:M36" si="3">SUM(E31:E35)+E26+E30+E258</f>
        <v>-52778.573401516776</v>
      </c>
      <c r="F36" s="480">
        <f t="shared" si="3"/>
        <v>-62084.313388410344</v>
      </c>
      <c r="G36" s="480">
        <f t="shared" si="3"/>
        <v>0</v>
      </c>
      <c r="H36" s="480">
        <f t="shared" si="3"/>
        <v>85729.290506728183</v>
      </c>
      <c r="I36" s="480">
        <f t="shared" si="3"/>
        <v>87689.264295991496</v>
      </c>
      <c r="J36" s="480">
        <f t="shared" si="3"/>
        <v>90014.205909109281</v>
      </c>
      <c r="K36" s="480">
        <f t="shared" si="3"/>
        <v>92475.777126785251</v>
      </c>
      <c r="L36" s="480">
        <f t="shared" si="3"/>
        <v>94985.269363479718</v>
      </c>
      <c r="M36" s="1076">
        <f t="shared" si="3"/>
        <v>439115.7738364581</v>
      </c>
    </row>
    <row r="37" spans="1:13" ht="4.1500000000000004" customHeight="1">
      <c r="A37" s="758"/>
      <c r="C37" s="482"/>
      <c r="D37" s="482"/>
      <c r="E37" s="447"/>
      <c r="F37" s="447"/>
      <c r="G37" s="447"/>
      <c r="H37" s="447"/>
      <c r="I37" s="447"/>
      <c r="J37" s="447"/>
      <c r="K37" s="447"/>
      <c r="L37" s="447"/>
      <c r="M37" s="447"/>
    </row>
    <row r="38" spans="1:13" ht="12" customHeight="1">
      <c r="A38" s="455">
        <v>2020</v>
      </c>
      <c r="C38" s="398" t="s">
        <v>521</v>
      </c>
      <c r="D38" s="443">
        <f>'T2 ANSP'!C22</f>
        <v>0</v>
      </c>
      <c r="E38" s="420"/>
      <c r="F38" s="401"/>
      <c r="G38" s="487">
        <f>D38</f>
        <v>0</v>
      </c>
      <c r="H38" s="402"/>
      <c r="I38" s="1058"/>
      <c r="J38" s="402"/>
      <c r="K38" s="402"/>
      <c r="L38" s="402"/>
      <c r="M38" s="1054"/>
    </row>
    <row r="39" spans="1:13" ht="12" customHeight="1">
      <c r="A39" s="455">
        <v>2021</v>
      </c>
      <c r="C39" s="406" t="s">
        <v>522</v>
      </c>
      <c r="D39" s="444">
        <f>'T2 ANSP'!D22</f>
        <v>0</v>
      </c>
      <c r="E39" s="408"/>
      <c r="F39" s="422"/>
      <c r="G39" s="410"/>
      <c r="H39" s="491">
        <f>D39</f>
        <v>0</v>
      </c>
      <c r="I39" s="1059"/>
      <c r="J39" s="410"/>
      <c r="K39" s="410"/>
      <c r="L39" s="410"/>
      <c r="M39" s="1049"/>
    </row>
    <row r="40" spans="1:13" ht="12" customHeight="1">
      <c r="A40" s="455">
        <v>2022</v>
      </c>
      <c r="C40" s="406" t="s">
        <v>523</v>
      </c>
      <c r="D40" s="444">
        <f>'T2 ANSP'!E22</f>
        <v>0</v>
      </c>
      <c r="E40" s="408"/>
      <c r="F40" s="422"/>
      <c r="G40" s="410"/>
      <c r="H40" s="410"/>
      <c r="I40" s="1066">
        <f>D40</f>
        <v>0</v>
      </c>
      <c r="J40" s="410"/>
      <c r="K40" s="410"/>
      <c r="L40" s="410"/>
      <c r="M40" s="1049"/>
    </row>
    <row r="41" spans="1:13" ht="12" customHeight="1">
      <c r="A41" s="455" t="s">
        <v>498</v>
      </c>
      <c r="C41" s="413" t="s">
        <v>524</v>
      </c>
      <c r="D41" s="414">
        <f>SUM(D38:D40)</f>
        <v>0</v>
      </c>
      <c r="E41" s="1083"/>
      <c r="F41" s="1084"/>
      <c r="G41" s="416">
        <f>SUM(G38:G40)</f>
        <v>0</v>
      </c>
      <c r="H41" s="416">
        <f>SUM(H38:H40)</f>
        <v>0</v>
      </c>
      <c r="I41" s="416">
        <f>SUM(I38:I40)</f>
        <v>0</v>
      </c>
      <c r="J41" s="417"/>
      <c r="K41" s="417"/>
      <c r="L41" s="417"/>
      <c r="M41" s="1050"/>
    </row>
    <row r="42" spans="1:13" ht="12" customHeight="1">
      <c r="A42" s="455">
        <v>2023</v>
      </c>
      <c r="C42" s="406" t="s">
        <v>525</v>
      </c>
      <c r="D42" s="444">
        <f>'T2 ANSP'!F22</f>
        <v>0</v>
      </c>
      <c r="E42" s="408"/>
      <c r="F42" s="422"/>
      <c r="G42" s="410"/>
      <c r="H42" s="410"/>
      <c r="I42" s="1062"/>
      <c r="J42" s="1086">
        <f>D42</f>
        <v>0</v>
      </c>
      <c r="K42" s="1081"/>
      <c r="L42" s="402"/>
      <c r="M42" s="1054"/>
    </row>
    <row r="43" spans="1:13" ht="12" customHeight="1">
      <c r="A43" s="455">
        <v>2024</v>
      </c>
      <c r="C43" s="406" t="s">
        <v>526</v>
      </c>
      <c r="D43" s="444">
        <f>'T2 ANSP'!G22</f>
        <v>0</v>
      </c>
      <c r="E43" s="408"/>
      <c r="F43" s="422"/>
      <c r="G43" s="410"/>
      <c r="H43" s="410"/>
      <c r="I43" s="1062"/>
      <c r="J43" s="1081"/>
      <c r="K43" s="1086">
        <f>D43</f>
        <v>0</v>
      </c>
      <c r="L43" s="410"/>
      <c r="M43" s="1049"/>
    </row>
    <row r="44" spans="1:13" ht="12" customHeight="1">
      <c r="A44" s="455">
        <v>2025</v>
      </c>
      <c r="C44" s="406" t="s">
        <v>527</v>
      </c>
      <c r="D44" s="444">
        <f>'T2 ANSP'!H22</f>
        <v>0</v>
      </c>
      <c r="E44" s="408"/>
      <c r="F44" s="422"/>
      <c r="G44" s="410"/>
      <c r="H44" s="410"/>
      <c r="I44" s="1062"/>
      <c r="J44" s="1081"/>
      <c r="K44" s="1081"/>
      <c r="L44" s="1086">
        <f>D44</f>
        <v>0</v>
      </c>
      <c r="M44" s="1049"/>
    </row>
    <row r="45" spans="1:13" ht="12" customHeight="1">
      <c r="A45" s="455">
        <v>2026</v>
      </c>
      <c r="C45" s="406" t="s">
        <v>528</v>
      </c>
      <c r="D45" s="444">
        <f>'T2 ANSP'!I22</f>
        <v>0</v>
      </c>
      <c r="E45" s="408"/>
      <c r="F45" s="422"/>
      <c r="G45" s="410"/>
      <c r="H45" s="410"/>
      <c r="I45" s="1062"/>
      <c r="J45" s="1081"/>
      <c r="K45" s="1081"/>
      <c r="L45" s="1081"/>
      <c r="M45" s="440">
        <f>D45</f>
        <v>0</v>
      </c>
    </row>
    <row r="46" spans="1:13" ht="12" customHeight="1">
      <c r="A46" s="455">
        <v>2027</v>
      </c>
      <c r="C46" s="406" t="s">
        <v>529</v>
      </c>
      <c r="D46" s="445">
        <f>'T2 ANSP'!J22</f>
        <v>0</v>
      </c>
      <c r="E46" s="428"/>
      <c r="F46" s="429"/>
      <c r="G46" s="429"/>
      <c r="H46" s="429"/>
      <c r="I46" s="1063"/>
      <c r="J46" s="1082"/>
      <c r="K46" s="1082"/>
      <c r="L46" s="1082"/>
      <c r="M46" s="1075">
        <f>D46</f>
        <v>0</v>
      </c>
    </row>
    <row r="47" spans="1:13" ht="12" customHeight="1">
      <c r="A47" s="455" t="s">
        <v>505</v>
      </c>
      <c r="C47" s="431" t="s">
        <v>530</v>
      </c>
      <c r="D47" s="432">
        <f>SUM(D41:D46)</f>
        <v>0</v>
      </c>
      <c r="E47" s="494"/>
      <c r="F47" s="495"/>
      <c r="G47" s="480">
        <f t="shared" ref="G47:L47" si="4">SUM(G41:G46)</f>
        <v>0</v>
      </c>
      <c r="H47" s="480">
        <f t="shared" si="4"/>
        <v>0</v>
      </c>
      <c r="I47" s="480">
        <f t="shared" si="4"/>
        <v>0</v>
      </c>
      <c r="J47" s="480">
        <f t="shared" si="4"/>
        <v>0</v>
      </c>
      <c r="K47" s="480">
        <f t="shared" si="4"/>
        <v>0</v>
      </c>
      <c r="L47" s="480">
        <f t="shared" si="4"/>
        <v>0</v>
      </c>
      <c r="M47" s="1076">
        <f>SUM(M41:M46)</f>
        <v>0</v>
      </c>
    </row>
    <row r="48" spans="1:13" ht="4.1500000000000004" customHeight="1">
      <c r="A48" s="758"/>
      <c r="C48" s="482"/>
      <c r="D48" s="482"/>
      <c r="E48" s="447"/>
      <c r="F48" s="447"/>
      <c r="G48" s="447"/>
      <c r="H48" s="447"/>
      <c r="I48" s="447"/>
      <c r="J48" s="447"/>
      <c r="K48" s="447"/>
      <c r="L48" s="447"/>
      <c r="M48" s="447"/>
    </row>
    <row r="49" spans="1:13" ht="12" customHeight="1">
      <c r="A49" s="455">
        <v>2020</v>
      </c>
      <c r="C49" s="398" t="s">
        <v>531</v>
      </c>
      <c r="D49" s="496"/>
      <c r="E49" s="420"/>
      <c r="F49" s="401"/>
      <c r="G49" s="402"/>
      <c r="H49" s="402"/>
      <c r="I49" s="402"/>
      <c r="J49" s="402"/>
      <c r="K49" s="402"/>
      <c r="L49" s="402"/>
      <c r="M49" s="1054"/>
    </row>
    <row r="50" spans="1:13" ht="12" customHeight="1">
      <c r="A50" s="455">
        <v>2021</v>
      </c>
      <c r="C50" s="406" t="s">
        <v>532</v>
      </c>
      <c r="D50" s="497"/>
      <c r="E50" s="408"/>
      <c r="F50" s="422"/>
      <c r="G50" s="410"/>
      <c r="H50" s="410"/>
      <c r="I50" s="410"/>
      <c r="J50" s="410"/>
      <c r="K50" s="410"/>
      <c r="L50" s="410"/>
      <c r="M50" s="1049"/>
    </row>
    <row r="51" spans="1:13" ht="12" customHeight="1">
      <c r="A51" s="455">
        <v>2022</v>
      </c>
      <c r="C51" s="406" t="s">
        <v>533</v>
      </c>
      <c r="D51" s="497"/>
      <c r="E51" s="408"/>
      <c r="F51" s="422"/>
      <c r="G51" s="410"/>
      <c r="H51" s="410"/>
      <c r="I51" s="410"/>
      <c r="J51" s="410"/>
      <c r="K51" s="410"/>
      <c r="L51" s="410"/>
      <c r="M51" s="1049"/>
    </row>
    <row r="52" spans="1:13" ht="12" customHeight="1">
      <c r="A52" s="455" t="s">
        <v>498</v>
      </c>
      <c r="C52" s="413" t="s">
        <v>534</v>
      </c>
      <c r="D52" s="419"/>
      <c r="E52" s="464"/>
      <c r="F52" s="417"/>
      <c r="G52" s="417"/>
      <c r="H52" s="417"/>
      <c r="I52" s="417"/>
      <c r="J52" s="417"/>
      <c r="K52" s="417"/>
      <c r="L52" s="417"/>
      <c r="M52" s="1050"/>
    </row>
    <row r="53" spans="1:13" ht="12" customHeight="1">
      <c r="A53" s="455">
        <v>2023</v>
      </c>
      <c r="C53" s="406" t="s">
        <v>535</v>
      </c>
      <c r="D53" s="497"/>
      <c r="E53" s="457"/>
      <c r="F53" s="410"/>
      <c r="G53" s="410"/>
      <c r="H53" s="410"/>
      <c r="I53" s="410"/>
      <c r="J53" s="410"/>
      <c r="K53" s="410"/>
      <c r="L53" s="410"/>
      <c r="M53" s="1049"/>
    </row>
    <row r="54" spans="1:13" ht="12" customHeight="1">
      <c r="A54" s="455">
        <v>2024</v>
      </c>
      <c r="C54" s="406" t="s">
        <v>536</v>
      </c>
      <c r="D54" s="497"/>
      <c r="E54" s="457"/>
      <c r="F54" s="410"/>
      <c r="G54" s="410"/>
      <c r="H54" s="410"/>
      <c r="I54" s="410"/>
      <c r="J54" s="410"/>
      <c r="K54" s="410"/>
      <c r="L54" s="410"/>
      <c r="M54" s="1049"/>
    </row>
    <row r="55" spans="1:13" ht="12" customHeight="1">
      <c r="A55" s="455">
        <v>2025</v>
      </c>
      <c r="C55" s="406" t="s">
        <v>537</v>
      </c>
      <c r="D55" s="497"/>
      <c r="E55" s="457"/>
      <c r="F55" s="410"/>
      <c r="G55" s="410"/>
      <c r="H55" s="410"/>
      <c r="I55" s="410"/>
      <c r="J55" s="410"/>
      <c r="K55" s="410"/>
      <c r="L55" s="410"/>
      <c r="M55" s="1049"/>
    </row>
    <row r="56" spans="1:13" ht="12" customHeight="1">
      <c r="A56" s="455">
        <v>2026</v>
      </c>
      <c r="C56" s="406" t="s">
        <v>538</v>
      </c>
      <c r="D56" s="497"/>
      <c r="E56" s="457"/>
      <c r="F56" s="410"/>
      <c r="G56" s="410"/>
      <c r="H56" s="410"/>
      <c r="I56" s="410"/>
      <c r="J56" s="410"/>
      <c r="K56" s="410"/>
      <c r="L56" s="410"/>
      <c r="M56" s="1049"/>
    </row>
    <row r="57" spans="1:13" ht="12" customHeight="1">
      <c r="A57" s="455">
        <v>2027</v>
      </c>
      <c r="C57" s="406" t="s">
        <v>539</v>
      </c>
      <c r="D57" s="498"/>
      <c r="E57" s="460"/>
      <c r="F57" s="461"/>
      <c r="G57" s="461"/>
      <c r="H57" s="461"/>
      <c r="I57" s="461"/>
      <c r="J57" s="461"/>
      <c r="K57" s="461"/>
      <c r="L57" s="461"/>
      <c r="M57" s="1055"/>
    </row>
    <row r="58" spans="1:13" ht="12" customHeight="1">
      <c r="A58" s="455" t="s">
        <v>505</v>
      </c>
      <c r="C58" s="431" t="s">
        <v>540</v>
      </c>
      <c r="D58" s="500"/>
      <c r="E58" s="494"/>
      <c r="F58" s="495"/>
      <c r="G58" s="495"/>
      <c r="H58" s="495"/>
      <c r="I58" s="495"/>
      <c r="J58" s="495"/>
      <c r="K58" s="495"/>
      <c r="L58" s="495"/>
      <c r="M58" s="1056"/>
    </row>
    <row r="59" spans="1:13" ht="4.9000000000000004" customHeight="1">
      <c r="A59" s="758"/>
      <c r="C59" s="482"/>
      <c r="D59" s="447"/>
      <c r="E59" s="447"/>
      <c r="F59" s="447"/>
      <c r="G59" s="447"/>
      <c r="H59" s="447"/>
      <c r="I59" s="447"/>
      <c r="J59" s="447"/>
      <c r="K59" s="447"/>
      <c r="L59" s="447"/>
      <c r="M59" s="447"/>
    </row>
    <row r="60" spans="1:13" ht="12" customHeight="1">
      <c r="A60" s="455">
        <v>2020</v>
      </c>
      <c r="C60" s="398" t="s">
        <v>541</v>
      </c>
      <c r="D60" s="496"/>
      <c r="E60" s="456"/>
      <c r="F60" s="402"/>
      <c r="G60" s="402"/>
      <c r="H60" s="402"/>
      <c r="I60" s="402"/>
      <c r="J60" s="402"/>
      <c r="K60" s="402"/>
      <c r="L60" s="402"/>
      <c r="M60" s="1054"/>
    </row>
    <row r="61" spans="1:13" ht="12" customHeight="1">
      <c r="A61" s="455">
        <v>2021</v>
      </c>
      <c r="C61" s="406" t="s">
        <v>542</v>
      </c>
      <c r="D61" s="497"/>
      <c r="E61" s="457"/>
      <c r="F61" s="410"/>
      <c r="G61" s="410"/>
      <c r="H61" s="410"/>
      <c r="I61" s="410"/>
      <c r="J61" s="410"/>
      <c r="K61" s="410"/>
      <c r="L61" s="410"/>
      <c r="M61" s="1049"/>
    </row>
    <row r="62" spans="1:13" ht="12" customHeight="1">
      <c r="A62" s="455">
        <v>2022</v>
      </c>
      <c r="C62" s="406" t="s">
        <v>543</v>
      </c>
      <c r="D62" s="497"/>
      <c r="E62" s="457"/>
      <c r="F62" s="410"/>
      <c r="G62" s="410"/>
      <c r="H62" s="410"/>
      <c r="I62" s="410"/>
      <c r="J62" s="410"/>
      <c r="K62" s="410"/>
      <c r="L62" s="410"/>
      <c r="M62" s="1049"/>
    </row>
    <row r="63" spans="1:13" ht="12" customHeight="1">
      <c r="A63" s="455" t="s">
        <v>498</v>
      </c>
      <c r="C63" s="413" t="s">
        <v>544</v>
      </c>
      <c r="D63" s="419"/>
      <c r="E63" s="464"/>
      <c r="F63" s="417"/>
      <c r="G63" s="417"/>
      <c r="H63" s="417"/>
      <c r="I63" s="417"/>
      <c r="J63" s="417"/>
      <c r="K63" s="417"/>
      <c r="L63" s="417"/>
      <c r="M63" s="1050"/>
    </row>
    <row r="64" spans="1:13" ht="12" customHeight="1">
      <c r="A64" s="455">
        <v>2023</v>
      </c>
      <c r="C64" s="406" t="s">
        <v>545</v>
      </c>
      <c r="D64" s="497"/>
      <c r="E64" s="408"/>
      <c r="F64" s="422"/>
      <c r="G64" s="410"/>
      <c r="H64" s="410"/>
      <c r="I64" s="410"/>
      <c r="J64" s="410"/>
      <c r="K64" s="410"/>
      <c r="L64" s="410"/>
      <c r="M64" s="1049"/>
    </row>
    <row r="65" spans="1:13" ht="12" customHeight="1">
      <c r="A65" s="455">
        <v>2024</v>
      </c>
      <c r="C65" s="406" t="s">
        <v>546</v>
      </c>
      <c r="D65" s="497"/>
      <c r="E65" s="408"/>
      <c r="F65" s="422"/>
      <c r="G65" s="410"/>
      <c r="H65" s="410"/>
      <c r="I65" s="410"/>
      <c r="J65" s="410"/>
      <c r="K65" s="410"/>
      <c r="L65" s="410"/>
      <c r="M65" s="1049"/>
    </row>
    <row r="66" spans="1:13" ht="12" customHeight="1">
      <c r="A66" s="455">
        <v>2025</v>
      </c>
      <c r="C66" s="406" t="s">
        <v>547</v>
      </c>
      <c r="D66" s="497"/>
      <c r="E66" s="408"/>
      <c r="F66" s="422"/>
      <c r="G66" s="410"/>
      <c r="H66" s="410"/>
      <c r="I66" s="410"/>
      <c r="J66" s="410"/>
      <c r="K66" s="410"/>
      <c r="L66" s="410"/>
      <c r="M66" s="1049"/>
    </row>
    <row r="67" spans="1:13" ht="12" customHeight="1">
      <c r="A67" s="455">
        <v>2026</v>
      </c>
      <c r="C67" s="406" t="s">
        <v>548</v>
      </c>
      <c r="D67" s="497"/>
      <c r="E67" s="408"/>
      <c r="F67" s="422"/>
      <c r="G67" s="410"/>
      <c r="H67" s="410"/>
      <c r="I67" s="410"/>
      <c r="J67" s="410"/>
      <c r="K67" s="410"/>
      <c r="L67" s="410"/>
      <c r="M67" s="1049"/>
    </row>
    <row r="68" spans="1:13" ht="12" customHeight="1">
      <c r="A68" s="455">
        <v>2027</v>
      </c>
      <c r="C68" s="406" t="s">
        <v>549</v>
      </c>
      <c r="D68" s="498"/>
      <c r="E68" s="428"/>
      <c r="F68" s="429"/>
      <c r="G68" s="461"/>
      <c r="H68" s="461"/>
      <c r="I68" s="461"/>
      <c r="J68" s="461"/>
      <c r="K68" s="461"/>
      <c r="L68" s="461"/>
      <c r="M68" s="1055"/>
    </row>
    <row r="69" spans="1:13" ht="12" customHeight="1">
      <c r="A69" s="455" t="s">
        <v>505</v>
      </c>
      <c r="C69" s="431" t="s">
        <v>550</v>
      </c>
      <c r="D69" s="500"/>
      <c r="E69" s="494"/>
      <c r="F69" s="495"/>
      <c r="G69" s="495"/>
      <c r="H69" s="495"/>
      <c r="I69" s="495"/>
      <c r="J69" s="495"/>
      <c r="K69" s="495"/>
      <c r="L69" s="495"/>
      <c r="M69" s="1056"/>
    </row>
    <row r="70" spans="1:13" ht="4.9000000000000004" customHeight="1">
      <c r="A70" s="758"/>
      <c r="C70" s="482"/>
      <c r="D70" s="482"/>
      <c r="E70" s="447"/>
      <c r="F70" s="447"/>
      <c r="G70" s="447"/>
      <c r="H70" s="447"/>
      <c r="I70" s="447"/>
      <c r="J70" s="447"/>
      <c r="K70" s="447"/>
      <c r="L70" s="447"/>
      <c r="M70" s="447"/>
    </row>
    <row r="71" spans="1:13" ht="12" customHeight="1">
      <c r="A71" s="455">
        <v>2020</v>
      </c>
      <c r="C71" s="398" t="s">
        <v>551</v>
      </c>
      <c r="D71" s="443">
        <f>'T2 ANSP'!C25</f>
        <v>0</v>
      </c>
      <c r="E71" s="420"/>
      <c r="F71" s="401"/>
      <c r="G71" s="487">
        <v>0</v>
      </c>
      <c r="H71" s="402"/>
      <c r="I71" s="1058"/>
      <c r="J71" s="1058"/>
      <c r="K71" s="1058"/>
      <c r="L71" s="1058"/>
      <c r="M71" s="437">
        <f>D71-SUM(E71:L71)</f>
        <v>0</v>
      </c>
    </row>
    <row r="72" spans="1:13" ht="12" customHeight="1">
      <c r="A72" s="455">
        <v>2021</v>
      </c>
      <c r="C72" s="406" t="s">
        <v>552</v>
      </c>
      <c r="D72" s="444">
        <f>'T2 ANSP'!D25</f>
        <v>0</v>
      </c>
      <c r="E72" s="408"/>
      <c r="F72" s="422"/>
      <c r="G72" s="410"/>
      <c r="H72" s="491">
        <v>0</v>
      </c>
      <c r="I72" s="1059"/>
      <c r="J72" s="1059"/>
      <c r="K72" s="1059"/>
      <c r="L72" s="1059"/>
      <c r="M72" s="440">
        <f>D72-SUM(E72:L72)</f>
        <v>0</v>
      </c>
    </row>
    <row r="73" spans="1:13" ht="12" customHeight="1">
      <c r="A73" s="455">
        <v>2022</v>
      </c>
      <c r="C73" s="406" t="s">
        <v>553</v>
      </c>
      <c r="D73" s="444">
        <f>'T2 ANSP'!E25</f>
        <v>0</v>
      </c>
      <c r="E73" s="408"/>
      <c r="F73" s="422"/>
      <c r="G73" s="410"/>
      <c r="H73" s="410"/>
      <c r="I73" s="1066">
        <v>0</v>
      </c>
      <c r="J73" s="1087"/>
      <c r="K73" s="1087"/>
      <c r="L73" s="1087"/>
      <c r="M73" s="440">
        <f>D73-SUM(E73:L73)</f>
        <v>0</v>
      </c>
    </row>
    <row r="74" spans="1:13" ht="12" customHeight="1">
      <c r="A74" s="455" t="s">
        <v>498</v>
      </c>
      <c r="C74" s="413" t="s">
        <v>554</v>
      </c>
      <c r="D74" s="414">
        <f>SUM(D71:D73)</f>
        <v>0</v>
      </c>
      <c r="E74" s="1083"/>
      <c r="F74" s="1084"/>
      <c r="G74" s="416">
        <f>SUM(G71:G73)</f>
        <v>0</v>
      </c>
      <c r="H74" s="416">
        <f>SUM(H71:H73)</f>
        <v>0</v>
      </c>
      <c r="I74" s="416">
        <f>SUM(I71:I73)</f>
        <v>0</v>
      </c>
      <c r="J74" s="417"/>
      <c r="K74" s="417"/>
      <c r="L74" s="417"/>
      <c r="M74" s="1050"/>
    </row>
    <row r="75" spans="1:13" ht="12" customHeight="1">
      <c r="A75" s="455">
        <v>2023</v>
      </c>
      <c r="C75" s="406" t="s">
        <v>555</v>
      </c>
      <c r="D75" s="444">
        <f>'T2 ANSP'!F25</f>
        <v>0</v>
      </c>
      <c r="E75" s="408"/>
      <c r="F75" s="422"/>
      <c r="G75" s="410"/>
      <c r="H75" s="410"/>
      <c r="I75" s="1062"/>
      <c r="J75" s="423">
        <f>D75</f>
        <v>0</v>
      </c>
      <c r="K75" s="410"/>
      <c r="L75" s="410"/>
      <c r="M75" s="1049"/>
    </row>
    <row r="76" spans="1:13" ht="12" customHeight="1">
      <c r="A76" s="455">
        <v>2024</v>
      </c>
      <c r="C76" s="406" t="s">
        <v>556</v>
      </c>
      <c r="D76" s="444">
        <f>'T2 ANSP'!G25</f>
        <v>0</v>
      </c>
      <c r="E76" s="408"/>
      <c r="F76" s="422"/>
      <c r="G76" s="410"/>
      <c r="H76" s="410"/>
      <c r="I76" s="1062"/>
      <c r="J76" s="410"/>
      <c r="K76" s="423">
        <f>D76</f>
        <v>0</v>
      </c>
      <c r="L76" s="410"/>
      <c r="M76" s="1049"/>
    </row>
    <row r="77" spans="1:13" ht="12" customHeight="1">
      <c r="A77" s="455">
        <v>2025</v>
      </c>
      <c r="C77" s="406" t="s">
        <v>557</v>
      </c>
      <c r="D77" s="444">
        <f>'T2 ANSP'!H25</f>
        <v>0</v>
      </c>
      <c r="E77" s="408"/>
      <c r="F77" s="422"/>
      <c r="G77" s="410"/>
      <c r="H77" s="410"/>
      <c r="I77" s="1062"/>
      <c r="J77" s="410"/>
      <c r="K77" s="410"/>
      <c r="L77" s="423">
        <f>D77</f>
        <v>0</v>
      </c>
      <c r="M77" s="1049"/>
    </row>
    <row r="78" spans="1:13" ht="12" customHeight="1">
      <c r="A78" s="455">
        <v>2026</v>
      </c>
      <c r="C78" s="406" t="s">
        <v>558</v>
      </c>
      <c r="D78" s="444">
        <f>'T2 ANSP'!I25</f>
        <v>0</v>
      </c>
      <c r="E78" s="408"/>
      <c r="F78" s="422"/>
      <c r="G78" s="410"/>
      <c r="H78" s="410"/>
      <c r="I78" s="1062"/>
      <c r="J78" s="410"/>
      <c r="K78" s="410"/>
      <c r="L78" s="410"/>
      <c r="M78" s="440">
        <f>D78</f>
        <v>0</v>
      </c>
    </row>
    <row r="79" spans="1:13" ht="12" customHeight="1">
      <c r="A79" s="455">
        <v>2027</v>
      </c>
      <c r="C79" s="406" t="s">
        <v>559</v>
      </c>
      <c r="D79" s="445">
        <f>'T2 ANSP'!J25</f>
        <v>0</v>
      </c>
      <c r="E79" s="428"/>
      <c r="F79" s="429"/>
      <c r="G79" s="429"/>
      <c r="H79" s="429"/>
      <c r="I79" s="1063"/>
      <c r="J79" s="461"/>
      <c r="K79" s="461"/>
      <c r="L79" s="461"/>
      <c r="M79" s="1077">
        <f>D79</f>
        <v>0</v>
      </c>
    </row>
    <row r="80" spans="1:13" ht="12" customHeight="1">
      <c r="A80" s="455" t="s">
        <v>505</v>
      </c>
      <c r="C80" s="431" t="s">
        <v>560</v>
      </c>
      <c r="D80" s="432">
        <f>SUM(D74:D79)</f>
        <v>0</v>
      </c>
      <c r="E80" s="494"/>
      <c r="F80" s="495"/>
      <c r="G80" s="434">
        <f>SUM(G74:G79)</f>
        <v>0</v>
      </c>
      <c r="H80" s="434">
        <f t="shared" ref="H80" si="5">SUM(H74:H79)</f>
        <v>0</v>
      </c>
      <c r="I80" s="434">
        <f t="shared" ref="I80" si="6">SUM(I74:I79)</f>
        <v>0</v>
      </c>
      <c r="J80" s="434">
        <f t="shared" ref="J80" si="7">SUM(J74:J79)</f>
        <v>0</v>
      </c>
      <c r="K80" s="434">
        <f t="shared" ref="K80" si="8">SUM(K74:K79)</f>
        <v>0</v>
      </c>
      <c r="L80" s="434">
        <f t="shared" ref="L80" si="9">SUM(L74:L79)</f>
        <v>0</v>
      </c>
      <c r="M80" s="1076">
        <f>SUM(M74:M79)</f>
        <v>0</v>
      </c>
    </row>
    <row r="81" spans="1:13" ht="3.6" customHeight="1">
      <c r="A81" s="758"/>
      <c r="C81" s="482"/>
      <c r="D81" s="482"/>
      <c r="E81" s="447"/>
      <c r="F81" s="447"/>
      <c r="G81" s="447"/>
      <c r="H81" s="447"/>
      <c r="I81" s="447"/>
      <c r="J81" s="447"/>
      <c r="K81" s="447"/>
      <c r="L81" s="447"/>
      <c r="M81" s="447"/>
    </row>
    <row r="82" spans="1:13" ht="12" customHeight="1">
      <c r="A82" s="455">
        <v>2020</v>
      </c>
      <c r="C82" s="398" t="s">
        <v>561</v>
      </c>
      <c r="D82" s="443">
        <f>'T2 ANSP'!C26</f>
        <v>0</v>
      </c>
      <c r="E82" s="420"/>
      <c r="F82" s="401"/>
      <c r="G82" s="487">
        <v>0</v>
      </c>
      <c r="H82" s="402"/>
      <c r="I82" s="1058"/>
      <c r="J82" s="1058"/>
      <c r="K82" s="1058"/>
      <c r="L82" s="1058"/>
      <c r="M82" s="437">
        <f>D82-SUM(E82:L82)</f>
        <v>0</v>
      </c>
    </row>
    <row r="83" spans="1:13" ht="12" customHeight="1">
      <c r="A83" s="455">
        <v>2021</v>
      </c>
      <c r="C83" s="406" t="s">
        <v>562</v>
      </c>
      <c r="D83" s="444">
        <f>'T2 ANSP'!D26</f>
        <v>0</v>
      </c>
      <c r="E83" s="408"/>
      <c r="F83" s="422"/>
      <c r="G83" s="410"/>
      <c r="H83" s="491">
        <v>0</v>
      </c>
      <c r="I83" s="1059"/>
      <c r="J83" s="410"/>
      <c r="K83" s="410"/>
      <c r="L83" s="410"/>
      <c r="M83" s="440">
        <f>D83-SUM(E83:L83)</f>
        <v>0</v>
      </c>
    </row>
    <row r="84" spans="1:13" ht="12" customHeight="1">
      <c r="A84" s="455">
        <v>2022</v>
      </c>
      <c r="C84" s="406" t="s">
        <v>563</v>
      </c>
      <c r="D84" s="444">
        <f>'T2 ANSP'!E26</f>
        <v>0</v>
      </c>
      <c r="E84" s="408"/>
      <c r="F84" s="422"/>
      <c r="G84" s="410"/>
      <c r="H84" s="410"/>
      <c r="I84" s="1066">
        <v>0</v>
      </c>
      <c r="J84" s="461"/>
      <c r="K84" s="461"/>
      <c r="L84" s="461"/>
      <c r="M84" s="440">
        <f>D84-SUM(E84:L84)</f>
        <v>0</v>
      </c>
    </row>
    <row r="85" spans="1:13" ht="12" customHeight="1">
      <c r="A85" s="455" t="s">
        <v>498</v>
      </c>
      <c r="C85" s="413" t="s">
        <v>564</v>
      </c>
      <c r="D85" s="414">
        <f>SUM(D82:D84)</f>
        <v>0</v>
      </c>
      <c r="E85" s="1083"/>
      <c r="F85" s="1084"/>
      <c r="G85" s="416">
        <f>SUM(G82:G84)</f>
        <v>0</v>
      </c>
      <c r="H85" s="416">
        <f>SUM(H82:H84)</f>
        <v>0</v>
      </c>
      <c r="I85" s="416">
        <f>SUM(I82:I84)</f>
        <v>0</v>
      </c>
      <c r="J85" s="417"/>
      <c r="K85" s="417"/>
      <c r="L85" s="417"/>
      <c r="M85" s="1050"/>
    </row>
    <row r="86" spans="1:13" ht="12" customHeight="1">
      <c r="A86" s="455">
        <v>2023</v>
      </c>
      <c r="C86" s="406" t="s">
        <v>565</v>
      </c>
      <c r="D86" s="443">
        <f>'T2 ANSP'!F26</f>
        <v>0</v>
      </c>
      <c r="E86" s="408"/>
      <c r="F86" s="422"/>
      <c r="G86" s="410"/>
      <c r="H86" s="410"/>
      <c r="I86" s="1062"/>
      <c r="J86" s="423">
        <f>D86</f>
        <v>0</v>
      </c>
      <c r="K86" s="410"/>
      <c r="L86" s="410"/>
      <c r="M86" s="1049"/>
    </row>
    <row r="87" spans="1:13" ht="12" customHeight="1">
      <c r="A87" s="455">
        <v>2024</v>
      </c>
      <c r="C87" s="406" t="s">
        <v>566</v>
      </c>
      <c r="D87" s="444">
        <f>'T2 ANSP'!G26</f>
        <v>0</v>
      </c>
      <c r="E87" s="408"/>
      <c r="F87" s="422"/>
      <c r="G87" s="410"/>
      <c r="H87" s="410"/>
      <c r="I87" s="1062"/>
      <c r="J87" s="410"/>
      <c r="K87" s="423">
        <f>D87</f>
        <v>0</v>
      </c>
      <c r="L87" s="410"/>
      <c r="M87" s="1049"/>
    </row>
    <row r="88" spans="1:13" ht="12" customHeight="1">
      <c r="A88" s="455">
        <v>2025</v>
      </c>
      <c r="C88" s="406" t="s">
        <v>567</v>
      </c>
      <c r="D88" s="444">
        <f>'T2 ANSP'!H26</f>
        <v>0</v>
      </c>
      <c r="E88" s="408"/>
      <c r="F88" s="422"/>
      <c r="G88" s="410"/>
      <c r="H88" s="410"/>
      <c r="I88" s="1062"/>
      <c r="J88" s="410"/>
      <c r="K88" s="410"/>
      <c r="L88" s="423">
        <f>D88</f>
        <v>0</v>
      </c>
      <c r="M88" s="1049"/>
    </row>
    <row r="89" spans="1:13" ht="12" customHeight="1">
      <c r="A89" s="455">
        <v>2026</v>
      </c>
      <c r="C89" s="406" t="s">
        <v>568</v>
      </c>
      <c r="D89" s="444">
        <f>'T2 ANSP'!I26</f>
        <v>0</v>
      </c>
      <c r="E89" s="408"/>
      <c r="F89" s="422"/>
      <c r="G89" s="410"/>
      <c r="H89" s="410"/>
      <c r="I89" s="1062"/>
      <c r="J89" s="410"/>
      <c r="K89" s="410"/>
      <c r="L89" s="410"/>
      <c r="M89" s="440">
        <f>D89</f>
        <v>0</v>
      </c>
    </row>
    <row r="90" spans="1:13" ht="12" customHeight="1">
      <c r="A90" s="455">
        <v>2027</v>
      </c>
      <c r="C90" s="406" t="s">
        <v>569</v>
      </c>
      <c r="D90" s="445">
        <f>'T2 ANSP'!J26</f>
        <v>0</v>
      </c>
      <c r="E90" s="428"/>
      <c r="F90" s="429"/>
      <c r="G90" s="429"/>
      <c r="H90" s="429"/>
      <c r="I90" s="1063"/>
      <c r="J90" s="461"/>
      <c r="K90" s="461"/>
      <c r="L90" s="461"/>
      <c r="M90" s="1077">
        <f>D90</f>
        <v>0</v>
      </c>
    </row>
    <row r="91" spans="1:13" ht="12" customHeight="1">
      <c r="A91" s="455" t="s">
        <v>505</v>
      </c>
      <c r="C91" s="431" t="s">
        <v>570</v>
      </c>
      <c r="D91" s="432">
        <f>SUM(D85:D90)</f>
        <v>0</v>
      </c>
      <c r="E91" s="494"/>
      <c r="F91" s="495"/>
      <c r="G91" s="434">
        <f>SUM(G85:G90)</f>
        <v>0</v>
      </c>
      <c r="H91" s="434">
        <f t="shared" ref="H91:L91" si="10">SUM(H85:H90)</f>
        <v>0</v>
      </c>
      <c r="I91" s="434">
        <f t="shared" si="10"/>
        <v>0</v>
      </c>
      <c r="J91" s="434">
        <f t="shared" si="10"/>
        <v>0</v>
      </c>
      <c r="K91" s="434">
        <f t="shared" si="10"/>
        <v>0</v>
      </c>
      <c r="L91" s="434">
        <f t="shared" si="10"/>
        <v>0</v>
      </c>
      <c r="M91" s="1076">
        <f>SUM(M85:M90)</f>
        <v>0</v>
      </c>
    </row>
    <row r="92" spans="1:13" ht="3.6" customHeight="1">
      <c r="A92" s="758"/>
      <c r="C92" s="482"/>
      <c r="D92" s="482"/>
      <c r="E92" s="447"/>
      <c r="F92" s="447"/>
      <c r="G92" s="447"/>
      <c r="H92" s="447"/>
      <c r="I92" s="447"/>
      <c r="J92" s="447"/>
      <c r="K92" s="447"/>
      <c r="L92" s="447"/>
      <c r="M92" s="447"/>
    </row>
    <row r="93" spans="1:13" ht="12" customHeight="1">
      <c r="A93" s="455">
        <v>2020</v>
      </c>
      <c r="C93" s="398" t="s">
        <v>571</v>
      </c>
      <c r="D93" s="443">
        <f>'T2 ANSP'!C27</f>
        <v>0</v>
      </c>
      <c r="E93" s="420"/>
      <c r="F93" s="401"/>
      <c r="G93" s="487">
        <v>0</v>
      </c>
      <c r="H93" s="402"/>
      <c r="I93" s="1058"/>
      <c r="J93" s="1058"/>
      <c r="K93" s="1058"/>
      <c r="L93" s="1058"/>
      <c r="M93" s="437">
        <f>D93-SUM(E93:L93)</f>
        <v>0</v>
      </c>
    </row>
    <row r="94" spans="1:13" ht="12" customHeight="1">
      <c r="A94" s="455">
        <v>2021</v>
      </c>
      <c r="C94" s="406" t="s">
        <v>572</v>
      </c>
      <c r="D94" s="444">
        <f>'T2 ANSP'!D27</f>
        <v>0</v>
      </c>
      <c r="E94" s="408"/>
      <c r="F94" s="422"/>
      <c r="G94" s="410"/>
      <c r="H94" s="491">
        <v>0</v>
      </c>
      <c r="I94" s="1059"/>
      <c r="J94" s="1059"/>
      <c r="K94" s="1059"/>
      <c r="L94" s="1059"/>
      <c r="M94" s="440">
        <f>D94-SUM(E94:L94)</f>
        <v>0</v>
      </c>
    </row>
    <row r="95" spans="1:13" ht="12" customHeight="1">
      <c r="A95" s="455">
        <v>2022</v>
      </c>
      <c r="C95" s="406" t="s">
        <v>573</v>
      </c>
      <c r="D95" s="444">
        <f>'T2 ANSP'!E27</f>
        <v>0</v>
      </c>
      <c r="E95" s="408"/>
      <c r="F95" s="422"/>
      <c r="G95" s="410"/>
      <c r="H95" s="410"/>
      <c r="I95" s="1066">
        <v>0</v>
      </c>
      <c r="J95" s="461"/>
      <c r="K95" s="461"/>
      <c r="L95" s="461"/>
      <c r="M95" s="440">
        <f>D95-SUM(E95:L95)</f>
        <v>0</v>
      </c>
    </row>
    <row r="96" spans="1:13" ht="12" customHeight="1">
      <c r="A96" s="455" t="s">
        <v>498</v>
      </c>
      <c r="C96" s="413" t="s">
        <v>514</v>
      </c>
      <c r="D96" s="414">
        <f>SUM(D93:D95)</f>
        <v>0</v>
      </c>
      <c r="E96" s="1083"/>
      <c r="F96" s="1084"/>
      <c r="G96" s="416">
        <f>SUM(G93:G95)</f>
        <v>0</v>
      </c>
      <c r="H96" s="416">
        <f>SUM(H93:H95)</f>
        <v>0</v>
      </c>
      <c r="I96" s="416">
        <f>SUM(I93:I95)</f>
        <v>0</v>
      </c>
      <c r="J96" s="417"/>
      <c r="K96" s="417"/>
      <c r="L96" s="417"/>
      <c r="M96" s="1050"/>
    </row>
    <row r="97" spans="1:13" ht="12" customHeight="1">
      <c r="A97" s="455">
        <v>2023</v>
      </c>
      <c r="C97" s="406" t="s">
        <v>574</v>
      </c>
      <c r="D97" s="444">
        <f>'T2 ANSP'!F27</f>
        <v>0</v>
      </c>
      <c r="E97" s="408"/>
      <c r="F97" s="422"/>
      <c r="G97" s="410"/>
      <c r="H97" s="410"/>
      <c r="I97" s="1062"/>
      <c r="J97" s="423">
        <v>0</v>
      </c>
      <c r="K97" s="410"/>
      <c r="L97" s="410"/>
      <c r="M97" s="1049"/>
    </row>
    <row r="98" spans="1:13" ht="12" customHeight="1">
      <c r="A98" s="455">
        <v>2024</v>
      </c>
      <c r="C98" s="406" t="s">
        <v>575</v>
      </c>
      <c r="D98" s="444">
        <f>'T2 ANSP'!G27</f>
        <v>0</v>
      </c>
      <c r="E98" s="408"/>
      <c r="F98" s="422"/>
      <c r="G98" s="410"/>
      <c r="H98" s="410"/>
      <c r="I98" s="1062"/>
      <c r="J98" s="410"/>
      <c r="K98" s="423">
        <v>0</v>
      </c>
      <c r="L98" s="410"/>
      <c r="M98" s="1049"/>
    </row>
    <row r="99" spans="1:13" ht="12" customHeight="1">
      <c r="A99" s="455">
        <v>2025</v>
      </c>
      <c r="C99" s="406" t="s">
        <v>576</v>
      </c>
      <c r="D99" s="444">
        <f>'T2 ANSP'!H27</f>
        <v>0</v>
      </c>
      <c r="E99" s="408"/>
      <c r="F99" s="422"/>
      <c r="G99" s="410"/>
      <c r="H99" s="410"/>
      <c r="I99" s="1062"/>
      <c r="J99" s="410"/>
      <c r="K99" s="410"/>
      <c r="L99" s="423">
        <v>0</v>
      </c>
      <c r="M99" s="1049"/>
    </row>
    <row r="100" spans="1:13" ht="12" customHeight="1">
      <c r="A100" s="455">
        <v>2026</v>
      </c>
      <c r="C100" s="406" t="s">
        <v>577</v>
      </c>
      <c r="D100" s="444">
        <f>'T2 ANSP'!I27</f>
        <v>0</v>
      </c>
      <c r="E100" s="408"/>
      <c r="F100" s="422"/>
      <c r="G100" s="410"/>
      <c r="H100" s="410"/>
      <c r="I100" s="1062"/>
      <c r="J100" s="410"/>
      <c r="K100" s="410"/>
      <c r="L100" s="410"/>
      <c r="M100" s="440">
        <v>0</v>
      </c>
    </row>
    <row r="101" spans="1:13" ht="12" customHeight="1">
      <c r="A101" s="455">
        <v>2027</v>
      </c>
      <c r="C101" s="406" t="s">
        <v>578</v>
      </c>
      <c r="D101" s="445">
        <f>'T2 ANSP'!J27</f>
        <v>0</v>
      </c>
      <c r="E101" s="428"/>
      <c r="F101" s="429"/>
      <c r="G101" s="429"/>
      <c r="H101" s="429"/>
      <c r="I101" s="1063"/>
      <c r="J101" s="461"/>
      <c r="K101" s="461"/>
      <c r="L101" s="461"/>
      <c r="M101" s="1077">
        <v>0</v>
      </c>
    </row>
    <row r="102" spans="1:13" ht="12" customHeight="1">
      <c r="A102" s="455" t="s">
        <v>505</v>
      </c>
      <c r="C102" s="431" t="s">
        <v>579</v>
      </c>
      <c r="D102" s="432">
        <f>SUM(D96:D101)</f>
        <v>0</v>
      </c>
      <c r="E102" s="494"/>
      <c r="F102" s="495"/>
      <c r="G102" s="434">
        <f>SUM(G96:G101)</f>
        <v>0</v>
      </c>
      <c r="H102" s="434">
        <f t="shared" ref="H102:L102" si="11">SUM(H96:H101)</f>
        <v>0</v>
      </c>
      <c r="I102" s="434">
        <f t="shared" si="11"/>
        <v>0</v>
      </c>
      <c r="J102" s="434">
        <f t="shared" si="11"/>
        <v>0</v>
      </c>
      <c r="K102" s="434">
        <f t="shared" si="11"/>
        <v>0</v>
      </c>
      <c r="L102" s="434">
        <f t="shared" si="11"/>
        <v>0</v>
      </c>
      <c r="M102" s="1076">
        <f>SUM(M96:M101)</f>
        <v>0</v>
      </c>
    </row>
    <row r="103" spans="1:13" ht="3.6" customHeight="1">
      <c r="A103" s="758"/>
      <c r="C103" s="482"/>
      <c r="D103" s="482"/>
      <c r="E103" s="447"/>
      <c r="F103" s="447"/>
      <c r="G103" s="447"/>
      <c r="H103" s="447"/>
      <c r="I103" s="447"/>
      <c r="J103" s="447"/>
      <c r="K103" s="447"/>
      <c r="L103" s="447"/>
      <c r="M103" s="447"/>
    </row>
    <row r="104" spans="1:13" ht="12" customHeight="1">
      <c r="A104" s="455">
        <v>2017</v>
      </c>
      <c r="C104" s="436" t="s">
        <v>580</v>
      </c>
      <c r="D104" s="992">
        <v>12063.436519568942</v>
      </c>
      <c r="E104" s="1006">
        <v>0</v>
      </c>
      <c r="F104" s="1006">
        <v>0</v>
      </c>
      <c r="G104" s="1006">
        <v>8029.8140000000003</v>
      </c>
      <c r="H104" s="1089"/>
      <c r="I104" s="1090"/>
      <c r="J104" s="1090"/>
      <c r="K104" s="1090"/>
      <c r="L104" s="1090"/>
      <c r="M104" s="1078">
        <f>D104-SUM(E104:L104)</f>
        <v>4033.6225195689422</v>
      </c>
    </row>
    <row r="105" spans="1:13" ht="12" customHeight="1">
      <c r="A105" s="455">
        <v>2018</v>
      </c>
      <c r="C105" s="439" t="s">
        <v>581</v>
      </c>
      <c r="D105" s="993">
        <v>12769.668586475647</v>
      </c>
      <c r="E105" s="1007">
        <v>1590.6636098454458</v>
      </c>
      <c r="F105" s="1007">
        <v>7943.6378231149201</v>
      </c>
      <c r="G105" s="1007">
        <v>0</v>
      </c>
      <c r="H105" s="1091"/>
      <c r="I105" s="1092"/>
      <c r="J105" s="1092"/>
      <c r="K105" s="1092"/>
      <c r="L105" s="1092"/>
      <c r="M105" s="1079">
        <f>D105-SUM(E105:L105)</f>
        <v>3235.3671535152807</v>
      </c>
    </row>
    <row r="106" spans="1:13" ht="12" customHeight="1">
      <c r="A106" s="455">
        <v>2019</v>
      </c>
      <c r="C106" s="439" t="s">
        <v>582</v>
      </c>
      <c r="D106" s="995">
        <v>15675.822893107554</v>
      </c>
      <c r="E106" s="1007">
        <v>0</v>
      </c>
      <c r="F106" s="1007">
        <v>0</v>
      </c>
      <c r="G106" s="1007">
        <v>0</v>
      </c>
      <c r="H106" s="1091"/>
      <c r="I106" s="1092"/>
      <c r="J106" s="1092"/>
      <c r="K106" s="1092"/>
      <c r="L106" s="1092"/>
      <c r="M106" s="1079">
        <f>D106-SUM(E106:L106)</f>
        <v>15675.822893107554</v>
      </c>
    </row>
    <row r="107" spans="1:13">
      <c r="A107" s="455" t="s">
        <v>493</v>
      </c>
      <c r="C107" s="431" t="s">
        <v>583</v>
      </c>
      <c r="D107" s="1001">
        <f>SUM(D104:D106,D256)</f>
        <v>53426.558195351397</v>
      </c>
      <c r="E107" s="1002">
        <f>SUM(E104:E106,E256)</f>
        <v>1590.6636098454458</v>
      </c>
      <c r="F107" s="1003">
        <f>SUM(F104:F106,F256)</f>
        <v>7943.6378231149201</v>
      </c>
      <c r="G107" s="1003">
        <f>SUM(G104:G106,G256)</f>
        <v>8029.8140000000003</v>
      </c>
      <c r="H107" s="494"/>
      <c r="I107" s="1052"/>
      <c r="J107" s="1052"/>
      <c r="K107" s="1052"/>
      <c r="L107" s="1052"/>
      <c r="M107" s="1004">
        <f>SUM(M104:M106,M256)</f>
        <v>6340.2171055990439</v>
      </c>
    </row>
    <row r="108" spans="1:13">
      <c r="A108" s="455">
        <v>2020</v>
      </c>
      <c r="C108" s="436" t="s">
        <v>584</v>
      </c>
      <c r="D108" s="992">
        <f>D107-SUM(E107:G107)</f>
        <v>35862.442762391031</v>
      </c>
      <c r="E108" s="1089"/>
      <c r="F108" s="1089"/>
      <c r="G108" s="1089"/>
      <c r="H108" s="1006">
        <f>H256</f>
        <v>8547.4527432113046</v>
      </c>
      <c r="I108" s="1006">
        <f t="shared" ref="I108:L108" si="12">I256</f>
        <v>7369.9462467342582</v>
      </c>
      <c r="J108" s="1006">
        <f t="shared" si="12"/>
        <v>4528.9222033717115</v>
      </c>
      <c r="K108" s="1006">
        <f t="shared" si="12"/>
        <v>4536.110501898017</v>
      </c>
      <c r="L108" s="1006">
        <f t="shared" si="12"/>
        <v>4539.7939615766918</v>
      </c>
      <c r="M108" s="1078">
        <f>D108-SUM(E108:I108)</f>
        <v>19945.043772445468</v>
      </c>
    </row>
    <row r="109" spans="1:13">
      <c r="A109" s="455">
        <v>2021</v>
      </c>
      <c r="C109" s="439" t="s">
        <v>585</v>
      </c>
      <c r="D109" s="993">
        <v>0</v>
      </c>
      <c r="E109" s="1091"/>
      <c r="F109" s="1091"/>
      <c r="G109" s="1091"/>
      <c r="H109" s="1007">
        <v>0</v>
      </c>
      <c r="I109" s="1007">
        <v>0</v>
      </c>
      <c r="J109" s="1007">
        <v>0</v>
      </c>
      <c r="K109" s="1007">
        <v>0</v>
      </c>
      <c r="L109" s="1007">
        <v>0</v>
      </c>
      <c r="M109" s="1079">
        <f>D109-SUM(E109:I109)</f>
        <v>0</v>
      </c>
    </row>
    <row r="110" spans="1:13">
      <c r="A110" s="455">
        <v>2022</v>
      </c>
      <c r="C110" s="439" t="s">
        <v>586</v>
      </c>
      <c r="D110" s="995">
        <v>0</v>
      </c>
      <c r="E110" s="1091"/>
      <c r="F110" s="1091"/>
      <c r="G110" s="1091"/>
      <c r="H110" s="1007">
        <v>0</v>
      </c>
      <c r="I110" s="1007">
        <v>0</v>
      </c>
      <c r="J110" s="1007">
        <v>0</v>
      </c>
      <c r="K110" s="1007">
        <v>0</v>
      </c>
      <c r="L110" s="1007">
        <v>0</v>
      </c>
      <c r="M110" s="1079">
        <f>D110-SUM(E110:I110)</f>
        <v>0</v>
      </c>
    </row>
    <row r="111" spans="1:13">
      <c r="A111" s="455" t="s">
        <v>505</v>
      </c>
      <c r="C111" s="431" t="s">
        <v>587</v>
      </c>
      <c r="D111" s="1001">
        <f>SUM(D108:D110)</f>
        <v>35862.442762391031</v>
      </c>
      <c r="E111" s="534"/>
      <c r="F111" s="494"/>
      <c r="G111" s="494"/>
      <c r="H111" s="1003">
        <f t="shared" ref="H111:M111" si="13">SUM(H108:H110)</f>
        <v>8547.4527432113046</v>
      </c>
      <c r="I111" s="1067">
        <f t="shared" si="13"/>
        <v>7369.9462467342582</v>
      </c>
      <c r="J111" s="1067">
        <f t="shared" si="13"/>
        <v>4528.9222033717115</v>
      </c>
      <c r="K111" s="1067">
        <f t="shared" si="13"/>
        <v>4536.110501898017</v>
      </c>
      <c r="L111" s="1067">
        <f t="shared" si="13"/>
        <v>4539.7939615766918</v>
      </c>
      <c r="M111" s="1004">
        <f t="shared" si="13"/>
        <v>19945.043772445468</v>
      </c>
    </row>
    <row r="112" spans="1:13" ht="3.6" customHeight="1">
      <c r="A112" s="758"/>
      <c r="C112" s="482"/>
      <c r="D112" s="482"/>
      <c r="E112" s="447"/>
      <c r="F112" s="447"/>
      <c r="G112" s="447"/>
      <c r="H112" s="447"/>
      <c r="I112" s="447"/>
      <c r="J112" s="447"/>
      <c r="K112" s="447"/>
      <c r="L112" s="447"/>
      <c r="M112" s="447"/>
    </row>
    <row r="113" spans="1:13" ht="12" customHeight="1">
      <c r="A113" s="455">
        <v>2017</v>
      </c>
      <c r="C113" s="436" t="s">
        <v>588</v>
      </c>
      <c r="D113" s="475">
        <v>0</v>
      </c>
      <c r="E113" s="789">
        <v>0</v>
      </c>
      <c r="F113" s="487">
        <v>0</v>
      </c>
      <c r="G113" s="487">
        <v>0</v>
      </c>
      <c r="H113" s="487">
        <v>0</v>
      </c>
      <c r="I113" s="1064">
        <v>0</v>
      </c>
      <c r="J113" s="1064"/>
      <c r="K113" s="1064"/>
      <c r="L113" s="1064"/>
      <c r="M113" s="437">
        <f t="shared" ref="M113" si="14">D113-SUM(E113:I113)</f>
        <v>0</v>
      </c>
    </row>
    <row r="114" spans="1:13" ht="12" customHeight="1">
      <c r="A114" s="455">
        <v>2018</v>
      </c>
      <c r="C114" s="439" t="s">
        <v>589</v>
      </c>
      <c r="D114" s="477">
        <v>-264.10899999999998</v>
      </c>
      <c r="E114" s="441">
        <f>+D114</f>
        <v>-264.10899999999998</v>
      </c>
      <c r="F114" s="410"/>
      <c r="G114" s="410"/>
      <c r="H114" s="410"/>
      <c r="I114" s="1062"/>
      <c r="J114" s="1062"/>
      <c r="K114" s="1062"/>
      <c r="L114" s="1062"/>
      <c r="M114" s="1049"/>
    </row>
    <row r="115" spans="1:13" ht="12" customHeight="1">
      <c r="A115" s="455">
        <v>2019</v>
      </c>
      <c r="C115" s="439" t="s">
        <v>590</v>
      </c>
      <c r="D115" s="503">
        <v>228.011</v>
      </c>
      <c r="E115" s="408"/>
      <c r="F115" s="409">
        <f>+D115</f>
        <v>228.011</v>
      </c>
      <c r="G115" s="410"/>
      <c r="H115" s="410"/>
      <c r="I115" s="1059"/>
      <c r="J115" s="1059"/>
      <c r="K115" s="1059"/>
      <c r="L115" s="1059"/>
      <c r="M115" s="1049"/>
    </row>
    <row r="116" spans="1:13" ht="12" customHeight="1">
      <c r="A116" s="455" t="s">
        <v>493</v>
      </c>
      <c r="C116" s="413" t="s">
        <v>591</v>
      </c>
      <c r="D116" s="414">
        <f>SUM(D113:D115)</f>
        <v>-36.097999999999985</v>
      </c>
      <c r="E116" s="415">
        <f t="shared" ref="E116:M116" si="15">SUM(E113:E115)</f>
        <v>-264.10899999999998</v>
      </c>
      <c r="F116" s="416">
        <f t="shared" si="15"/>
        <v>228.011</v>
      </c>
      <c r="G116" s="416">
        <f t="shared" si="15"/>
        <v>0</v>
      </c>
      <c r="H116" s="416">
        <f t="shared" si="15"/>
        <v>0</v>
      </c>
      <c r="I116" s="451">
        <f t="shared" si="15"/>
        <v>0</v>
      </c>
      <c r="J116" s="451"/>
      <c r="K116" s="451"/>
      <c r="L116" s="451"/>
      <c r="M116" s="1051">
        <f t="shared" si="15"/>
        <v>0</v>
      </c>
    </row>
    <row r="117" spans="1:13" ht="12" customHeight="1">
      <c r="A117" s="455">
        <v>2020</v>
      </c>
      <c r="C117" s="398" t="s">
        <v>592</v>
      </c>
      <c r="D117" s="1042">
        <f>'T2 ANSP'!C54</f>
        <v>0</v>
      </c>
      <c r="E117" s="420"/>
      <c r="F117" s="401"/>
      <c r="G117" s="1041">
        <f>D117</f>
        <v>0</v>
      </c>
      <c r="H117" s="402"/>
      <c r="I117" s="1058"/>
      <c r="J117" s="1081"/>
      <c r="K117" s="1058"/>
      <c r="L117" s="410"/>
      <c r="M117" s="1049"/>
    </row>
    <row r="118" spans="1:13" ht="12" customHeight="1">
      <c r="A118" s="455">
        <v>2021</v>
      </c>
      <c r="C118" s="406" t="s">
        <v>593</v>
      </c>
      <c r="D118" s="449">
        <f>'T2 ANSP'!D54</f>
        <v>0</v>
      </c>
      <c r="E118" s="408"/>
      <c r="F118" s="422"/>
      <c r="G118" s="410"/>
      <c r="H118" s="423">
        <f>D118</f>
        <v>0</v>
      </c>
      <c r="I118" s="1059"/>
      <c r="J118" s="1053"/>
      <c r="K118" s="1059"/>
      <c r="L118" s="410"/>
      <c r="M118" s="1049"/>
    </row>
    <row r="119" spans="1:13" ht="12" customHeight="1">
      <c r="A119" s="455">
        <v>2022</v>
      </c>
      <c r="C119" s="406" t="s">
        <v>594</v>
      </c>
      <c r="D119" s="449">
        <f>'T2 ANSP'!E54</f>
        <v>0</v>
      </c>
      <c r="E119" s="408"/>
      <c r="F119" s="422"/>
      <c r="G119" s="410"/>
      <c r="H119" s="410"/>
      <c r="I119" s="1061">
        <f>D119</f>
        <v>0</v>
      </c>
      <c r="J119" s="429"/>
      <c r="K119" s="461"/>
      <c r="L119" s="461"/>
      <c r="M119" s="1049"/>
    </row>
    <row r="120" spans="1:13" ht="12" customHeight="1">
      <c r="A120" s="455" t="s">
        <v>498</v>
      </c>
      <c r="C120" s="413" t="s">
        <v>595</v>
      </c>
      <c r="D120" s="414">
        <f>SUM(D117:D119)</f>
        <v>0</v>
      </c>
      <c r="E120" s="1083"/>
      <c r="F120" s="1084"/>
      <c r="G120" s="416">
        <f>SUM(G117:G119)</f>
        <v>0</v>
      </c>
      <c r="H120" s="416">
        <f>SUM(H117:H119)</f>
        <v>0</v>
      </c>
      <c r="I120" s="416">
        <f>SUM(I117:I119)</f>
        <v>0</v>
      </c>
      <c r="J120" s="417"/>
      <c r="K120" s="417"/>
      <c r="L120" s="417"/>
      <c r="M120" s="1050"/>
    </row>
    <row r="121" spans="1:13" ht="12" customHeight="1">
      <c r="A121" s="455">
        <v>2023</v>
      </c>
      <c r="C121" s="406" t="s">
        <v>596</v>
      </c>
      <c r="D121" s="449">
        <f>'T2 ANSP'!F54</f>
        <v>0</v>
      </c>
      <c r="E121" s="408"/>
      <c r="F121" s="422"/>
      <c r="G121" s="410"/>
      <c r="H121" s="410"/>
      <c r="I121" s="410"/>
      <c r="J121" s="423">
        <v>0</v>
      </c>
      <c r="K121" s="410"/>
      <c r="L121" s="410"/>
      <c r="M121" s="1049"/>
    </row>
    <row r="122" spans="1:13" ht="12" customHeight="1">
      <c r="A122" s="455">
        <v>2024</v>
      </c>
      <c r="C122" s="406" t="s">
        <v>597</v>
      </c>
      <c r="D122" s="449">
        <f>'T2 ANSP'!G54</f>
        <v>0</v>
      </c>
      <c r="E122" s="408"/>
      <c r="F122" s="422"/>
      <c r="G122" s="410"/>
      <c r="H122" s="410"/>
      <c r="I122" s="410"/>
      <c r="J122" s="410"/>
      <c r="K122" s="423">
        <v>0</v>
      </c>
      <c r="L122" s="410"/>
      <c r="M122" s="1049"/>
    </row>
    <row r="123" spans="1:13" ht="12" customHeight="1">
      <c r="A123" s="455">
        <v>2025</v>
      </c>
      <c r="C123" s="406" t="s">
        <v>598</v>
      </c>
      <c r="D123" s="449">
        <f>'T2 ANSP'!H54</f>
        <v>0</v>
      </c>
      <c r="E123" s="408"/>
      <c r="F123" s="422"/>
      <c r="G123" s="410"/>
      <c r="H123" s="410"/>
      <c r="I123" s="410"/>
      <c r="J123" s="410"/>
      <c r="K123" s="410"/>
      <c r="L123" s="423">
        <v>0</v>
      </c>
      <c r="M123" s="1049"/>
    </row>
    <row r="124" spans="1:13" ht="12" customHeight="1">
      <c r="A124" s="455">
        <v>2026</v>
      </c>
      <c r="C124" s="406" t="s">
        <v>599</v>
      </c>
      <c r="D124" s="449">
        <f>'T2 ANSP'!I54</f>
        <v>0</v>
      </c>
      <c r="E124" s="408"/>
      <c r="F124" s="422"/>
      <c r="G124" s="410"/>
      <c r="H124" s="410"/>
      <c r="I124" s="410"/>
      <c r="J124" s="410"/>
      <c r="K124" s="410"/>
      <c r="L124" s="410"/>
      <c r="M124" s="440">
        <v>0</v>
      </c>
    </row>
    <row r="125" spans="1:13" ht="12" customHeight="1">
      <c r="A125" s="455">
        <v>2027</v>
      </c>
      <c r="C125" s="406" t="s">
        <v>600</v>
      </c>
      <c r="D125" s="450">
        <f>'T2 ANSP'!J54</f>
        <v>0</v>
      </c>
      <c r="E125" s="428"/>
      <c r="F125" s="429"/>
      <c r="G125" s="429"/>
      <c r="H125" s="429"/>
      <c r="I125" s="429"/>
      <c r="J125" s="429"/>
      <c r="K125" s="429"/>
      <c r="L125" s="429"/>
      <c r="M125" s="1077">
        <v>0</v>
      </c>
    </row>
    <row r="126" spans="1:13" ht="12" customHeight="1">
      <c r="A126" s="455" t="s">
        <v>505</v>
      </c>
      <c r="C126" s="431" t="s">
        <v>601</v>
      </c>
      <c r="D126" s="432">
        <f>SUM(D121:D125)+D116+D120</f>
        <v>-36.097999999999985</v>
      </c>
      <c r="E126" s="480">
        <f t="shared" ref="E126:M126" si="16">SUM(E121:E125)+E116+E120</f>
        <v>-264.10899999999998</v>
      </c>
      <c r="F126" s="480">
        <f t="shared" si="16"/>
        <v>228.011</v>
      </c>
      <c r="G126" s="480">
        <f t="shared" si="16"/>
        <v>0</v>
      </c>
      <c r="H126" s="480">
        <f t="shared" si="16"/>
        <v>0</v>
      </c>
      <c r="I126" s="480">
        <f t="shared" si="16"/>
        <v>0</v>
      </c>
      <c r="J126" s="480">
        <f t="shared" si="16"/>
        <v>0</v>
      </c>
      <c r="K126" s="480">
        <f t="shared" si="16"/>
        <v>0</v>
      </c>
      <c r="L126" s="480">
        <f t="shared" si="16"/>
        <v>0</v>
      </c>
      <c r="M126" s="1076">
        <f t="shared" si="16"/>
        <v>0</v>
      </c>
    </row>
    <row r="127" spans="1:13" ht="4.1500000000000004" customHeight="1">
      <c r="A127" s="758"/>
      <c r="C127" s="482"/>
      <c r="D127" s="482"/>
      <c r="E127" s="482"/>
      <c r="F127" s="482"/>
      <c r="G127" s="482"/>
      <c r="H127" s="482"/>
      <c r="I127" s="505"/>
      <c r="J127" s="505"/>
      <c r="K127" s="505"/>
      <c r="L127" s="505"/>
      <c r="M127" s="482"/>
    </row>
    <row r="128" spans="1:13" ht="12" customHeight="1">
      <c r="A128" s="455">
        <v>2017</v>
      </c>
      <c r="C128" s="398" t="s">
        <v>602</v>
      </c>
      <c r="D128" s="475">
        <v>0</v>
      </c>
      <c r="E128" s="486">
        <v>0</v>
      </c>
      <c r="F128" s="487">
        <v>0</v>
      </c>
      <c r="G128" s="487">
        <v>0</v>
      </c>
      <c r="H128" s="487">
        <v>0</v>
      </c>
      <c r="I128" s="1064">
        <v>0</v>
      </c>
      <c r="J128" s="1064">
        <v>0</v>
      </c>
      <c r="K128" s="1064">
        <v>0</v>
      </c>
      <c r="L128" s="1064">
        <v>0</v>
      </c>
      <c r="M128" s="1054"/>
    </row>
    <row r="129" spans="1:13" ht="12" customHeight="1">
      <c r="A129" s="455">
        <v>2018</v>
      </c>
      <c r="C129" s="406" t="s">
        <v>603</v>
      </c>
      <c r="D129" s="477">
        <v>0</v>
      </c>
      <c r="E129" s="490">
        <v>0</v>
      </c>
      <c r="F129" s="491">
        <v>0</v>
      </c>
      <c r="G129" s="491">
        <v>0</v>
      </c>
      <c r="H129" s="491">
        <v>0</v>
      </c>
      <c r="I129" s="1065">
        <v>0</v>
      </c>
      <c r="J129" s="1065">
        <v>0</v>
      </c>
      <c r="K129" s="1065">
        <v>0</v>
      </c>
      <c r="L129" s="1065">
        <v>0</v>
      </c>
      <c r="M129" s="1049"/>
    </row>
    <row r="130" spans="1:13" ht="12" customHeight="1">
      <c r="A130" s="455">
        <v>2019</v>
      </c>
      <c r="C130" s="406" t="s">
        <v>604</v>
      </c>
      <c r="D130" s="477">
        <v>0</v>
      </c>
      <c r="E130" s="491">
        <v>0</v>
      </c>
      <c r="F130" s="491">
        <v>0</v>
      </c>
      <c r="G130" s="491">
        <v>0</v>
      </c>
      <c r="H130" s="491">
        <v>0</v>
      </c>
      <c r="I130" s="1065">
        <v>0</v>
      </c>
      <c r="J130" s="1065">
        <v>0</v>
      </c>
      <c r="K130" s="1065">
        <v>0</v>
      </c>
      <c r="L130" s="1065">
        <v>0</v>
      </c>
      <c r="M130" s="1049"/>
    </row>
    <row r="131" spans="1:13" ht="12" customHeight="1">
      <c r="A131" s="455" t="s">
        <v>493</v>
      </c>
      <c r="C131" s="413" t="s">
        <v>605</v>
      </c>
      <c r="D131" s="414">
        <f>SUM(D128:D130)</f>
        <v>0</v>
      </c>
      <c r="E131" s="415">
        <f t="shared" ref="E131:I131" si="17">SUM(E128:E130)</f>
        <v>0</v>
      </c>
      <c r="F131" s="416">
        <f t="shared" si="17"/>
        <v>0</v>
      </c>
      <c r="G131" s="416">
        <f t="shared" si="17"/>
        <v>0</v>
      </c>
      <c r="H131" s="416">
        <f t="shared" si="17"/>
        <v>0</v>
      </c>
      <c r="I131" s="451">
        <f t="shared" si="17"/>
        <v>0</v>
      </c>
      <c r="J131" s="451">
        <f t="shared" ref="J131:L131" si="18">SUM(J128:J130)</f>
        <v>0</v>
      </c>
      <c r="K131" s="451">
        <f t="shared" si="18"/>
        <v>0</v>
      </c>
      <c r="L131" s="451">
        <f t="shared" si="18"/>
        <v>0</v>
      </c>
      <c r="M131" s="1050"/>
    </row>
    <row r="132" spans="1:13" ht="12" customHeight="1">
      <c r="A132" s="455">
        <v>2020</v>
      </c>
      <c r="C132" s="398" t="s">
        <v>606</v>
      </c>
      <c r="D132" s="452">
        <f>'T2 ANSP'!C59</f>
        <v>0</v>
      </c>
      <c r="E132" s="420"/>
      <c r="F132" s="401"/>
      <c r="G132" s="421">
        <f>+D132</f>
        <v>0</v>
      </c>
      <c r="H132" s="402"/>
      <c r="I132" s="1058"/>
      <c r="J132" s="1081"/>
      <c r="K132" s="1081"/>
      <c r="L132" s="1081"/>
      <c r="M132" s="1054"/>
    </row>
    <row r="133" spans="1:13" ht="12" customHeight="1">
      <c r="A133" s="455">
        <v>2021</v>
      </c>
      <c r="C133" s="406" t="s">
        <v>607</v>
      </c>
      <c r="D133" s="453">
        <f>'T2 ANSP'!D59</f>
        <v>0</v>
      </c>
      <c r="E133" s="408"/>
      <c r="F133" s="422"/>
      <c r="G133" s="410"/>
      <c r="H133" s="423">
        <f>+D133</f>
        <v>0</v>
      </c>
      <c r="I133" s="1059"/>
      <c r="J133" s="1053"/>
      <c r="K133" s="1053"/>
      <c r="L133" s="1053"/>
      <c r="M133" s="1049"/>
    </row>
    <row r="134" spans="1:13" ht="12" customHeight="1">
      <c r="A134" s="455">
        <v>2022</v>
      </c>
      <c r="C134" s="406" t="s">
        <v>608</v>
      </c>
      <c r="D134" s="453">
        <f>'T2 ANSP'!E59</f>
        <v>0</v>
      </c>
      <c r="E134" s="408"/>
      <c r="F134" s="422"/>
      <c r="G134" s="410"/>
      <c r="H134" s="410"/>
      <c r="I134" s="1061">
        <f>+D134</f>
        <v>0</v>
      </c>
      <c r="J134" s="447"/>
      <c r="K134" s="447"/>
      <c r="L134" s="447"/>
      <c r="M134" s="1049"/>
    </row>
    <row r="135" spans="1:13" ht="12" customHeight="1">
      <c r="A135" s="455" t="s">
        <v>498</v>
      </c>
      <c r="C135" s="413" t="s">
        <v>609</v>
      </c>
      <c r="D135" s="414">
        <f>SUM(D132:D134)</f>
        <v>0</v>
      </c>
      <c r="E135" s="1083"/>
      <c r="F135" s="1084"/>
      <c r="G135" s="416">
        <f>SUM(G132:G134)</f>
        <v>0</v>
      </c>
      <c r="H135" s="416">
        <f>SUM(H132:H134)</f>
        <v>0</v>
      </c>
      <c r="I135" s="416">
        <f>SUM(I132:I134)</f>
        <v>0</v>
      </c>
      <c r="J135" s="417"/>
      <c r="K135" s="417"/>
      <c r="L135" s="417"/>
      <c r="M135" s="1050"/>
    </row>
    <row r="136" spans="1:13" ht="12" customHeight="1">
      <c r="A136" s="455">
        <v>2023</v>
      </c>
      <c r="C136" s="406" t="s">
        <v>610</v>
      </c>
      <c r="D136" s="453">
        <f>'T2 ANSP'!F59</f>
        <v>0</v>
      </c>
      <c r="E136" s="408"/>
      <c r="F136" s="422"/>
      <c r="G136" s="410"/>
      <c r="H136" s="410"/>
      <c r="I136" s="410"/>
      <c r="J136" s="423">
        <f>D136</f>
        <v>0</v>
      </c>
      <c r="K136" s="410"/>
      <c r="L136" s="410"/>
      <c r="M136" s="1049"/>
    </row>
    <row r="137" spans="1:13" ht="12" customHeight="1">
      <c r="A137" s="455">
        <v>2024</v>
      </c>
      <c r="C137" s="406" t="s">
        <v>611</v>
      </c>
      <c r="D137" s="453">
        <f>'T2 ANSP'!G59</f>
        <v>0</v>
      </c>
      <c r="E137" s="408"/>
      <c r="F137" s="422"/>
      <c r="G137" s="410"/>
      <c r="H137" s="410"/>
      <c r="I137" s="410"/>
      <c r="J137" s="410"/>
      <c r="K137" s="423">
        <f>D137</f>
        <v>0</v>
      </c>
      <c r="L137" s="410"/>
      <c r="M137" s="1049"/>
    </row>
    <row r="138" spans="1:13" ht="12" customHeight="1">
      <c r="A138" s="455">
        <v>2025</v>
      </c>
      <c r="C138" s="406" t="s">
        <v>612</v>
      </c>
      <c r="D138" s="453">
        <f>'T2 ANSP'!H59</f>
        <v>0</v>
      </c>
      <c r="E138" s="408"/>
      <c r="F138" s="422"/>
      <c r="G138" s="410"/>
      <c r="H138" s="410"/>
      <c r="I138" s="410"/>
      <c r="J138" s="410"/>
      <c r="K138" s="410"/>
      <c r="L138" s="423">
        <f>D138</f>
        <v>0</v>
      </c>
      <c r="M138" s="1049"/>
    </row>
    <row r="139" spans="1:13" ht="12" customHeight="1">
      <c r="A139" s="455">
        <v>2026</v>
      </c>
      <c r="C139" s="406" t="s">
        <v>613</v>
      </c>
      <c r="D139" s="453">
        <f>'T2 ANSP'!I59</f>
        <v>0</v>
      </c>
      <c r="E139" s="408"/>
      <c r="F139" s="422"/>
      <c r="G139" s="410"/>
      <c r="H139" s="410"/>
      <c r="I139" s="410"/>
      <c r="J139" s="410"/>
      <c r="K139" s="410"/>
      <c r="L139" s="410"/>
      <c r="M139" s="440">
        <f>D139</f>
        <v>0</v>
      </c>
    </row>
    <row r="140" spans="1:13" ht="12" customHeight="1">
      <c r="A140" s="455">
        <v>2027</v>
      </c>
      <c r="C140" s="406" t="s">
        <v>614</v>
      </c>
      <c r="D140" s="454">
        <f>'T2 ANSP'!J59</f>
        <v>0</v>
      </c>
      <c r="E140" s="428"/>
      <c r="F140" s="429"/>
      <c r="G140" s="429"/>
      <c r="H140" s="429"/>
      <c r="I140" s="429"/>
      <c r="J140" s="429"/>
      <c r="K140" s="429"/>
      <c r="L140" s="429"/>
      <c r="M140" s="1077">
        <f>D140</f>
        <v>0</v>
      </c>
    </row>
    <row r="141" spans="1:13" ht="12" customHeight="1">
      <c r="A141" s="455" t="s">
        <v>505</v>
      </c>
      <c r="C141" s="431" t="s">
        <v>615</v>
      </c>
      <c r="D141" s="432">
        <f t="shared" ref="D141:G141" si="19">SUM(D136:D140)+D131+D135+D260</f>
        <v>1073.5560203983696</v>
      </c>
      <c r="E141" s="480">
        <f t="shared" si="19"/>
        <v>0</v>
      </c>
      <c r="F141" s="434">
        <f t="shared" si="19"/>
        <v>0</v>
      </c>
      <c r="G141" s="434">
        <f t="shared" si="19"/>
        <v>0</v>
      </c>
      <c r="H141" s="434">
        <f>SUM(H136:H140)+H131+H135+H260</f>
        <v>2017.3576287694086</v>
      </c>
      <c r="I141" s="481">
        <f t="shared" ref="I141:M141" si="20">SUM(I136:I140)+I131+I135+I260</f>
        <v>-17640.105882247113</v>
      </c>
      <c r="J141" s="481">
        <f t="shared" si="20"/>
        <v>-7498.1257344027299</v>
      </c>
      <c r="K141" s="481">
        <f t="shared" si="20"/>
        <v>389.92037605813397</v>
      </c>
      <c r="L141" s="481">
        <f t="shared" si="20"/>
        <v>23929.979247065192</v>
      </c>
      <c r="M141" s="1076">
        <f t="shared" si="20"/>
        <v>-125.46961484452186</v>
      </c>
    </row>
    <row r="142" spans="1:13" ht="4.9000000000000004" customHeight="1">
      <c r="A142" s="758"/>
      <c r="C142" s="482"/>
      <c r="D142" s="482"/>
      <c r="E142" s="447"/>
      <c r="F142" s="447"/>
      <c r="G142" s="447"/>
      <c r="H142" s="447"/>
      <c r="I142" s="447"/>
      <c r="J142" s="447"/>
      <c r="K142" s="447"/>
      <c r="L142" s="447"/>
      <c r="M142" s="447"/>
    </row>
    <row r="143" spans="1:13" ht="12" customHeight="1">
      <c r="A143" s="455">
        <v>2017</v>
      </c>
      <c r="C143" s="398" t="s">
        <v>616</v>
      </c>
      <c r="D143" s="475">
        <v>0</v>
      </c>
      <c r="E143" s="486">
        <v>0</v>
      </c>
      <c r="F143" s="487">
        <v>0</v>
      </c>
      <c r="G143" s="487">
        <v>0</v>
      </c>
      <c r="H143" s="487">
        <v>0</v>
      </c>
      <c r="I143" s="1064">
        <v>0</v>
      </c>
      <c r="J143" s="1064"/>
      <c r="K143" s="1064"/>
      <c r="L143" s="1064"/>
      <c r="M143" s="437">
        <f t="shared" ref="M143:M155" si="21">D143-SUM(E143:I143)</f>
        <v>0</v>
      </c>
    </row>
    <row r="144" spans="1:13" ht="14.25" customHeight="1">
      <c r="A144" s="455">
        <v>2018</v>
      </c>
      <c r="C144" s="406" t="s">
        <v>617</v>
      </c>
      <c r="D144" s="503">
        <v>4076.59238370824</v>
      </c>
      <c r="E144" s="490">
        <f>D144</f>
        <v>4076.59238370824</v>
      </c>
      <c r="F144" s="491">
        <v>0</v>
      </c>
      <c r="G144" s="491">
        <v>0</v>
      </c>
      <c r="H144" s="491">
        <v>0</v>
      </c>
      <c r="I144" s="1065">
        <v>0</v>
      </c>
      <c r="J144" s="1065"/>
      <c r="K144" s="1065"/>
      <c r="L144" s="1065"/>
      <c r="M144" s="440">
        <f t="shared" si="21"/>
        <v>0</v>
      </c>
    </row>
    <row r="145" spans="1:13" ht="12" customHeight="1">
      <c r="A145" s="455">
        <v>2019</v>
      </c>
      <c r="C145" s="406" t="s">
        <v>618</v>
      </c>
      <c r="D145" s="503">
        <f>7758.36575479722+6076</f>
        <v>13834.36575479722</v>
      </c>
      <c r="E145" s="504"/>
      <c r="F145" s="491">
        <f>D145</f>
        <v>13834.36575479722</v>
      </c>
      <c r="G145" s="491">
        <v>0</v>
      </c>
      <c r="H145" s="491">
        <v>0</v>
      </c>
      <c r="I145" s="1065">
        <v>0</v>
      </c>
      <c r="J145" s="1065"/>
      <c r="K145" s="1065"/>
      <c r="L145" s="1065"/>
      <c r="M145" s="440">
        <f t="shared" si="21"/>
        <v>0</v>
      </c>
    </row>
    <row r="146" spans="1:13" ht="12" customHeight="1">
      <c r="A146" s="455" t="s">
        <v>493</v>
      </c>
      <c r="C146" s="413" t="s">
        <v>619</v>
      </c>
      <c r="D146" s="414">
        <f t="shared" ref="D146:I146" si="22">SUM(D143:D145)</f>
        <v>17910.958138505459</v>
      </c>
      <c r="E146" s="415">
        <f t="shared" si="22"/>
        <v>4076.59238370824</v>
      </c>
      <c r="F146" s="416">
        <f t="shared" si="22"/>
        <v>13834.36575479722</v>
      </c>
      <c r="G146" s="416">
        <f t="shared" si="22"/>
        <v>0</v>
      </c>
      <c r="H146" s="416">
        <f t="shared" si="22"/>
        <v>0</v>
      </c>
      <c r="I146" s="451">
        <f t="shared" si="22"/>
        <v>0</v>
      </c>
      <c r="J146" s="451"/>
      <c r="K146" s="451"/>
      <c r="L146" s="451"/>
      <c r="M146" s="1051">
        <f>SUM(M143:M145)</f>
        <v>0</v>
      </c>
    </row>
    <row r="147" spans="1:13" ht="12" customHeight="1">
      <c r="A147" s="455">
        <v>2020</v>
      </c>
      <c r="C147" s="398" t="s">
        <v>620</v>
      </c>
      <c r="D147" s="399">
        <f>(E21+E36+E107+E126+E141+E166)*-'T2 ANSP'!C40</f>
        <v>-36081.426563745226</v>
      </c>
      <c r="E147" s="506"/>
      <c r="F147" s="507"/>
      <c r="G147" s="487">
        <f>D147</f>
        <v>-36081.426563745226</v>
      </c>
      <c r="H147" s="507"/>
      <c r="I147" s="507"/>
      <c r="J147" s="507"/>
      <c r="K147" s="507"/>
      <c r="L147" s="507"/>
      <c r="M147" s="437">
        <f>D147-SUM(E147:L147)</f>
        <v>0</v>
      </c>
    </row>
    <row r="148" spans="1:13" ht="12" customHeight="1">
      <c r="A148" s="455">
        <v>2021</v>
      </c>
      <c r="C148" s="406" t="s">
        <v>621</v>
      </c>
      <c r="D148" s="407">
        <f>(F21+F36+F107+F126+F141+F166)*-'T2 ANSP'!D40</f>
        <v>-31418.093971759426</v>
      </c>
      <c r="E148" s="508"/>
      <c r="F148" s="509"/>
      <c r="G148" s="509"/>
      <c r="H148" s="491">
        <f>+D148</f>
        <v>-31418.093971759426</v>
      </c>
      <c r="I148" s="509"/>
      <c r="J148" s="509"/>
      <c r="K148" s="509"/>
      <c r="L148" s="509"/>
      <c r="M148" s="440">
        <f>D148-SUM(E148:L148)</f>
        <v>0</v>
      </c>
    </row>
    <row r="149" spans="1:13" ht="12" customHeight="1">
      <c r="A149" s="455">
        <v>2022</v>
      </c>
      <c r="C149" s="406" t="s">
        <v>622</v>
      </c>
      <c r="D149" s="407">
        <f>(G21+G36+G107+G126+G141+G166)*-'T2 ANSP'!E40</f>
        <v>-7750.594791922591</v>
      </c>
      <c r="E149" s="508"/>
      <c r="F149" s="509"/>
      <c r="G149" s="509"/>
      <c r="H149" s="509"/>
      <c r="I149" s="491">
        <f>D149</f>
        <v>-7750.594791922591</v>
      </c>
      <c r="J149" s="509"/>
      <c r="K149" s="509"/>
      <c r="L149" s="509"/>
      <c r="M149" s="440">
        <f>D149-SUM(E149:L149)</f>
        <v>0</v>
      </c>
    </row>
    <row r="150" spans="1:13" ht="12" customHeight="1">
      <c r="A150" s="455" t="s">
        <v>498</v>
      </c>
      <c r="C150" s="413" t="s">
        <v>623</v>
      </c>
      <c r="D150" s="414">
        <f>SUM(D147:D149)</f>
        <v>-75250.115327427236</v>
      </c>
      <c r="E150" s="1083"/>
      <c r="F150" s="1084"/>
      <c r="G150" s="416">
        <f>SUM(G147:G149)</f>
        <v>-36081.426563745226</v>
      </c>
      <c r="H150" s="416">
        <f>SUM(H147:H149)</f>
        <v>-31418.093971759426</v>
      </c>
      <c r="I150" s="416">
        <f>SUM(I147:I149)</f>
        <v>-7750.594791922591</v>
      </c>
      <c r="J150" s="417"/>
      <c r="K150" s="417"/>
      <c r="L150" s="417"/>
      <c r="M150" s="1050"/>
    </row>
    <row r="151" spans="1:13" ht="12" customHeight="1">
      <c r="A151" s="455">
        <v>2023</v>
      </c>
      <c r="C151" s="406" t="s">
        <v>624</v>
      </c>
      <c r="D151" s="407">
        <f>(H21+H36+H111+H126+H141+H166)*-'T2 ANSP'!F40</f>
        <v>0</v>
      </c>
      <c r="E151" s="508"/>
      <c r="F151" s="509"/>
      <c r="G151" s="509"/>
      <c r="H151" s="509"/>
      <c r="I151" s="509"/>
      <c r="J151" s="423">
        <f>D151</f>
        <v>0</v>
      </c>
      <c r="K151" s="410"/>
      <c r="L151" s="410"/>
      <c r="M151" s="1049"/>
    </row>
    <row r="152" spans="1:13" ht="12" customHeight="1">
      <c r="A152" s="455">
        <v>2024</v>
      </c>
      <c r="C152" s="406" t="s">
        <v>625</v>
      </c>
      <c r="D152" s="407">
        <f>(I21+I36+I111+I126+I141+I166)*-'T2 ANSP'!G40</f>
        <v>0</v>
      </c>
      <c r="E152" s="508"/>
      <c r="F152" s="509"/>
      <c r="G152" s="509"/>
      <c r="H152" s="509"/>
      <c r="I152" s="509"/>
      <c r="J152" s="410"/>
      <c r="K152" s="423">
        <f>D152</f>
        <v>0</v>
      </c>
      <c r="L152" s="410"/>
      <c r="M152" s="1049"/>
    </row>
    <row r="153" spans="1:13" ht="12" customHeight="1">
      <c r="A153" s="455">
        <v>2025</v>
      </c>
      <c r="C153" s="406" t="s">
        <v>626</v>
      </c>
      <c r="D153" s="407">
        <f>(J21+J36+J111+J126+J141+J166)*-'T2 ANSP'!H40</f>
        <v>0</v>
      </c>
      <c r="E153" s="508"/>
      <c r="F153" s="509"/>
      <c r="G153" s="509"/>
      <c r="H153" s="509"/>
      <c r="I153" s="509"/>
      <c r="J153" s="410"/>
      <c r="K153" s="410"/>
      <c r="L153" s="423">
        <f>D153</f>
        <v>0</v>
      </c>
      <c r="M153" s="1049"/>
    </row>
    <row r="154" spans="1:13" ht="12" customHeight="1">
      <c r="A154" s="455">
        <v>2026</v>
      </c>
      <c r="C154" s="406" t="s">
        <v>627</v>
      </c>
      <c r="D154" s="407">
        <f>(K21+K36+K111+K126+K141+K166)*-'T2 ANSP'!I40</f>
        <v>0</v>
      </c>
      <c r="E154" s="508"/>
      <c r="F154" s="509"/>
      <c r="G154" s="509"/>
      <c r="H154" s="509"/>
      <c r="I154" s="509"/>
      <c r="J154" s="509"/>
      <c r="K154" s="509"/>
      <c r="L154" s="509"/>
      <c r="M154" s="440">
        <f t="shared" si="21"/>
        <v>0</v>
      </c>
    </row>
    <row r="155" spans="1:13" ht="12" customHeight="1">
      <c r="A155" s="455">
        <v>2027</v>
      </c>
      <c r="C155" s="406" t="s">
        <v>628</v>
      </c>
      <c r="D155" s="407" t="e">
        <f>(J21+J36+J111+J126+J141+J166)*-'T2 ANSP'!#REF!</f>
        <v>#REF!</v>
      </c>
      <c r="E155" s="508"/>
      <c r="F155" s="509"/>
      <c r="G155" s="509"/>
      <c r="H155" s="509"/>
      <c r="I155" s="509"/>
      <c r="J155" s="509"/>
      <c r="K155" s="509"/>
      <c r="L155" s="509"/>
      <c r="M155" s="440" t="e">
        <f t="shared" si="21"/>
        <v>#REF!</v>
      </c>
    </row>
    <row r="156" spans="1:13" ht="12" customHeight="1">
      <c r="A156" s="455" t="s">
        <v>493</v>
      </c>
      <c r="C156" s="413" t="s">
        <v>629</v>
      </c>
      <c r="D156" s="414" t="e">
        <f>SUM(D151:D155)+D146+D150</f>
        <v>#REF!</v>
      </c>
      <c r="E156" s="415">
        <f t="shared" ref="E156:M156" si="23">SUM(E151:E155)+E146+E150</f>
        <v>4076.59238370824</v>
      </c>
      <c r="F156" s="416">
        <f t="shared" si="23"/>
        <v>13834.36575479722</v>
      </c>
      <c r="G156" s="416">
        <f t="shared" si="23"/>
        <v>-36081.426563745226</v>
      </c>
      <c r="H156" s="416">
        <f t="shared" si="23"/>
        <v>-31418.093971759426</v>
      </c>
      <c r="I156" s="451">
        <f t="shared" si="23"/>
        <v>-7750.594791922591</v>
      </c>
      <c r="J156" s="451">
        <f t="shared" si="23"/>
        <v>0</v>
      </c>
      <c r="K156" s="451">
        <f t="shared" si="23"/>
        <v>0</v>
      </c>
      <c r="L156" s="451">
        <f t="shared" si="23"/>
        <v>0</v>
      </c>
      <c r="M156" s="1051" t="e">
        <f t="shared" si="23"/>
        <v>#REF!</v>
      </c>
    </row>
    <row r="157" spans="1:13" ht="12" customHeight="1">
      <c r="A157" s="455">
        <v>2020</v>
      </c>
      <c r="C157" s="398" t="s">
        <v>630</v>
      </c>
      <c r="D157" s="452">
        <f>'T2 ANSP'!C46</f>
        <v>-4460.2106973964655</v>
      </c>
      <c r="E157" s="420"/>
      <c r="F157" s="401"/>
      <c r="G157" s="1036">
        <f>D157</f>
        <v>-4460.2106973964655</v>
      </c>
      <c r="H157" s="402"/>
      <c r="I157" s="1058"/>
      <c r="J157" s="1081"/>
      <c r="K157" s="1081"/>
      <c r="L157" s="1081"/>
      <c r="M157" s="1054"/>
    </row>
    <row r="158" spans="1:13" ht="12" customHeight="1">
      <c r="A158" s="455">
        <v>2021</v>
      </c>
      <c r="C158" s="406" t="s">
        <v>631</v>
      </c>
      <c r="D158" s="453">
        <f>'T2 ANSP'!D46</f>
        <v>-7580.8060943127884</v>
      </c>
      <c r="E158" s="408"/>
      <c r="F158" s="422"/>
      <c r="G158" s="422"/>
      <c r="H158" s="409">
        <f>D158</f>
        <v>-7580.8060943127884</v>
      </c>
      <c r="I158" s="1062"/>
      <c r="J158" s="1081"/>
      <c r="K158" s="1081"/>
      <c r="L158" s="1081"/>
      <c r="M158" s="1049"/>
    </row>
    <row r="159" spans="1:13" ht="12" customHeight="1">
      <c r="A159" s="455">
        <v>2022</v>
      </c>
      <c r="C159" s="406" t="s">
        <v>632</v>
      </c>
      <c r="D159" s="453">
        <f>'T2 ANSP'!E46</f>
        <v>-5144.7195341104725</v>
      </c>
      <c r="E159" s="408"/>
      <c r="F159" s="422"/>
      <c r="G159" s="422"/>
      <c r="H159" s="422"/>
      <c r="I159" s="1069">
        <f>D159</f>
        <v>-5144.7195341104725</v>
      </c>
      <c r="J159" s="1053"/>
      <c r="K159" s="1053"/>
      <c r="L159" s="1053"/>
      <c r="M159" s="1049"/>
    </row>
    <row r="160" spans="1:13" ht="12" customHeight="1">
      <c r="A160" s="455" t="s">
        <v>498</v>
      </c>
      <c r="C160" s="413" t="s">
        <v>633</v>
      </c>
      <c r="D160" s="414">
        <f>SUM(D157:D159)</f>
        <v>-17185.736325819729</v>
      </c>
      <c r="E160" s="1083"/>
      <c r="F160" s="1084"/>
      <c r="G160" s="416">
        <f>SUM(G157:G159)</f>
        <v>-4460.2106973964655</v>
      </c>
      <c r="H160" s="416">
        <f>SUM(H157:H159)</f>
        <v>-7580.8060943127884</v>
      </c>
      <c r="I160" s="416">
        <f>SUM(I157:I159)</f>
        <v>-5144.7195341104725</v>
      </c>
      <c r="J160" s="417"/>
      <c r="K160" s="417"/>
      <c r="L160" s="417"/>
      <c r="M160" s="1050"/>
    </row>
    <row r="161" spans="1:13" ht="12" customHeight="1">
      <c r="A161" s="455">
        <v>2023</v>
      </c>
      <c r="C161" s="406" t="s">
        <v>634</v>
      </c>
      <c r="D161" s="453">
        <f>'T2 ANSP'!F46</f>
        <v>0</v>
      </c>
      <c r="E161" s="408"/>
      <c r="F161" s="422"/>
      <c r="G161" s="422"/>
      <c r="H161" s="422"/>
      <c r="I161" s="422"/>
      <c r="J161" s="423">
        <f>D161</f>
        <v>0</v>
      </c>
      <c r="K161" s="422"/>
      <c r="L161" s="422"/>
      <c r="M161" s="1049"/>
    </row>
    <row r="162" spans="1:13" ht="12" customHeight="1">
      <c r="A162" s="455">
        <v>2024</v>
      </c>
      <c r="C162" s="406" t="s">
        <v>635</v>
      </c>
      <c r="D162" s="453">
        <f>'T2 ANSP'!G46</f>
        <v>0</v>
      </c>
      <c r="E162" s="408"/>
      <c r="F162" s="422"/>
      <c r="G162" s="422"/>
      <c r="H162" s="422"/>
      <c r="I162" s="422"/>
      <c r="J162" s="422"/>
      <c r="K162" s="423">
        <f>D162</f>
        <v>0</v>
      </c>
      <c r="L162" s="422"/>
      <c r="M162" s="1049"/>
    </row>
    <row r="163" spans="1:13" ht="12" customHeight="1">
      <c r="A163" s="455">
        <v>2025</v>
      </c>
      <c r="C163" s="406" t="s">
        <v>636</v>
      </c>
      <c r="D163" s="453">
        <f>'T2 ANSP'!H46</f>
        <v>0</v>
      </c>
      <c r="E163" s="408"/>
      <c r="F163" s="422"/>
      <c r="G163" s="422"/>
      <c r="H163" s="422"/>
      <c r="I163" s="422"/>
      <c r="J163" s="422"/>
      <c r="K163" s="422"/>
      <c r="L163" s="423">
        <f>D163</f>
        <v>0</v>
      </c>
      <c r="M163" s="1049"/>
    </row>
    <row r="164" spans="1:13" ht="12" customHeight="1">
      <c r="A164" s="455">
        <v>2026</v>
      </c>
      <c r="C164" s="406" t="s">
        <v>637</v>
      </c>
      <c r="D164" s="453">
        <f>'T2 ANSP'!I46</f>
        <v>0</v>
      </c>
      <c r="E164" s="408"/>
      <c r="F164" s="422"/>
      <c r="G164" s="422"/>
      <c r="H164" s="422"/>
      <c r="I164" s="422"/>
      <c r="J164" s="422"/>
      <c r="K164" s="422"/>
      <c r="L164" s="422"/>
      <c r="M164" s="440">
        <f>D164</f>
        <v>0</v>
      </c>
    </row>
    <row r="165" spans="1:13" ht="12" customHeight="1">
      <c r="A165" s="455">
        <v>2027</v>
      </c>
      <c r="C165" s="406" t="s">
        <v>638</v>
      </c>
      <c r="D165" s="454">
        <f>'T2 ANSP'!J46</f>
        <v>0</v>
      </c>
      <c r="E165" s="428"/>
      <c r="F165" s="429"/>
      <c r="G165" s="429"/>
      <c r="H165" s="429"/>
      <c r="I165" s="429"/>
      <c r="J165" s="429"/>
      <c r="K165" s="429"/>
      <c r="L165" s="429"/>
      <c r="M165" s="1077">
        <f>D165</f>
        <v>0</v>
      </c>
    </row>
    <row r="166" spans="1:13" ht="12" customHeight="1">
      <c r="A166" s="455" t="s">
        <v>505</v>
      </c>
      <c r="C166" s="431" t="s">
        <v>639</v>
      </c>
      <c r="D166" s="432" t="e">
        <f>SUM(D161:D165)+D156+D160</f>
        <v>#REF!</v>
      </c>
      <c r="E166" s="480">
        <f t="shared" ref="E166:M166" si="24">SUM(E161:E165)+E156+E160</f>
        <v>4076.59238370824</v>
      </c>
      <c r="F166" s="434">
        <f t="shared" si="24"/>
        <v>13834.36575479722</v>
      </c>
      <c r="G166" s="434">
        <f t="shared" si="24"/>
        <v>-40541.637261141688</v>
      </c>
      <c r="H166" s="434">
        <f>SUM(H161:H165)+H156+H160</f>
        <v>-38998.900066072216</v>
      </c>
      <c r="I166" s="434">
        <f t="shared" si="24"/>
        <v>-12895.314326033063</v>
      </c>
      <c r="J166" s="434">
        <f t="shared" si="24"/>
        <v>0</v>
      </c>
      <c r="K166" s="434">
        <f t="shared" si="24"/>
        <v>0</v>
      </c>
      <c r="L166" s="434">
        <f t="shared" si="24"/>
        <v>0</v>
      </c>
      <c r="M166" s="1076" t="e">
        <f t="shared" si="24"/>
        <v>#REF!</v>
      </c>
    </row>
    <row r="167" spans="1:13" ht="4.1500000000000004" customHeight="1">
      <c r="A167" s="758"/>
    </row>
    <row r="168" spans="1:13" ht="12" customHeight="1">
      <c r="A168" s="455">
        <v>2017</v>
      </c>
      <c r="C168" s="398" t="s">
        <v>640</v>
      </c>
      <c r="D168" s="475">
        <v>0</v>
      </c>
      <c r="E168" s="486">
        <v>0</v>
      </c>
      <c r="F168" s="487">
        <v>0</v>
      </c>
      <c r="G168" s="487">
        <v>0</v>
      </c>
      <c r="H168" s="487">
        <v>0</v>
      </c>
      <c r="I168" s="487">
        <v>0</v>
      </c>
      <c r="J168" s="487"/>
      <c r="K168" s="487"/>
      <c r="L168" s="487"/>
      <c r="M168" s="437">
        <f t="shared" ref="M168:M169" si="25">D168-SUM(E168:I168)</f>
        <v>0</v>
      </c>
    </row>
    <row r="169" spans="1:13" ht="12" customHeight="1">
      <c r="A169" s="455">
        <v>2018</v>
      </c>
      <c r="C169" s="406" t="s">
        <v>641</v>
      </c>
      <c r="D169" s="477">
        <v>0</v>
      </c>
      <c r="E169" s="490">
        <f>+D169</f>
        <v>0</v>
      </c>
      <c r="F169" s="491">
        <v>0</v>
      </c>
      <c r="G169" s="491">
        <v>0</v>
      </c>
      <c r="H169" s="491">
        <v>0</v>
      </c>
      <c r="I169" s="491">
        <v>0</v>
      </c>
      <c r="J169" s="491"/>
      <c r="K169" s="491"/>
      <c r="L169" s="491"/>
      <c r="M169" s="440">
        <f t="shared" si="25"/>
        <v>0</v>
      </c>
    </row>
    <row r="170" spans="1:13" ht="12" customHeight="1">
      <c r="A170" s="455">
        <v>2019</v>
      </c>
      <c r="C170" s="406" t="s">
        <v>642</v>
      </c>
      <c r="D170" s="477"/>
      <c r="E170" s="490">
        <v>0</v>
      </c>
      <c r="F170" s="491">
        <v>0</v>
      </c>
      <c r="G170" s="491">
        <v>0</v>
      </c>
      <c r="H170" s="491">
        <v>0</v>
      </c>
      <c r="I170" s="491">
        <v>0</v>
      </c>
      <c r="J170" s="491"/>
      <c r="K170" s="491"/>
      <c r="L170" s="491"/>
      <c r="M170" s="440">
        <v>0</v>
      </c>
    </row>
    <row r="171" spans="1:13" ht="12" customHeight="1">
      <c r="A171" s="455" t="s">
        <v>493</v>
      </c>
      <c r="C171" s="413" t="s">
        <v>643</v>
      </c>
      <c r="D171" s="414">
        <f>SUM(D168:D170)</f>
        <v>0</v>
      </c>
      <c r="E171" s="415">
        <f t="shared" ref="E171:M171" si="26">SUM(E168:E170)</f>
        <v>0</v>
      </c>
      <c r="F171" s="416">
        <f t="shared" si="26"/>
        <v>0</v>
      </c>
      <c r="G171" s="416">
        <f t="shared" si="26"/>
        <v>0</v>
      </c>
      <c r="H171" s="416">
        <f t="shared" si="26"/>
        <v>0</v>
      </c>
      <c r="I171" s="416">
        <f t="shared" ref="I171" si="27">SUM(I168:I170)</f>
        <v>0</v>
      </c>
      <c r="J171" s="416"/>
      <c r="K171" s="416"/>
      <c r="L171" s="416"/>
      <c r="M171" s="1051">
        <f t="shared" si="26"/>
        <v>0</v>
      </c>
    </row>
    <row r="172" spans="1:13" s="540" customFormat="1" ht="12" customHeight="1">
      <c r="A172" s="982">
        <v>2020</v>
      </c>
      <c r="B172" s="386"/>
      <c r="C172" s="436" t="s">
        <v>644</v>
      </c>
      <c r="D172" s="452">
        <f>'T2 ANSP'!C69</f>
        <v>-166.68438219613321</v>
      </c>
      <c r="E172" s="486">
        <f>D172</f>
        <v>-166.68438219613321</v>
      </c>
      <c r="F172" s="507"/>
      <c r="G172" s="507"/>
      <c r="H172" s="507"/>
      <c r="I172" s="1085"/>
      <c r="J172" s="507"/>
      <c r="K172" s="507"/>
      <c r="L172" s="507"/>
      <c r="M172" s="437">
        <f>D172-SUM(E172:L172)</f>
        <v>0</v>
      </c>
    </row>
    <row r="173" spans="1:13" ht="12" customHeight="1">
      <c r="A173" s="455">
        <v>2021</v>
      </c>
      <c r="C173" s="406" t="s">
        <v>645</v>
      </c>
      <c r="D173" s="453">
        <f>'T2 ANSP'!D69</f>
        <v>-10399.967789999999</v>
      </c>
      <c r="E173" s="508"/>
      <c r="F173" s="491">
        <f>D173</f>
        <v>-10399.967789999999</v>
      </c>
      <c r="G173" s="509"/>
      <c r="H173" s="509"/>
      <c r="I173" s="1068"/>
      <c r="J173" s="509"/>
      <c r="K173" s="509"/>
      <c r="L173" s="509"/>
      <c r="M173" s="440">
        <f t="shared" ref="M173:M174" si="28">D173-SUM(E173:L173)</f>
        <v>0</v>
      </c>
    </row>
    <row r="174" spans="1:13" ht="12" customHeight="1">
      <c r="A174" s="455">
        <v>2022</v>
      </c>
      <c r="C174" s="406" t="s">
        <v>646</v>
      </c>
      <c r="D174" s="453">
        <f>'T2 ANSP'!E69</f>
        <v>-31197.739202655848</v>
      </c>
      <c r="E174" s="508"/>
      <c r="F174" s="509"/>
      <c r="G174" s="512">
        <f>D174</f>
        <v>-31197.739202655848</v>
      </c>
      <c r="H174" s="1094"/>
      <c r="I174" s="1087"/>
      <c r="J174" s="509"/>
      <c r="K174" s="509"/>
      <c r="L174" s="509"/>
      <c r="M174" s="440">
        <f t="shared" si="28"/>
        <v>0</v>
      </c>
    </row>
    <row r="175" spans="1:13" ht="12" customHeight="1">
      <c r="A175" s="455" t="s">
        <v>498</v>
      </c>
      <c r="C175" s="413" t="s">
        <v>647</v>
      </c>
      <c r="D175" s="414">
        <f t="shared" ref="D175:I175" si="29">SUM(D172:D174)</f>
        <v>-41764.391374851984</v>
      </c>
      <c r="E175" s="414">
        <f t="shared" si="29"/>
        <v>-166.68438219613321</v>
      </c>
      <c r="F175" s="414">
        <f t="shared" si="29"/>
        <v>-10399.967789999999</v>
      </c>
      <c r="G175" s="416">
        <f t="shared" si="29"/>
        <v>-31197.739202655848</v>
      </c>
      <c r="H175" s="416">
        <f t="shared" si="29"/>
        <v>0</v>
      </c>
      <c r="I175" s="416">
        <f t="shared" si="29"/>
        <v>0</v>
      </c>
      <c r="J175" s="417"/>
      <c r="K175" s="417"/>
      <c r="L175" s="417"/>
      <c r="M175" s="1050"/>
    </row>
    <row r="176" spans="1:13" ht="12" customHeight="1">
      <c r="A176" s="455">
        <v>2023</v>
      </c>
      <c r="C176" s="406" t="s">
        <v>648</v>
      </c>
      <c r="D176" s="453">
        <f>'T2 ANSP'!F69</f>
        <v>-5847.4033714322459</v>
      </c>
      <c r="E176" s="508"/>
      <c r="F176" s="509"/>
      <c r="G176" s="509"/>
      <c r="H176" s="491">
        <f>D176</f>
        <v>-5847.4033714322459</v>
      </c>
      <c r="I176" s="1068"/>
      <c r="J176" s="509"/>
      <c r="K176" s="509"/>
      <c r="L176" s="509"/>
      <c r="M176" s="440">
        <f t="shared" ref="M176:M180" si="30">D176-SUM(E176:L176)</f>
        <v>0</v>
      </c>
    </row>
    <row r="177" spans="1:13" ht="12" customHeight="1">
      <c r="A177" s="455">
        <v>2024</v>
      </c>
      <c r="C177" s="406" t="s">
        <v>649</v>
      </c>
      <c r="D177" s="453">
        <f>'T2 ANSP'!G69</f>
        <v>-3314.5763098988937</v>
      </c>
      <c r="E177" s="508"/>
      <c r="F177" s="509"/>
      <c r="G177" s="509"/>
      <c r="H177" s="509"/>
      <c r="I177" s="1065">
        <f>D177</f>
        <v>-3314.5763098988937</v>
      </c>
      <c r="J177" s="509"/>
      <c r="K177" s="509"/>
      <c r="L177" s="509"/>
      <c r="M177" s="440">
        <f t="shared" si="30"/>
        <v>0</v>
      </c>
    </row>
    <row r="178" spans="1:13" ht="12" customHeight="1">
      <c r="A178" s="455">
        <v>2025</v>
      </c>
      <c r="C178" s="406" t="s">
        <v>650</v>
      </c>
      <c r="D178" s="453">
        <f>'T2 ANSP'!H69</f>
        <v>-7894.4413850276333</v>
      </c>
      <c r="E178" s="508"/>
      <c r="F178" s="509"/>
      <c r="G178" s="509"/>
      <c r="H178" s="509"/>
      <c r="I178" s="1068"/>
      <c r="J178" s="491">
        <f>D178</f>
        <v>-7894.4413850276333</v>
      </c>
      <c r="K178" s="509"/>
      <c r="L178" s="509"/>
      <c r="M178" s="440">
        <f t="shared" si="30"/>
        <v>0</v>
      </c>
    </row>
    <row r="179" spans="1:13" ht="12" customHeight="1">
      <c r="A179" s="455">
        <v>2026</v>
      </c>
      <c r="C179" s="406" t="s">
        <v>651</v>
      </c>
      <c r="D179" s="453">
        <f>'T2 ANSP'!I69</f>
        <v>0</v>
      </c>
      <c r="E179" s="508"/>
      <c r="F179" s="509"/>
      <c r="G179" s="509"/>
      <c r="H179" s="509"/>
      <c r="I179" s="1068"/>
      <c r="J179" s="509"/>
      <c r="K179" s="491">
        <f>D179</f>
        <v>0</v>
      </c>
      <c r="L179" s="509"/>
      <c r="M179" s="440">
        <f t="shared" si="30"/>
        <v>0</v>
      </c>
    </row>
    <row r="180" spans="1:13" ht="12" customHeight="1">
      <c r="A180" s="455">
        <v>2027</v>
      </c>
      <c r="C180" s="406" t="s">
        <v>652</v>
      </c>
      <c r="D180" s="453">
        <f>'T2 ANSP'!J69</f>
        <v>0</v>
      </c>
      <c r="E180" s="513"/>
      <c r="F180" s="514"/>
      <c r="G180" s="514"/>
      <c r="H180" s="514"/>
      <c r="I180" s="1095"/>
      <c r="J180" s="509"/>
      <c r="K180" s="509"/>
      <c r="L180" s="491">
        <f>D180</f>
        <v>0</v>
      </c>
      <c r="M180" s="1077">
        <f t="shared" si="30"/>
        <v>0</v>
      </c>
    </row>
    <row r="181" spans="1:13" ht="12" customHeight="1">
      <c r="A181" s="455" t="s">
        <v>505</v>
      </c>
      <c r="C181" s="431" t="s">
        <v>653</v>
      </c>
      <c r="D181" s="432">
        <f>SUM(D176:D180)+D171+D175</f>
        <v>-58820.812441210757</v>
      </c>
      <c r="E181" s="480">
        <f t="shared" ref="E181:M181" si="31">SUM(E176:E180)+E171+E175</f>
        <v>-166.68438219613321</v>
      </c>
      <c r="F181" s="1484">
        <f t="shared" si="31"/>
        <v>-10399.967789999999</v>
      </c>
      <c r="G181" s="434">
        <f t="shared" si="31"/>
        <v>-31197.739202655848</v>
      </c>
      <c r="H181" s="434">
        <f t="shared" si="31"/>
        <v>-5847.4033714322459</v>
      </c>
      <c r="I181" s="434">
        <f t="shared" si="31"/>
        <v>-3314.5763098988937</v>
      </c>
      <c r="J181" s="434">
        <f t="shared" si="31"/>
        <v>-7894.4413850276333</v>
      </c>
      <c r="K181" s="434">
        <f t="shared" si="31"/>
        <v>0</v>
      </c>
      <c r="L181" s="434">
        <f t="shared" si="31"/>
        <v>0</v>
      </c>
      <c r="M181" s="1076">
        <f t="shared" si="31"/>
        <v>0</v>
      </c>
    </row>
    <row r="182" spans="1:13" ht="4.1500000000000004" customHeight="1">
      <c r="A182" s="758"/>
    </row>
    <row r="183" spans="1:13" ht="12" customHeight="1">
      <c r="A183" s="455">
        <v>2017</v>
      </c>
      <c r="C183" s="398" t="s">
        <v>654</v>
      </c>
      <c r="D183" s="475">
        <v>0</v>
      </c>
      <c r="E183" s="486">
        <v>0</v>
      </c>
      <c r="F183" s="487">
        <v>0</v>
      </c>
      <c r="G183" s="487">
        <v>0</v>
      </c>
      <c r="H183" s="487">
        <v>0</v>
      </c>
      <c r="I183" s="1064">
        <v>0</v>
      </c>
      <c r="J183" s="1064">
        <v>0</v>
      </c>
      <c r="K183" s="1064">
        <v>0</v>
      </c>
      <c r="L183" s="1064">
        <v>0</v>
      </c>
      <c r="M183" s="437">
        <f>D183-SUM(E183:L183)</f>
        <v>0</v>
      </c>
    </row>
    <row r="184" spans="1:13" ht="12" customHeight="1">
      <c r="A184" s="455">
        <v>2018</v>
      </c>
      <c r="C184" s="406" t="s">
        <v>655</v>
      </c>
      <c r="D184" s="477">
        <v>0</v>
      </c>
      <c r="E184" s="490">
        <v>0</v>
      </c>
      <c r="F184" s="491">
        <v>0</v>
      </c>
      <c r="G184" s="491">
        <v>0</v>
      </c>
      <c r="H184" s="491">
        <v>0</v>
      </c>
      <c r="I184" s="1065">
        <v>0</v>
      </c>
      <c r="J184" s="1065">
        <v>0</v>
      </c>
      <c r="K184" s="1065">
        <v>0</v>
      </c>
      <c r="L184" s="1065">
        <v>0</v>
      </c>
      <c r="M184" s="440">
        <f t="shared" ref="M184:M185" si="32">D184-SUM(E184:L184)</f>
        <v>0</v>
      </c>
    </row>
    <row r="185" spans="1:13" ht="12" customHeight="1">
      <c r="A185" s="455">
        <v>2019</v>
      </c>
      <c r="C185" s="406" t="s">
        <v>656</v>
      </c>
      <c r="D185" s="477"/>
      <c r="E185" s="490">
        <v>0</v>
      </c>
      <c r="F185" s="491">
        <v>0</v>
      </c>
      <c r="G185" s="491">
        <v>0</v>
      </c>
      <c r="H185" s="491">
        <v>0</v>
      </c>
      <c r="I185" s="1065">
        <v>0</v>
      </c>
      <c r="J185" s="1065">
        <v>0</v>
      </c>
      <c r="K185" s="1065">
        <v>0</v>
      </c>
      <c r="L185" s="1065">
        <v>0</v>
      </c>
      <c r="M185" s="440">
        <f t="shared" si="32"/>
        <v>0</v>
      </c>
    </row>
    <row r="186" spans="1:13" ht="12" customHeight="1">
      <c r="A186" s="455" t="s">
        <v>493</v>
      </c>
      <c r="C186" s="413" t="s">
        <v>657</v>
      </c>
      <c r="D186" s="414">
        <f>SUM(D183:D185)</f>
        <v>0</v>
      </c>
      <c r="E186" s="415">
        <f t="shared" ref="E186:M186" si="33">SUM(E183:E185)</f>
        <v>0</v>
      </c>
      <c r="F186" s="416">
        <f t="shared" si="33"/>
        <v>0</v>
      </c>
      <c r="G186" s="416">
        <f t="shared" si="33"/>
        <v>0</v>
      </c>
      <c r="H186" s="416">
        <f t="shared" si="33"/>
        <v>0</v>
      </c>
      <c r="I186" s="416">
        <f t="shared" si="33"/>
        <v>0</v>
      </c>
      <c r="J186" s="416">
        <f t="shared" ref="J186:L186" si="34">SUM(J183:J185)</f>
        <v>0</v>
      </c>
      <c r="K186" s="416">
        <f t="shared" si="34"/>
        <v>0</v>
      </c>
      <c r="L186" s="416">
        <f t="shared" si="34"/>
        <v>0</v>
      </c>
      <c r="M186" s="1051">
        <f t="shared" si="33"/>
        <v>0</v>
      </c>
    </row>
    <row r="187" spans="1:13" s="516" customFormat="1">
      <c r="A187" s="455">
        <v>2020</v>
      </c>
      <c r="B187" s="386"/>
      <c r="C187" s="398" t="s">
        <v>658</v>
      </c>
      <c r="D187" s="452">
        <f>'T2 ANSP'!C70</f>
        <v>0</v>
      </c>
      <c r="E187" s="486">
        <v>0</v>
      </c>
      <c r="F187" s="487">
        <v>0</v>
      </c>
      <c r="G187" s="487">
        <v>0</v>
      </c>
      <c r="H187" s="487">
        <v>0</v>
      </c>
      <c r="I187" s="487">
        <v>0</v>
      </c>
      <c r="J187" s="487">
        <v>0</v>
      </c>
      <c r="K187" s="487">
        <v>0</v>
      </c>
      <c r="L187" s="487">
        <v>0</v>
      </c>
      <c r="M187" s="437">
        <f>D187-SUM(E187:L187)</f>
        <v>0</v>
      </c>
    </row>
    <row r="188" spans="1:13" ht="12" customHeight="1">
      <c r="A188" s="455">
        <v>2021</v>
      </c>
      <c r="C188" s="406" t="s">
        <v>659</v>
      </c>
      <c r="D188" s="453">
        <f>'T2 ANSP'!D70</f>
        <v>0</v>
      </c>
      <c r="E188" s="508"/>
      <c r="F188" s="491">
        <v>0</v>
      </c>
      <c r="G188" s="491">
        <v>0</v>
      </c>
      <c r="H188" s="491">
        <v>0</v>
      </c>
      <c r="I188" s="491">
        <v>0</v>
      </c>
      <c r="J188" s="491">
        <v>0</v>
      </c>
      <c r="K188" s="491">
        <v>0</v>
      </c>
      <c r="L188" s="491">
        <v>0</v>
      </c>
      <c r="M188" s="440">
        <f t="shared" ref="M188:M189" si="35">D188-SUM(E188:L188)</f>
        <v>0</v>
      </c>
    </row>
    <row r="189" spans="1:13" ht="12" customHeight="1">
      <c r="A189" s="455">
        <v>2022</v>
      </c>
      <c r="C189" s="406" t="s">
        <v>660</v>
      </c>
      <c r="D189" s="453">
        <f>'T2 ANSP'!E70</f>
        <v>0</v>
      </c>
      <c r="E189" s="508"/>
      <c r="F189" s="509"/>
      <c r="G189" s="512">
        <v>0</v>
      </c>
      <c r="H189" s="512">
        <v>0</v>
      </c>
      <c r="I189" s="512">
        <v>0</v>
      </c>
      <c r="J189" s="512">
        <v>0</v>
      </c>
      <c r="K189" s="512">
        <v>0</v>
      </c>
      <c r="L189" s="512">
        <v>0</v>
      </c>
      <c r="M189" s="440">
        <f t="shared" si="35"/>
        <v>0</v>
      </c>
    </row>
    <row r="190" spans="1:13" ht="12" customHeight="1">
      <c r="A190" s="455" t="s">
        <v>498</v>
      </c>
      <c r="C190" s="413" t="s">
        <v>661</v>
      </c>
      <c r="D190" s="414">
        <f t="shared" ref="D190:L190" si="36">SUM(D187:D189)</f>
        <v>0</v>
      </c>
      <c r="E190" s="416">
        <f t="shared" si="36"/>
        <v>0</v>
      </c>
      <c r="F190" s="416">
        <f t="shared" si="36"/>
        <v>0</v>
      </c>
      <c r="G190" s="416">
        <f t="shared" si="36"/>
        <v>0</v>
      </c>
      <c r="H190" s="416">
        <f t="shared" si="36"/>
        <v>0</v>
      </c>
      <c r="I190" s="416">
        <f t="shared" si="36"/>
        <v>0</v>
      </c>
      <c r="J190" s="416">
        <f t="shared" si="36"/>
        <v>0</v>
      </c>
      <c r="K190" s="416">
        <f t="shared" si="36"/>
        <v>0</v>
      </c>
      <c r="L190" s="416">
        <f t="shared" si="36"/>
        <v>0</v>
      </c>
      <c r="M190" s="1051">
        <f t="shared" ref="M190" si="37">SUM(M187:M189)</f>
        <v>0</v>
      </c>
    </row>
    <row r="191" spans="1:13" ht="12" customHeight="1">
      <c r="A191" s="455">
        <v>2023</v>
      </c>
      <c r="C191" s="406" t="s">
        <v>662</v>
      </c>
      <c r="D191" s="453">
        <f>'T2 ANSP'!F70</f>
        <v>0</v>
      </c>
      <c r="E191" s="508"/>
      <c r="F191" s="509"/>
      <c r="G191" s="509"/>
      <c r="H191" s="512">
        <v>0</v>
      </c>
      <c r="I191" s="512">
        <v>0</v>
      </c>
      <c r="J191" s="1066">
        <v>0</v>
      </c>
      <c r="K191" s="491">
        <v>0</v>
      </c>
      <c r="L191" s="491">
        <v>0</v>
      </c>
      <c r="M191" s="440">
        <f>D191-SUM(E191:L191)</f>
        <v>0</v>
      </c>
    </row>
    <row r="192" spans="1:13" ht="12" customHeight="1">
      <c r="A192" s="455">
        <v>2024</v>
      </c>
      <c r="C192" s="406" t="s">
        <v>663</v>
      </c>
      <c r="D192" s="453">
        <f>'T2 ANSP'!G70</f>
        <v>0</v>
      </c>
      <c r="E192" s="508"/>
      <c r="F192" s="509"/>
      <c r="G192" s="509"/>
      <c r="H192" s="509"/>
      <c r="I192" s="512">
        <v>0</v>
      </c>
      <c r="J192" s="1066">
        <v>0</v>
      </c>
      <c r="K192" s="491">
        <v>0</v>
      </c>
      <c r="L192" s="491">
        <v>0</v>
      </c>
      <c r="M192" s="440">
        <f t="shared" ref="M192:M195" si="38">D192-SUM(E192:L192)</f>
        <v>0</v>
      </c>
    </row>
    <row r="193" spans="1:13" ht="12" customHeight="1">
      <c r="A193" s="455">
        <v>2025</v>
      </c>
      <c r="C193" s="406" t="s">
        <v>664</v>
      </c>
      <c r="D193" s="453">
        <f>'T2 ANSP'!H70</f>
        <v>0</v>
      </c>
      <c r="E193" s="508"/>
      <c r="F193" s="509"/>
      <c r="G193" s="509"/>
      <c r="H193" s="509"/>
      <c r="I193" s="509"/>
      <c r="J193" s="512">
        <v>0</v>
      </c>
      <c r="K193" s="491">
        <v>0</v>
      </c>
      <c r="L193" s="491">
        <v>0</v>
      </c>
      <c r="M193" s="440">
        <f t="shared" si="38"/>
        <v>0</v>
      </c>
    </row>
    <row r="194" spans="1:13" ht="12" customHeight="1">
      <c r="A194" s="455">
        <v>2026</v>
      </c>
      <c r="C194" s="406" t="s">
        <v>665</v>
      </c>
      <c r="D194" s="453">
        <f>'T2 ANSP'!I70</f>
        <v>0</v>
      </c>
      <c r="E194" s="508"/>
      <c r="F194" s="509"/>
      <c r="G194" s="509"/>
      <c r="H194" s="509"/>
      <c r="I194" s="509"/>
      <c r="J194" s="509"/>
      <c r="K194" s="491">
        <v>0</v>
      </c>
      <c r="L194" s="491">
        <v>0</v>
      </c>
      <c r="M194" s="440">
        <f t="shared" si="38"/>
        <v>0</v>
      </c>
    </row>
    <row r="195" spans="1:13" ht="12" customHeight="1">
      <c r="A195" s="455">
        <v>2027</v>
      </c>
      <c r="C195" s="406" t="s">
        <v>666</v>
      </c>
      <c r="D195" s="454">
        <f>'T2 ANSP'!J70</f>
        <v>0</v>
      </c>
      <c r="E195" s="513"/>
      <c r="F195" s="514"/>
      <c r="G195" s="514"/>
      <c r="H195" s="514"/>
      <c r="I195" s="514"/>
      <c r="J195" s="514"/>
      <c r="K195" s="514"/>
      <c r="L195" s="491">
        <v>0</v>
      </c>
      <c r="M195" s="1077">
        <f t="shared" si="38"/>
        <v>0</v>
      </c>
    </row>
    <row r="196" spans="1:13" ht="12" customHeight="1">
      <c r="A196" s="455" t="s">
        <v>505</v>
      </c>
      <c r="C196" s="431" t="s">
        <v>667</v>
      </c>
      <c r="D196" s="432">
        <f>SUM(D191:D195)+D186+D190</f>
        <v>0</v>
      </c>
      <c r="E196" s="480">
        <f t="shared" ref="E196:M196" si="39">SUM(E191:E195)+E186+E190</f>
        <v>0</v>
      </c>
      <c r="F196" s="434">
        <f t="shared" si="39"/>
        <v>0</v>
      </c>
      <c r="G196" s="434">
        <f t="shared" si="39"/>
        <v>0</v>
      </c>
      <c r="H196" s="434">
        <f t="shared" si="39"/>
        <v>0</v>
      </c>
      <c r="I196" s="434">
        <f t="shared" si="39"/>
        <v>0</v>
      </c>
      <c r="J196" s="434">
        <f t="shared" si="39"/>
        <v>0</v>
      </c>
      <c r="K196" s="434">
        <f t="shared" si="39"/>
        <v>0</v>
      </c>
      <c r="L196" s="434">
        <f t="shared" si="39"/>
        <v>0</v>
      </c>
      <c r="M196" s="1076">
        <f t="shared" si="39"/>
        <v>0</v>
      </c>
    </row>
    <row r="197" spans="1:13" ht="4.1500000000000004" customHeight="1">
      <c r="A197" s="758"/>
    </row>
    <row r="198" spans="1:13" ht="12" customHeight="1">
      <c r="A198" s="455">
        <v>2017</v>
      </c>
      <c r="C198" s="398" t="s">
        <v>668</v>
      </c>
      <c r="D198" s="517">
        <v>0</v>
      </c>
      <c r="E198" s="486">
        <v>0</v>
      </c>
      <c r="F198" s="487">
        <v>0</v>
      </c>
      <c r="G198" s="487">
        <v>0</v>
      </c>
      <c r="H198" s="487">
        <v>0</v>
      </c>
      <c r="I198" s="487">
        <v>0</v>
      </c>
      <c r="J198" s="487"/>
      <c r="K198" s="487"/>
      <c r="L198" s="487"/>
      <c r="M198" s="437">
        <f>D198-SUM(E198:L198)</f>
        <v>0</v>
      </c>
    </row>
    <row r="199" spans="1:13" ht="12" customHeight="1">
      <c r="A199" s="455">
        <v>2018</v>
      </c>
      <c r="C199" s="406" t="s">
        <v>669</v>
      </c>
      <c r="D199" s="518">
        <v>0</v>
      </c>
      <c r="E199" s="490">
        <v>0</v>
      </c>
      <c r="F199" s="491">
        <v>0</v>
      </c>
      <c r="G199" s="491">
        <v>0</v>
      </c>
      <c r="H199" s="491">
        <v>0</v>
      </c>
      <c r="I199" s="491">
        <v>0</v>
      </c>
      <c r="J199" s="491"/>
      <c r="K199" s="491"/>
      <c r="L199" s="491"/>
      <c r="M199" s="440">
        <f t="shared" ref="M199:M200" si="40">D199-SUM(E199:L199)</f>
        <v>0</v>
      </c>
    </row>
    <row r="200" spans="1:13" ht="12" customHeight="1">
      <c r="A200" s="455">
        <v>2019</v>
      </c>
      <c r="C200" s="406" t="s">
        <v>670</v>
      </c>
      <c r="D200" s="407">
        <v>0</v>
      </c>
      <c r="E200" s="490">
        <v>0</v>
      </c>
      <c r="F200" s="491">
        <v>0</v>
      </c>
      <c r="G200" s="491">
        <v>0</v>
      </c>
      <c r="H200" s="491">
        <v>0</v>
      </c>
      <c r="I200" s="491">
        <v>0</v>
      </c>
      <c r="J200" s="491"/>
      <c r="K200" s="491"/>
      <c r="L200" s="491"/>
      <c r="M200" s="440">
        <f t="shared" si="40"/>
        <v>0</v>
      </c>
    </row>
    <row r="201" spans="1:13" ht="12" customHeight="1">
      <c r="A201" s="455" t="s">
        <v>493</v>
      </c>
      <c r="C201" s="413" t="s">
        <v>671</v>
      </c>
      <c r="D201" s="414">
        <f>SUM(D198:D200)</f>
        <v>0</v>
      </c>
      <c r="E201" s="415">
        <f t="shared" ref="E201:M201" si="41">SUM(E198:E200)</f>
        <v>0</v>
      </c>
      <c r="F201" s="416">
        <f t="shared" si="41"/>
        <v>0</v>
      </c>
      <c r="G201" s="416">
        <f t="shared" si="41"/>
        <v>0</v>
      </c>
      <c r="H201" s="416">
        <f t="shared" si="41"/>
        <v>0</v>
      </c>
      <c r="I201" s="416">
        <f t="shared" ref="I201" si="42">SUM(I198:I200)</f>
        <v>0</v>
      </c>
      <c r="J201" s="416"/>
      <c r="K201" s="416"/>
      <c r="L201" s="416"/>
      <c r="M201" s="1051">
        <f t="shared" si="41"/>
        <v>0</v>
      </c>
    </row>
    <row r="202" spans="1:13" s="986" customFormat="1">
      <c r="A202" s="982">
        <v>2020</v>
      </c>
      <c r="B202" s="540"/>
      <c r="C202" s="436" t="s">
        <v>672</v>
      </c>
      <c r="D202" s="983">
        <f>'T2 ANSP'!C71</f>
        <v>-7306.3912952168575</v>
      </c>
      <c r="E202" s="984">
        <f>+D202</f>
        <v>-7306.3912952168575</v>
      </c>
      <c r="F202" s="985">
        <v>0</v>
      </c>
      <c r="G202" s="985">
        <v>0</v>
      </c>
      <c r="H202" s="985">
        <v>0</v>
      </c>
      <c r="I202" s="985">
        <v>0</v>
      </c>
      <c r="J202" s="985">
        <v>0</v>
      </c>
      <c r="K202" s="985">
        <v>0</v>
      </c>
      <c r="L202" s="985">
        <v>0</v>
      </c>
      <c r="M202" s="437">
        <f>D202-SUM(E202:L202)</f>
        <v>0</v>
      </c>
    </row>
    <row r="203" spans="1:13" ht="12" customHeight="1">
      <c r="A203" s="455">
        <v>2021</v>
      </c>
      <c r="C203" s="406" t="s">
        <v>673</v>
      </c>
      <c r="D203" s="453">
        <f>'T2 ANSP'!D71</f>
        <v>-2637.4695319517432</v>
      </c>
      <c r="E203" s="508"/>
      <c r="F203" s="491">
        <f>D203</f>
        <v>-2637.4695319517432</v>
      </c>
      <c r="G203" s="491">
        <v>0</v>
      </c>
      <c r="H203" s="491">
        <v>0</v>
      </c>
      <c r="I203" s="491">
        <v>0</v>
      </c>
      <c r="J203" s="491">
        <v>0</v>
      </c>
      <c r="K203" s="491">
        <v>0</v>
      </c>
      <c r="L203" s="491">
        <v>0</v>
      </c>
      <c r="M203" s="440">
        <f t="shared" ref="M203:M204" si="43">D203-SUM(E203:L203)</f>
        <v>0</v>
      </c>
    </row>
    <row r="204" spans="1:13" ht="12" customHeight="1">
      <c r="A204" s="455">
        <v>2022</v>
      </c>
      <c r="C204" s="406" t="s">
        <v>674</v>
      </c>
      <c r="D204" s="453">
        <f>'T2 ANSP'!E71</f>
        <v>0</v>
      </c>
      <c r="E204" s="508"/>
      <c r="F204" s="508"/>
      <c r="G204" s="491">
        <v>0</v>
      </c>
      <c r="H204" s="491">
        <v>0</v>
      </c>
      <c r="I204" s="491">
        <v>0</v>
      </c>
      <c r="J204" s="491">
        <v>0</v>
      </c>
      <c r="K204" s="491">
        <v>0</v>
      </c>
      <c r="L204" s="491">
        <v>0</v>
      </c>
      <c r="M204" s="440">
        <f t="shared" si="43"/>
        <v>0</v>
      </c>
    </row>
    <row r="205" spans="1:13" ht="12" customHeight="1">
      <c r="A205" s="455" t="s">
        <v>498</v>
      </c>
      <c r="C205" s="413" t="s">
        <v>675</v>
      </c>
      <c r="D205" s="414">
        <f t="shared" ref="D205:L205" si="44">SUM(D202:D204)</f>
        <v>-9943.8608271686007</v>
      </c>
      <c r="E205" s="416">
        <f t="shared" si="44"/>
        <v>-7306.3912952168575</v>
      </c>
      <c r="F205" s="416">
        <f t="shared" si="44"/>
        <v>-2637.4695319517432</v>
      </c>
      <c r="G205" s="416">
        <f t="shared" si="44"/>
        <v>0</v>
      </c>
      <c r="H205" s="416">
        <f t="shared" si="44"/>
        <v>0</v>
      </c>
      <c r="I205" s="416">
        <f t="shared" si="44"/>
        <v>0</v>
      </c>
      <c r="J205" s="416">
        <f t="shared" si="44"/>
        <v>0</v>
      </c>
      <c r="K205" s="416">
        <f t="shared" si="44"/>
        <v>0</v>
      </c>
      <c r="L205" s="416">
        <f t="shared" si="44"/>
        <v>0</v>
      </c>
      <c r="M205" s="1051">
        <f t="shared" ref="M205" si="45">SUM(M202:M204)</f>
        <v>0</v>
      </c>
    </row>
    <row r="206" spans="1:13" ht="12" customHeight="1">
      <c r="A206" s="455">
        <v>2023</v>
      </c>
      <c r="C206" s="406" t="s">
        <v>676</v>
      </c>
      <c r="D206" s="453">
        <f>'T2 ANSP'!F71</f>
        <v>0</v>
      </c>
      <c r="E206" s="508"/>
      <c r="F206" s="509"/>
      <c r="G206" s="509"/>
      <c r="H206" s="491">
        <v>0</v>
      </c>
      <c r="I206" s="491">
        <v>0</v>
      </c>
      <c r="J206" s="491">
        <v>0</v>
      </c>
      <c r="K206" s="491">
        <v>0</v>
      </c>
      <c r="L206" s="491">
        <v>0</v>
      </c>
      <c r="M206" s="440">
        <f>D206-SUM(E206:L206)</f>
        <v>0</v>
      </c>
    </row>
    <row r="207" spans="1:13" ht="12" customHeight="1">
      <c r="A207" s="455">
        <v>2024</v>
      </c>
      <c r="C207" s="406" t="s">
        <v>677</v>
      </c>
      <c r="D207" s="453">
        <f>'T2 ANSP'!G71</f>
        <v>0</v>
      </c>
      <c r="E207" s="508"/>
      <c r="F207" s="509"/>
      <c r="G207" s="509"/>
      <c r="H207" s="509"/>
      <c r="I207" s="491">
        <v>0</v>
      </c>
      <c r="J207" s="491">
        <v>0</v>
      </c>
      <c r="K207" s="491">
        <v>0</v>
      </c>
      <c r="L207" s="491">
        <v>0</v>
      </c>
      <c r="M207" s="440">
        <f t="shared" ref="M207:M210" si="46">D207-SUM(E207:L207)</f>
        <v>0</v>
      </c>
    </row>
    <row r="208" spans="1:13" ht="12" customHeight="1">
      <c r="A208" s="455">
        <v>2025</v>
      </c>
      <c r="C208" s="406" t="s">
        <v>678</v>
      </c>
      <c r="D208" s="453">
        <f>'T2 ANSP'!H71</f>
        <v>0</v>
      </c>
      <c r="E208" s="508"/>
      <c r="F208" s="509"/>
      <c r="G208" s="509"/>
      <c r="H208" s="509"/>
      <c r="I208" s="509"/>
      <c r="J208" s="491">
        <v>0</v>
      </c>
      <c r="K208" s="491">
        <v>0</v>
      </c>
      <c r="L208" s="491">
        <v>0</v>
      </c>
      <c r="M208" s="440">
        <f t="shared" si="46"/>
        <v>0</v>
      </c>
    </row>
    <row r="209" spans="1:13" ht="12" customHeight="1">
      <c r="A209" s="455">
        <v>2026</v>
      </c>
      <c r="C209" s="406" t="s">
        <v>679</v>
      </c>
      <c r="D209" s="453">
        <f>'T2 ANSP'!I71</f>
        <v>0</v>
      </c>
      <c r="E209" s="508"/>
      <c r="F209" s="509"/>
      <c r="G209" s="509"/>
      <c r="H209" s="509"/>
      <c r="I209" s="509"/>
      <c r="J209" s="509"/>
      <c r="K209" s="491">
        <v>0</v>
      </c>
      <c r="L209" s="491">
        <v>0</v>
      </c>
      <c r="M209" s="440">
        <f t="shared" si="46"/>
        <v>0</v>
      </c>
    </row>
    <row r="210" spans="1:13" ht="12" customHeight="1">
      <c r="A210" s="455">
        <v>2027</v>
      </c>
      <c r="C210" s="406" t="s">
        <v>680</v>
      </c>
      <c r="D210" s="454">
        <f>'T2 ANSP'!J71</f>
        <v>0</v>
      </c>
      <c r="E210" s="513"/>
      <c r="F210" s="514"/>
      <c r="G210" s="514"/>
      <c r="H210" s="514"/>
      <c r="I210" s="514"/>
      <c r="J210" s="514"/>
      <c r="K210" s="514"/>
      <c r="L210" s="522">
        <v>0</v>
      </c>
      <c r="M210" s="1077">
        <f t="shared" si="46"/>
        <v>0</v>
      </c>
    </row>
    <row r="211" spans="1:13" ht="12" customHeight="1">
      <c r="A211" s="455" t="s">
        <v>505</v>
      </c>
      <c r="C211" s="431" t="s">
        <v>681</v>
      </c>
      <c r="D211" s="432">
        <f>SUM(D206:D210)+D201+D205</f>
        <v>-9943.8608271686007</v>
      </c>
      <c r="E211" s="480">
        <f t="shared" ref="E211:M211" si="47">SUM(E206:E210)+E201+E205</f>
        <v>-7306.3912952168575</v>
      </c>
      <c r="F211" s="1484">
        <f t="shared" si="47"/>
        <v>-2637.4695319517432</v>
      </c>
      <c r="G211" s="434">
        <f t="shared" si="47"/>
        <v>0</v>
      </c>
      <c r="H211" s="434">
        <f t="shared" si="47"/>
        <v>0</v>
      </c>
      <c r="I211" s="481">
        <f t="shared" si="47"/>
        <v>0</v>
      </c>
      <c r="J211" s="481">
        <f t="shared" si="47"/>
        <v>0</v>
      </c>
      <c r="K211" s="481">
        <f t="shared" si="47"/>
        <v>0</v>
      </c>
      <c r="L211" s="481">
        <f t="shared" si="47"/>
        <v>0</v>
      </c>
      <c r="M211" s="1076">
        <f t="shared" si="47"/>
        <v>0</v>
      </c>
    </row>
    <row r="212" spans="1:13" ht="4.1500000000000004" customHeight="1">
      <c r="A212" s="758"/>
    </row>
    <row r="213" spans="1:13" ht="12" customHeight="1">
      <c r="A213" s="455">
        <v>2017</v>
      </c>
      <c r="C213" s="398" t="s">
        <v>682</v>
      </c>
      <c r="D213" s="404"/>
      <c r="E213" s="456"/>
      <c r="F213" s="402"/>
      <c r="G213" s="402"/>
      <c r="H213" s="402"/>
      <c r="I213" s="1058"/>
      <c r="J213" s="1058"/>
      <c r="K213" s="1058"/>
      <c r="L213" s="1058"/>
      <c r="M213" s="1054"/>
    </row>
    <row r="214" spans="1:13" ht="12" customHeight="1">
      <c r="A214" s="455">
        <v>2018</v>
      </c>
      <c r="C214" s="406" t="s">
        <v>683</v>
      </c>
      <c r="D214" s="412"/>
      <c r="E214" s="457"/>
      <c r="F214" s="410"/>
      <c r="G214" s="410"/>
      <c r="H214" s="410"/>
      <c r="I214" s="1062"/>
      <c r="J214" s="1062"/>
      <c r="K214" s="1062"/>
      <c r="L214" s="1062"/>
      <c r="M214" s="1049"/>
    </row>
    <row r="215" spans="1:13" ht="12" customHeight="1">
      <c r="A215" s="455">
        <v>2019</v>
      </c>
      <c r="C215" s="406" t="s">
        <v>684</v>
      </c>
      <c r="D215" s="412"/>
      <c r="E215" s="457"/>
      <c r="F215" s="410"/>
      <c r="G215" s="410"/>
      <c r="H215" s="410"/>
      <c r="I215" s="1059"/>
      <c r="J215" s="1059"/>
      <c r="K215" s="1059"/>
      <c r="L215" s="1059"/>
      <c r="M215" s="1049"/>
    </row>
    <row r="216" spans="1:13" ht="12" customHeight="1">
      <c r="A216" s="455" t="s">
        <v>493</v>
      </c>
      <c r="C216" s="413" t="s">
        <v>685</v>
      </c>
      <c r="D216" s="419"/>
      <c r="E216" s="464"/>
      <c r="F216" s="417"/>
      <c r="G216" s="417"/>
      <c r="H216" s="417"/>
      <c r="I216" s="1060"/>
      <c r="J216" s="1060"/>
      <c r="K216" s="1060"/>
      <c r="L216" s="1060"/>
      <c r="M216" s="1050"/>
    </row>
    <row r="217" spans="1:13" s="516" customFormat="1">
      <c r="A217" s="455">
        <v>2020</v>
      </c>
      <c r="B217" s="386"/>
      <c r="C217" s="398" t="s">
        <v>686</v>
      </c>
      <c r="D217" s="465"/>
      <c r="E217" s="456"/>
      <c r="F217" s="402"/>
      <c r="G217" s="402"/>
      <c r="H217" s="402"/>
      <c r="I217" s="1058"/>
      <c r="J217" s="1058"/>
      <c r="K217" s="1058"/>
      <c r="L217" s="1058"/>
      <c r="M217" s="1054"/>
    </row>
    <row r="218" spans="1:13" ht="12" customHeight="1">
      <c r="A218" s="455">
        <v>2021</v>
      </c>
      <c r="C218" s="406" t="s">
        <v>687</v>
      </c>
      <c r="D218" s="466"/>
      <c r="E218" s="457"/>
      <c r="F218" s="410"/>
      <c r="G218" s="410"/>
      <c r="H218" s="410"/>
      <c r="I218" s="1062"/>
      <c r="J218" s="1062"/>
      <c r="K218" s="1062"/>
      <c r="L218" s="1062"/>
      <c r="M218" s="1049"/>
    </row>
    <row r="219" spans="1:13" ht="12" customHeight="1">
      <c r="A219" s="455">
        <v>2022</v>
      </c>
      <c r="C219" s="406" t="s">
        <v>688</v>
      </c>
      <c r="D219" s="466"/>
      <c r="E219" s="457"/>
      <c r="F219" s="410"/>
      <c r="G219" s="410"/>
      <c r="H219" s="410"/>
      <c r="I219" s="1062"/>
      <c r="J219" s="1062"/>
      <c r="K219" s="1062"/>
      <c r="L219" s="1062"/>
      <c r="M219" s="1049"/>
    </row>
    <row r="220" spans="1:13" ht="12" customHeight="1">
      <c r="A220" s="455" t="s">
        <v>498</v>
      </c>
      <c r="C220" s="413" t="s">
        <v>689</v>
      </c>
      <c r="D220" s="419"/>
      <c r="E220" s="464"/>
      <c r="F220" s="417"/>
      <c r="G220" s="417"/>
      <c r="H220" s="417"/>
      <c r="I220" s="1060"/>
      <c r="J220" s="1060"/>
      <c r="K220" s="1060"/>
      <c r="L220" s="1060"/>
      <c r="M220" s="1050"/>
    </row>
    <row r="221" spans="1:13" ht="12" customHeight="1">
      <c r="A221" s="455">
        <v>2023</v>
      </c>
      <c r="C221" s="406" t="s">
        <v>690</v>
      </c>
      <c r="D221" s="466"/>
      <c r="E221" s="457"/>
      <c r="F221" s="410"/>
      <c r="G221" s="410"/>
      <c r="H221" s="410"/>
      <c r="I221" s="1062"/>
      <c r="J221" s="1062"/>
      <c r="K221" s="1062"/>
      <c r="L221" s="1062"/>
      <c r="M221" s="1049"/>
    </row>
    <row r="222" spans="1:13" ht="12" customHeight="1">
      <c r="A222" s="455">
        <v>2024</v>
      </c>
      <c r="C222" s="406" t="s">
        <v>691</v>
      </c>
      <c r="D222" s="466"/>
      <c r="E222" s="457"/>
      <c r="F222" s="410"/>
      <c r="G222" s="410"/>
      <c r="H222" s="410"/>
      <c r="I222" s="1062"/>
      <c r="J222" s="1062"/>
      <c r="K222" s="1062"/>
      <c r="L222" s="1062"/>
      <c r="M222" s="1049"/>
    </row>
    <row r="223" spans="1:13" ht="12" customHeight="1">
      <c r="A223" s="455">
        <v>2025</v>
      </c>
      <c r="C223" s="406" t="s">
        <v>692</v>
      </c>
      <c r="D223" s="466"/>
      <c r="E223" s="457"/>
      <c r="F223" s="410"/>
      <c r="G223" s="410"/>
      <c r="H223" s="410"/>
      <c r="I223" s="1059"/>
      <c r="J223" s="1059"/>
      <c r="K223" s="1059"/>
      <c r="L223" s="1059"/>
      <c r="M223" s="1049"/>
    </row>
    <row r="224" spans="1:13" ht="12" customHeight="1">
      <c r="A224" s="455">
        <v>2026</v>
      </c>
      <c r="C224" s="406" t="s">
        <v>693</v>
      </c>
      <c r="D224" s="466"/>
      <c r="E224" s="457"/>
      <c r="F224" s="410"/>
      <c r="G224" s="410"/>
      <c r="H224" s="410"/>
      <c r="I224" s="1059"/>
      <c r="J224" s="1059"/>
      <c r="K224" s="1059"/>
      <c r="L224" s="1059"/>
      <c r="M224" s="1049"/>
    </row>
    <row r="225" spans="1:13" ht="12" customHeight="1">
      <c r="A225" s="455">
        <v>2027</v>
      </c>
      <c r="C225" s="406" t="s">
        <v>694</v>
      </c>
      <c r="D225" s="467"/>
      <c r="E225" s="460"/>
      <c r="F225" s="461"/>
      <c r="G225" s="461"/>
      <c r="H225" s="461"/>
      <c r="I225" s="1070"/>
      <c r="J225" s="1070"/>
      <c r="K225" s="1070"/>
      <c r="L225" s="1070"/>
      <c r="M225" s="1055"/>
    </row>
    <row r="226" spans="1:13" ht="12" customHeight="1">
      <c r="A226" s="455" t="s">
        <v>505</v>
      </c>
      <c r="C226" s="431" t="s">
        <v>695</v>
      </c>
      <c r="D226" s="500"/>
      <c r="E226" s="494"/>
      <c r="F226" s="495"/>
      <c r="G226" s="495"/>
      <c r="H226" s="495"/>
      <c r="I226" s="501"/>
      <c r="J226" s="501"/>
      <c r="K226" s="501"/>
      <c r="L226" s="501"/>
      <c r="M226" s="1056"/>
    </row>
    <row r="227" spans="1:13" ht="4.1500000000000004" customHeight="1">
      <c r="A227" s="758"/>
    </row>
    <row r="228" spans="1:13" ht="12" customHeight="1">
      <c r="A228" s="455">
        <v>2020</v>
      </c>
      <c r="C228" s="469" t="s">
        <v>696</v>
      </c>
      <c r="D228" s="448">
        <f>'T2 ANSP'!C63</f>
        <v>4630.4594271457227</v>
      </c>
      <c r="E228" s="457"/>
      <c r="F228" s="410"/>
      <c r="G228" s="1044">
        <f>D228</f>
        <v>4630.4594271457227</v>
      </c>
      <c r="H228" s="507"/>
      <c r="I228" s="507"/>
      <c r="J228" s="507"/>
      <c r="K228" s="507"/>
      <c r="L228" s="507"/>
      <c r="M228" s="437">
        <f>D228-SUM(E228:L228)</f>
        <v>0</v>
      </c>
    </row>
    <row r="229" spans="1:13" ht="12" customHeight="1">
      <c r="A229" s="455">
        <v>2021</v>
      </c>
      <c r="C229" s="470" t="s">
        <v>697</v>
      </c>
      <c r="D229" s="449">
        <f>'T2 ANSP'!D63</f>
        <v>0</v>
      </c>
      <c r="E229" s="457"/>
      <c r="F229" s="410"/>
      <c r="G229" s="410"/>
      <c r="H229" s="423"/>
      <c r="I229" s="410"/>
      <c r="J229" s="410"/>
      <c r="K229" s="410"/>
      <c r="L229" s="410"/>
      <c r="M229" s="440">
        <f>D229-SUM(E229:L229)</f>
        <v>0</v>
      </c>
    </row>
    <row r="230" spans="1:13" ht="12" customHeight="1">
      <c r="A230" s="455">
        <v>2022</v>
      </c>
      <c r="C230" s="470" t="s">
        <v>698</v>
      </c>
      <c r="D230" s="449">
        <f>'T2 ANSP'!E63</f>
        <v>0</v>
      </c>
      <c r="E230" s="504"/>
      <c r="F230" s="523"/>
      <c r="G230" s="523"/>
      <c r="H230" s="523"/>
      <c r="I230" s="491"/>
      <c r="J230" s="523"/>
      <c r="K230" s="523"/>
      <c r="L230" s="523"/>
      <c r="M230" s="440">
        <f>D230-SUM(E230:L230)</f>
        <v>0</v>
      </c>
    </row>
    <row r="231" spans="1:13" ht="12" customHeight="1">
      <c r="A231" s="455" t="s">
        <v>498</v>
      </c>
      <c r="C231" s="413" t="s">
        <v>699</v>
      </c>
      <c r="D231" s="414">
        <f>SUM(D228:D230)</f>
        <v>4630.4594271457227</v>
      </c>
      <c r="E231" s="415">
        <f t="shared" ref="E231:I231" si="48">SUM(E228:E230)</f>
        <v>0</v>
      </c>
      <c r="F231" s="416">
        <f t="shared" si="48"/>
        <v>0</v>
      </c>
      <c r="G231" s="416">
        <f t="shared" si="48"/>
        <v>4630.4594271457227</v>
      </c>
      <c r="H231" s="416">
        <f t="shared" si="48"/>
        <v>0</v>
      </c>
      <c r="I231" s="451">
        <f t="shared" si="48"/>
        <v>0</v>
      </c>
      <c r="J231" s="1060"/>
      <c r="K231" s="1060"/>
      <c r="L231" s="1060"/>
      <c r="M231" s="1050"/>
    </row>
    <row r="232" spans="1:13" ht="12" customHeight="1">
      <c r="A232" s="455">
        <v>2023</v>
      </c>
      <c r="C232" s="470" t="s">
        <v>700</v>
      </c>
      <c r="D232" s="449">
        <f>'T2 ANSP'!F63</f>
        <v>0</v>
      </c>
      <c r="E232" s="504"/>
      <c r="F232" s="523"/>
      <c r="G232" s="523"/>
      <c r="H232" s="523"/>
      <c r="I232" s="523"/>
      <c r="J232" s="491"/>
      <c r="K232" s="523"/>
      <c r="L232" s="523"/>
      <c r="M232" s="437">
        <f>D232-SUM(E232:L232)</f>
        <v>0</v>
      </c>
    </row>
    <row r="233" spans="1:13" ht="12" customHeight="1">
      <c r="A233" s="455">
        <v>2024</v>
      </c>
      <c r="C233" s="470" t="s">
        <v>701</v>
      </c>
      <c r="D233" s="449">
        <f>'T2 ANSP'!G63</f>
        <v>0</v>
      </c>
      <c r="E233" s="504"/>
      <c r="F233" s="523"/>
      <c r="G233" s="523"/>
      <c r="H233" s="523"/>
      <c r="I233" s="523"/>
      <c r="J233" s="523"/>
      <c r="K233" s="491"/>
      <c r="L233" s="523"/>
      <c r="M233" s="440">
        <f>D233-SUM(E233:L233)</f>
        <v>0</v>
      </c>
    </row>
    <row r="234" spans="1:13" ht="12" customHeight="1">
      <c r="A234" s="455">
        <v>2025</v>
      </c>
      <c r="C234" s="470" t="s">
        <v>702</v>
      </c>
      <c r="D234" s="449">
        <f>'T2 ANSP'!H63</f>
        <v>0</v>
      </c>
      <c r="E234" s="504"/>
      <c r="F234" s="523"/>
      <c r="G234" s="523"/>
      <c r="H234" s="523"/>
      <c r="I234" s="523"/>
      <c r="J234" s="523"/>
      <c r="K234" s="523"/>
      <c r="L234" s="491"/>
      <c r="M234" s="440">
        <f>D234-SUM(E234:L234)</f>
        <v>0</v>
      </c>
    </row>
    <row r="235" spans="1:13" ht="12" customHeight="1">
      <c r="A235" s="455">
        <v>2026</v>
      </c>
      <c r="C235" s="470" t="s">
        <v>703</v>
      </c>
      <c r="D235" s="449">
        <f>'T2 ANSP'!I63</f>
        <v>0</v>
      </c>
      <c r="E235" s="504"/>
      <c r="F235" s="523"/>
      <c r="G235" s="523"/>
      <c r="H235" s="523"/>
      <c r="I235" s="523"/>
      <c r="J235" s="523"/>
      <c r="K235" s="523"/>
      <c r="L235" s="523"/>
      <c r="M235" s="440">
        <f>D235-SUM(E235:L235)</f>
        <v>0</v>
      </c>
    </row>
    <row r="236" spans="1:13" ht="12" customHeight="1">
      <c r="A236" s="455">
        <v>2027</v>
      </c>
      <c r="C236" s="470" t="s">
        <v>704</v>
      </c>
      <c r="D236" s="450">
        <f>'T2 ANSP'!J63</f>
        <v>0</v>
      </c>
      <c r="E236" s="524"/>
      <c r="F236" s="525"/>
      <c r="G236" s="525"/>
      <c r="H236" s="525"/>
      <c r="I236" s="525"/>
      <c r="J236" s="525"/>
      <c r="K236" s="525"/>
      <c r="L236" s="525"/>
      <c r="M236" s="1077">
        <f>D236-SUM(E236:L236)</f>
        <v>0</v>
      </c>
    </row>
    <row r="237" spans="1:13" ht="12" customHeight="1">
      <c r="A237" s="455" t="s">
        <v>505</v>
      </c>
      <c r="C237" s="526" t="s">
        <v>705</v>
      </c>
      <c r="D237" s="432">
        <f>SUM(D231:D236)</f>
        <v>4630.4594271457227</v>
      </c>
      <c r="E237" s="527">
        <f t="shared" ref="E237:M237" si="49">SUM(E231:E236)</f>
        <v>0</v>
      </c>
      <c r="F237" s="528">
        <f t="shared" si="49"/>
        <v>0</v>
      </c>
      <c r="G237" s="528">
        <f t="shared" si="49"/>
        <v>4630.4594271457227</v>
      </c>
      <c r="H237" s="528">
        <f t="shared" si="49"/>
        <v>0</v>
      </c>
      <c r="I237" s="1071">
        <f t="shared" si="49"/>
        <v>0</v>
      </c>
      <c r="J237" s="1071">
        <f t="shared" si="49"/>
        <v>0</v>
      </c>
      <c r="K237" s="1071">
        <f t="shared" si="49"/>
        <v>0</v>
      </c>
      <c r="L237" s="1071">
        <f t="shared" si="49"/>
        <v>0</v>
      </c>
      <c r="M237" s="1076">
        <f t="shared" si="49"/>
        <v>0</v>
      </c>
    </row>
    <row r="238" spans="1:13" ht="3" customHeight="1"/>
    <row r="239" spans="1:13" ht="12" customHeight="1">
      <c r="A239" s="455">
        <v>2020</v>
      </c>
      <c r="C239" s="469" t="s">
        <v>706</v>
      </c>
      <c r="D239" s="541"/>
      <c r="E239" s="456"/>
      <c r="F239" s="402"/>
      <c r="G239" s="402"/>
      <c r="H239" s="402"/>
      <c r="I239" s="1072"/>
      <c r="J239" s="1072"/>
      <c r="K239" s="1072"/>
      <c r="L239" s="1072"/>
      <c r="M239" s="1054"/>
    </row>
    <row r="240" spans="1:13" ht="12" customHeight="1">
      <c r="A240" s="455">
        <v>2021</v>
      </c>
      <c r="C240" s="470" t="s">
        <v>707</v>
      </c>
      <c r="D240" s="542"/>
      <c r="E240" s="457"/>
      <c r="F240" s="410"/>
      <c r="G240" s="410"/>
      <c r="H240" s="410"/>
      <c r="I240" s="1059"/>
      <c r="J240" s="1059"/>
      <c r="K240" s="1059"/>
      <c r="L240" s="1059"/>
      <c r="M240" s="1049"/>
    </row>
    <row r="241" spans="1:13" ht="12" customHeight="1">
      <c r="A241" s="455">
        <v>2022</v>
      </c>
      <c r="C241" s="470" t="s">
        <v>708</v>
      </c>
      <c r="D241" s="542"/>
      <c r="E241" s="457"/>
      <c r="F241" s="410"/>
      <c r="G241" s="410"/>
      <c r="H241" s="410"/>
      <c r="I241" s="1059"/>
      <c r="J241" s="1059"/>
      <c r="K241" s="1059"/>
      <c r="L241" s="1059"/>
      <c r="M241" s="1049"/>
    </row>
    <row r="242" spans="1:13" ht="12" customHeight="1">
      <c r="A242" s="455" t="s">
        <v>498</v>
      </c>
      <c r="C242" s="413" t="s">
        <v>709</v>
      </c>
      <c r="D242" s="1060"/>
      <c r="E242" s="1060"/>
      <c r="F242" s="1060"/>
      <c r="G242" s="1060"/>
      <c r="H242" s="1060"/>
      <c r="I242" s="1060"/>
      <c r="J242" s="1060"/>
      <c r="K242" s="1060"/>
      <c r="L242" s="1060"/>
      <c r="M242" s="1050"/>
    </row>
    <row r="243" spans="1:13" ht="12" customHeight="1">
      <c r="A243" s="455">
        <v>2023</v>
      </c>
      <c r="C243" s="470" t="s">
        <v>710</v>
      </c>
      <c r="D243" s="542"/>
      <c r="E243" s="457"/>
      <c r="F243" s="410"/>
      <c r="G243" s="410"/>
      <c r="H243" s="410"/>
      <c r="I243" s="1059"/>
      <c r="J243" s="1059"/>
      <c r="K243" s="1059"/>
      <c r="L243" s="1059"/>
      <c r="M243" s="1049"/>
    </row>
    <row r="244" spans="1:13" ht="12" customHeight="1">
      <c r="A244" s="455">
        <v>2024</v>
      </c>
      <c r="C244" s="470" t="s">
        <v>711</v>
      </c>
      <c r="D244" s="542"/>
      <c r="E244" s="457"/>
      <c r="F244" s="410"/>
      <c r="G244" s="410"/>
      <c r="H244" s="410"/>
      <c r="I244" s="1059"/>
      <c r="J244" s="1059"/>
      <c r="K244" s="1059"/>
      <c r="L244" s="1059"/>
      <c r="M244" s="1049"/>
    </row>
    <row r="245" spans="1:13" ht="12" customHeight="1">
      <c r="A245" s="455">
        <v>2025</v>
      </c>
      <c r="C245" s="470" t="s">
        <v>712</v>
      </c>
      <c r="D245" s="542"/>
      <c r="E245" s="457"/>
      <c r="F245" s="410"/>
      <c r="G245" s="410"/>
      <c r="H245" s="410"/>
      <c r="I245" s="1059"/>
      <c r="J245" s="1059"/>
      <c r="K245" s="1059"/>
      <c r="L245" s="1059"/>
      <c r="M245" s="1049"/>
    </row>
    <row r="246" spans="1:13" ht="12" customHeight="1">
      <c r="A246" s="455">
        <v>2026</v>
      </c>
      <c r="C246" s="470" t="s">
        <v>713</v>
      </c>
      <c r="D246" s="542"/>
      <c r="E246" s="457"/>
      <c r="F246" s="410"/>
      <c r="G246" s="410"/>
      <c r="H246" s="410"/>
      <c r="I246" s="1059"/>
      <c r="J246" s="1059"/>
      <c r="K246" s="1059"/>
      <c r="L246" s="1059"/>
      <c r="M246" s="1049"/>
    </row>
    <row r="247" spans="1:13" ht="12" customHeight="1">
      <c r="A247" s="455">
        <v>2027</v>
      </c>
      <c r="C247" s="470" t="s">
        <v>714</v>
      </c>
      <c r="D247" s="543"/>
      <c r="E247" s="460"/>
      <c r="F247" s="461"/>
      <c r="G247" s="461"/>
      <c r="H247" s="461"/>
      <c r="I247" s="1070"/>
      <c r="J247" s="1070"/>
      <c r="K247" s="1070"/>
      <c r="L247" s="1070"/>
      <c r="M247" s="1055"/>
    </row>
    <row r="248" spans="1:13" ht="12" customHeight="1">
      <c r="A248" s="455" t="s">
        <v>505</v>
      </c>
      <c r="C248" s="431" t="s">
        <v>715</v>
      </c>
      <c r="D248" s="500"/>
      <c r="E248" s="534"/>
      <c r="F248" s="495"/>
      <c r="G248" s="495"/>
      <c r="H248" s="495"/>
      <c r="I248" s="501"/>
      <c r="J248" s="501"/>
      <c r="K248" s="501"/>
      <c r="L248" s="501"/>
      <c r="M248" s="1056"/>
    </row>
    <row r="249" spans="1:13" ht="4.1500000000000004" customHeight="1">
      <c r="C249" s="472"/>
      <c r="D249" s="472"/>
      <c r="E249" s="472"/>
      <c r="F249" s="473"/>
      <c r="G249" s="472"/>
      <c r="H249" s="472"/>
      <c r="I249" s="472"/>
      <c r="J249" s="472"/>
      <c r="K249" s="472"/>
      <c r="L249" s="472"/>
      <c r="M249" s="472"/>
    </row>
    <row r="250" spans="1:13" ht="3" customHeight="1"/>
    <row r="251" spans="1:13" ht="12" customHeight="1">
      <c r="B251" s="396"/>
      <c r="C251" s="431" t="s">
        <v>716</v>
      </c>
      <c r="D251" s="432" t="e">
        <f t="shared" ref="D251:I251" si="50">D21+D36+D47+D58+D69+D80+D91+D102+D107+D126+D141+D166+D181+D196+D211+D226+D237+D248</f>
        <v>#REF!</v>
      </c>
      <c r="E251" s="432">
        <f t="shared" si="50"/>
        <v>-67927.446457986749</v>
      </c>
      <c r="F251" s="432">
        <f t="shared" si="50"/>
        <v>-67070.138572455806</v>
      </c>
      <c r="G251" s="432">
        <f t="shared" si="50"/>
        <v>-66591.273094948017</v>
      </c>
      <c r="H251" s="432">
        <f t="shared" si="50"/>
        <v>39482.060831536241</v>
      </c>
      <c r="I251" s="1073">
        <f t="shared" si="50"/>
        <v>55050.314840123174</v>
      </c>
      <c r="J251" s="1073">
        <f t="shared" ref="J251:L251" si="51">J21+J36+J47+J58+J69+J80+J91+J102+J107+J126+J141+J166+J181+J196+J211+J226+J237+J248</f>
        <v>74621.638789678924</v>
      </c>
      <c r="K251" s="1073">
        <f t="shared" si="51"/>
        <v>92865.697502843381</v>
      </c>
      <c r="L251" s="1073">
        <f t="shared" si="51"/>
        <v>118915.24861054491</v>
      </c>
      <c r="M251" s="1076" t="e">
        <f>M21+M36+M47+M58+M69+M80+M91+M102+M107+M126+M141+M166+M181+M196+M211+M226+M237+M248</f>
        <v>#REF!</v>
      </c>
    </row>
    <row r="252" spans="1:13" ht="3" customHeight="1"/>
    <row r="253" spans="1:13" ht="12" customHeight="1">
      <c r="C253" s="1" t="s">
        <v>717</v>
      </c>
      <c r="F253" s="386"/>
    </row>
    <row r="254" spans="1:13" ht="12" customHeight="1">
      <c r="C254" s="1" t="s">
        <v>718</v>
      </c>
      <c r="D254" s="143"/>
      <c r="E254" s="474"/>
      <c r="F254" s="474"/>
      <c r="G254" s="474"/>
      <c r="H254" s="474"/>
      <c r="I254" s="474"/>
      <c r="J254" s="474"/>
      <c r="K254" s="474"/>
      <c r="L254" s="474"/>
      <c r="M254" s="516"/>
    </row>
    <row r="255" spans="1:13">
      <c r="E255" s="189"/>
      <c r="F255" s="189"/>
      <c r="G255" s="189"/>
      <c r="H255" s="189"/>
      <c r="I255" s="189"/>
      <c r="J255" s="189"/>
      <c r="K255" s="189"/>
      <c r="L255" s="189"/>
    </row>
    <row r="256" spans="1:13" ht="12" customHeight="1">
      <c r="C256" s="997" t="s">
        <v>719</v>
      </c>
      <c r="D256" s="994">
        <f>53426.5581953514-SUM(D104:D106)</f>
        <v>12917.63019619925</v>
      </c>
      <c r="E256" s="1005">
        <v>0</v>
      </c>
      <c r="F256" s="1005">
        <v>0</v>
      </c>
      <c r="G256" s="1005">
        <v>0</v>
      </c>
      <c r="H256" s="1467">
        <v>8547.4527432113046</v>
      </c>
      <c r="I256" s="1542">
        <v>7369.9462467342582</v>
      </c>
      <c r="J256" s="1542">
        <v>4528.9222033717115</v>
      </c>
      <c r="K256" s="1542">
        <v>4536.110501898017</v>
      </c>
      <c r="L256" s="1542">
        <v>4539.7939615766918</v>
      </c>
      <c r="M256" s="1080">
        <f>D256-SUM(H256:L256)</f>
        <v>-16604.595460592733</v>
      </c>
    </row>
    <row r="257" spans="3:13">
      <c r="E257" s="435"/>
    </row>
    <row r="258" spans="3:13">
      <c r="C258" s="997" t="s">
        <v>720</v>
      </c>
      <c r="D258" s="994">
        <v>890009.58103855199</v>
      </c>
      <c r="E258" s="1093"/>
      <c r="F258" s="1093"/>
      <c r="G258" s="1093"/>
      <c r="H258" s="1005">
        <v>85729.290506728183</v>
      </c>
      <c r="I258" s="1005">
        <v>87689.264295991496</v>
      </c>
      <c r="J258" s="1005">
        <v>90014.205909109281</v>
      </c>
      <c r="K258" s="1005">
        <v>92475.777126785251</v>
      </c>
      <c r="L258" s="1005">
        <v>94985.269363479718</v>
      </c>
      <c r="M258" s="1080">
        <f>D258-SUM(H258:L258)</f>
        <v>439115.7738364581</v>
      </c>
    </row>
    <row r="260" spans="3:13">
      <c r="C260" s="997" t="s">
        <v>721</v>
      </c>
      <c r="D260" s="994">
        <v>1073.5560203983696</v>
      </c>
      <c r="E260" s="1093"/>
      <c r="F260" s="1093"/>
      <c r="G260" s="1093"/>
      <c r="H260" s="1005">
        <v>2017.3576287694086</v>
      </c>
      <c r="I260" s="1005">
        <v>-17640.105882247113</v>
      </c>
      <c r="J260" s="1005">
        <v>-7498.1257344027299</v>
      </c>
      <c r="K260" s="1005">
        <v>389.92037605813397</v>
      </c>
      <c r="L260" s="1005">
        <v>23929.979247065192</v>
      </c>
      <c r="M260" s="1080">
        <f>D260-SUM(H260:L260)</f>
        <v>-125.46961484452186</v>
      </c>
    </row>
    <row r="261" spans="3:13">
      <c r="F261" s="386"/>
    </row>
  </sheetData>
  <mergeCells count="1">
    <mergeCell ref="C1:M1"/>
  </mergeCells>
  <phoneticPr fontId="237" type="noConversion"/>
  <pageMargins left="0.7" right="0.7" top="0.75" bottom="0.75" header="0.3" footer="0.3"/>
  <pageSetup paperSize="9" scale="38" orientation="portrait" r:id="rId1"/>
  <customProperties>
    <customPr name="_pios_id" r:id="rId2"/>
  </customPropertie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261"/>
  <sheetViews>
    <sheetView zoomScaleNormal="100" workbookViewId="0">
      <pane xSplit="4" ySplit="7" topLeftCell="E8" activePane="bottomRight" state="frozen"/>
      <selection pane="topRight" activeCell="E1" sqref="E1"/>
      <selection pane="bottomLeft" activeCell="A8" sqref="A8"/>
      <selection pane="bottomRight" activeCell="E8" sqref="E8"/>
    </sheetView>
  </sheetViews>
  <sheetFormatPr defaultColWidth="12.5703125" defaultRowHeight="15"/>
  <cols>
    <col min="1" max="1" width="12.5703125" style="455" customWidth="1"/>
    <col min="2" max="2" width="2.140625" style="386" customWidth="1"/>
    <col min="3" max="3" width="57.7109375" style="386" customWidth="1"/>
    <col min="4" max="4" width="10.5703125" style="386" bestFit="1" customWidth="1"/>
    <col min="5" max="5" width="10" style="386" customWidth="1"/>
    <col min="6" max="6" width="10" style="219" customWidth="1"/>
    <col min="7" max="12" width="10" style="386" customWidth="1"/>
    <col min="13" max="13" width="10.7109375" style="386" customWidth="1"/>
    <col min="14" max="14" width="3.42578125" style="386" customWidth="1"/>
    <col min="15" max="15" width="7.7109375" style="386" customWidth="1"/>
    <col min="16" max="16" width="8.42578125" style="386" bestFit="1" customWidth="1"/>
    <col min="17" max="17" width="16.42578125" style="386" customWidth="1"/>
    <col min="18" max="25" width="7.7109375" style="386" customWidth="1"/>
    <col min="26" max="16384" width="12.5703125" style="386"/>
  </cols>
  <sheetData>
    <row r="1" spans="1:24" ht="12" customHeight="1">
      <c r="C1" s="1598" t="s">
        <v>486</v>
      </c>
      <c r="D1" s="1598"/>
      <c r="E1" s="1598"/>
      <c r="F1" s="1598"/>
      <c r="G1" s="1598"/>
      <c r="H1" s="1598"/>
      <c r="I1" s="1598"/>
      <c r="J1" s="1598"/>
      <c r="K1" s="1598"/>
      <c r="L1" s="1598"/>
      <c r="M1" s="1598"/>
      <c r="N1" s="387"/>
      <c r="O1" s="387"/>
      <c r="P1" s="387"/>
      <c r="Q1" s="387"/>
      <c r="R1" s="387"/>
      <c r="S1" s="387"/>
      <c r="T1" s="387"/>
      <c r="U1" s="387"/>
      <c r="V1" s="387"/>
      <c r="W1" s="387"/>
      <c r="X1" s="387"/>
    </row>
    <row r="2" spans="1:24" ht="12" customHeight="1">
      <c r="C2" s="793"/>
      <c r="D2" s="388"/>
      <c r="E2" s="388"/>
      <c r="G2" s="388"/>
      <c r="H2" s="388"/>
      <c r="I2" s="388"/>
      <c r="J2" s="388"/>
      <c r="K2" s="388"/>
      <c r="L2" s="388"/>
      <c r="M2" s="388"/>
      <c r="N2" s="388"/>
    </row>
    <row r="3" spans="1:24" ht="12" customHeight="1">
      <c r="C3" s="681" t="str">
        <f>'T2 ANSP'!A3</f>
        <v>United Kingdom</v>
      </c>
      <c r="D3" s="388"/>
      <c r="E3" s="388"/>
      <c r="G3" s="388"/>
      <c r="H3" s="388"/>
      <c r="I3" s="388"/>
      <c r="J3" s="388"/>
      <c r="K3" s="388"/>
      <c r="L3" s="388"/>
      <c r="M3" s="388"/>
      <c r="N3" s="388"/>
    </row>
    <row r="4" spans="1:24" ht="12" customHeight="1">
      <c r="C4" s="83" t="str">
        <f>'T2 ANSP'!A4</f>
        <v>Currency : GBP £</v>
      </c>
      <c r="D4" s="388"/>
      <c r="E4" s="388"/>
      <c r="G4" s="388"/>
      <c r="H4" s="388"/>
      <c r="I4" s="1000"/>
      <c r="J4" s="1000"/>
      <c r="K4" s="1000"/>
      <c r="L4" s="1000"/>
      <c r="M4" s="388"/>
      <c r="N4" s="388"/>
    </row>
    <row r="5" spans="1:24" ht="12" customHeight="1">
      <c r="C5" s="147" t="str">
        <f>'T2 ANSP'!A5</f>
        <v>NERL</v>
      </c>
      <c r="D5" s="388"/>
      <c r="E5" s="390"/>
      <c r="G5" s="390"/>
      <c r="H5" s="388"/>
      <c r="I5" s="388"/>
      <c r="J5" s="388"/>
      <c r="K5" s="388"/>
      <c r="L5" s="388"/>
      <c r="M5" s="388"/>
      <c r="N5" s="388"/>
    </row>
    <row r="6" spans="1:24" ht="12" customHeight="1">
      <c r="C6" s="390"/>
      <c r="D6" s="390"/>
      <c r="E6" s="390"/>
      <c r="F6" s="390"/>
      <c r="G6" s="390"/>
      <c r="H6" s="390"/>
      <c r="I6" s="390"/>
      <c r="J6" s="390"/>
      <c r="K6" s="390"/>
      <c r="L6" s="390"/>
      <c r="M6" s="390"/>
      <c r="N6" s="390"/>
    </row>
    <row r="7" spans="1:24" ht="12" customHeight="1">
      <c r="A7" s="455" t="s">
        <v>487</v>
      </c>
      <c r="C7" s="391" t="s">
        <v>488</v>
      </c>
      <c r="D7" s="392" t="s">
        <v>489</v>
      </c>
      <c r="E7" s="393">
        <v>2020</v>
      </c>
      <c r="F7" s="394">
        <v>2021</v>
      </c>
      <c r="G7" s="394">
        <v>2022</v>
      </c>
      <c r="H7" s="394">
        <v>2023</v>
      </c>
      <c r="I7" s="1057">
        <v>2024</v>
      </c>
      <c r="J7" s="394">
        <v>2025</v>
      </c>
      <c r="K7" s="1057">
        <v>2026</v>
      </c>
      <c r="L7" s="394">
        <v>2027</v>
      </c>
      <c r="M7" s="1048" t="s">
        <v>490</v>
      </c>
      <c r="N7" s="388"/>
    </row>
    <row r="8" spans="1:24" ht="11.1" customHeight="1">
      <c r="C8" s="397"/>
      <c r="D8" s="397"/>
      <c r="E8" s="397"/>
      <c r="F8" s="397"/>
      <c r="G8" s="397"/>
      <c r="H8" s="397"/>
      <c r="I8" s="397"/>
      <c r="M8" s="397"/>
      <c r="N8" s="388"/>
    </row>
    <row r="9" spans="1:24" ht="12" customHeight="1">
      <c r="A9" s="455">
        <v>2018</v>
      </c>
      <c r="C9" s="398" t="s">
        <v>491</v>
      </c>
      <c r="D9" s="502">
        <v>-609.86563758111561</v>
      </c>
      <c r="E9" s="400">
        <v>-610</v>
      </c>
      <c r="F9" s="401"/>
      <c r="G9" s="402"/>
      <c r="H9" s="402"/>
      <c r="I9" s="1058"/>
      <c r="J9" s="1058"/>
      <c r="K9" s="1058"/>
      <c r="L9" s="1058"/>
      <c r="M9" s="1058"/>
    </row>
    <row r="10" spans="1:24" ht="12" customHeight="1">
      <c r="A10" s="455">
        <v>2019</v>
      </c>
      <c r="C10" s="406" t="s">
        <v>492</v>
      </c>
      <c r="D10" s="477">
        <v>-658.94394173630394</v>
      </c>
      <c r="E10" s="408"/>
      <c r="F10" s="409">
        <f>D10</f>
        <v>-658.94394173630394</v>
      </c>
      <c r="G10" s="410"/>
      <c r="H10" s="410"/>
      <c r="I10" s="1059"/>
      <c r="J10" s="1059"/>
      <c r="K10" s="1059"/>
      <c r="L10" s="1059"/>
      <c r="M10" s="1059"/>
    </row>
    <row r="11" spans="1:24" ht="12" customHeight="1">
      <c r="A11" s="455" t="s">
        <v>493</v>
      </c>
      <c r="C11" s="413" t="s">
        <v>494</v>
      </c>
      <c r="D11" s="414">
        <f>SUM(D9:D10)</f>
        <v>-1268.8095793174195</v>
      </c>
      <c r="E11" s="415">
        <f t="shared" ref="E11:F11" si="0">SUM(E9:E10)</f>
        <v>-610</v>
      </c>
      <c r="F11" s="416">
        <f t="shared" si="0"/>
        <v>-658.94394173630394</v>
      </c>
      <c r="G11" s="417"/>
      <c r="H11" s="417"/>
      <c r="I11" s="1060"/>
      <c r="J11" s="1060"/>
      <c r="K11" s="1060"/>
      <c r="L11" s="1060"/>
      <c r="M11" s="1060"/>
    </row>
    <row r="12" spans="1:24" ht="12" customHeight="1">
      <c r="A12" s="455">
        <v>2020</v>
      </c>
      <c r="C12" s="398" t="s">
        <v>495</v>
      </c>
      <c r="D12" s="915">
        <f>'T2 MET'!C19</f>
        <v>-336.84957921907642</v>
      </c>
      <c r="E12" s="420"/>
      <c r="F12" s="401"/>
      <c r="G12" s="421">
        <f>D12</f>
        <v>-336.84957921907642</v>
      </c>
      <c r="H12" s="402"/>
      <c r="I12" s="410"/>
      <c r="J12" s="410"/>
      <c r="K12" s="410"/>
      <c r="L12" s="410"/>
      <c r="M12" s="1054"/>
    </row>
    <row r="13" spans="1:24" ht="12" customHeight="1">
      <c r="A13" s="455">
        <v>2021</v>
      </c>
      <c r="C13" s="406" t="s">
        <v>496</v>
      </c>
      <c r="D13" s="407">
        <f>'T2 MET'!D19</f>
        <v>-153.07113773851486</v>
      </c>
      <c r="E13" s="408"/>
      <c r="F13" s="422"/>
      <c r="G13" s="410"/>
      <c r="H13" s="423">
        <f>D13</f>
        <v>-153.07113773851486</v>
      </c>
      <c r="I13" s="410"/>
      <c r="J13" s="410"/>
      <c r="K13" s="410"/>
      <c r="L13" s="410"/>
      <c r="M13" s="1049"/>
    </row>
    <row r="14" spans="1:24" ht="12" customHeight="1">
      <c r="A14" s="455">
        <v>2022</v>
      </c>
      <c r="C14" s="406" t="s">
        <v>497</v>
      </c>
      <c r="D14" s="407">
        <f>'T2 MET'!E19</f>
        <v>0</v>
      </c>
      <c r="E14" s="408"/>
      <c r="F14" s="422"/>
      <c r="G14" s="410"/>
      <c r="H14" s="410"/>
      <c r="I14" s="1061">
        <f>D14</f>
        <v>0</v>
      </c>
      <c r="J14" s="410"/>
      <c r="K14" s="410"/>
      <c r="L14" s="410"/>
      <c r="M14" s="1049"/>
    </row>
    <row r="15" spans="1:24" ht="12" customHeight="1">
      <c r="A15" s="455" t="s">
        <v>498</v>
      </c>
      <c r="C15" s="413" t="s">
        <v>499</v>
      </c>
      <c r="D15" s="414">
        <f>SUM(D12:D14)</f>
        <v>-489.92071695759125</v>
      </c>
      <c r="E15" s="1083"/>
      <c r="F15" s="1084"/>
      <c r="G15" s="416">
        <f>SUM(G12:G14)</f>
        <v>-336.84957921907642</v>
      </c>
      <c r="H15" s="416">
        <f>SUM(H12:H14)</f>
        <v>-153.07113773851486</v>
      </c>
      <c r="I15" s="416">
        <f>SUM(I12:I14)</f>
        <v>0</v>
      </c>
      <c r="J15" s="417"/>
      <c r="K15" s="417"/>
      <c r="L15" s="417"/>
      <c r="M15" s="1050"/>
    </row>
    <row r="16" spans="1:24" ht="12" customHeight="1">
      <c r="A16" s="455">
        <v>2023</v>
      </c>
      <c r="C16" s="406" t="s">
        <v>500</v>
      </c>
      <c r="D16" s="407">
        <f>'T2 MET'!F19</f>
        <v>0</v>
      </c>
      <c r="E16" s="408"/>
      <c r="F16" s="422"/>
      <c r="G16" s="410"/>
      <c r="H16" s="410"/>
      <c r="I16" s="410"/>
      <c r="J16" s="1061">
        <f>D16</f>
        <v>0</v>
      </c>
      <c r="K16" s="410"/>
      <c r="L16" s="410"/>
      <c r="M16" s="1049"/>
    </row>
    <row r="17" spans="1:13" ht="12" customHeight="1">
      <c r="A17" s="455">
        <v>2024</v>
      </c>
      <c r="C17" s="406" t="s">
        <v>501</v>
      </c>
      <c r="D17" s="407">
        <f>'T2 MET'!G19</f>
        <v>0</v>
      </c>
      <c r="E17" s="408"/>
      <c r="F17" s="422"/>
      <c r="G17" s="410"/>
      <c r="H17" s="410"/>
      <c r="I17" s="410"/>
      <c r="J17" s="410"/>
      <c r="K17" s="1061">
        <f>D17</f>
        <v>0</v>
      </c>
      <c r="L17" s="410"/>
      <c r="M17" s="1049"/>
    </row>
    <row r="18" spans="1:13" ht="12" customHeight="1">
      <c r="A18" s="455">
        <v>2025</v>
      </c>
      <c r="C18" s="406" t="s">
        <v>502</v>
      </c>
      <c r="D18" s="407">
        <f>'T2 MET'!H19</f>
        <v>0</v>
      </c>
      <c r="E18" s="408"/>
      <c r="F18" s="422"/>
      <c r="G18" s="410"/>
      <c r="H18" s="410"/>
      <c r="I18" s="410"/>
      <c r="J18" s="410"/>
      <c r="K18" s="410"/>
      <c r="L18" s="1061">
        <f>D18</f>
        <v>0</v>
      </c>
      <c r="M18" s="1049"/>
    </row>
    <row r="19" spans="1:13" ht="12" customHeight="1">
      <c r="A19" s="455">
        <v>2026</v>
      </c>
      <c r="C19" s="406" t="s">
        <v>503</v>
      </c>
      <c r="D19" s="407">
        <f>'T2 MET'!I19</f>
        <v>0</v>
      </c>
      <c r="E19" s="408"/>
      <c r="F19" s="422"/>
      <c r="G19" s="410"/>
      <c r="H19" s="410"/>
      <c r="I19" s="410"/>
      <c r="J19" s="410"/>
      <c r="K19" s="410"/>
      <c r="L19" s="410"/>
      <c r="M19" s="1074">
        <f>D19</f>
        <v>0</v>
      </c>
    </row>
    <row r="20" spans="1:13" ht="12" customHeight="1">
      <c r="A20" s="455">
        <v>2027</v>
      </c>
      <c r="C20" s="426" t="s">
        <v>504</v>
      </c>
      <c r="D20" s="427">
        <f>'T2 MET'!J19</f>
        <v>0</v>
      </c>
      <c r="E20" s="428"/>
      <c r="F20" s="429"/>
      <c r="G20" s="429"/>
      <c r="H20" s="429"/>
      <c r="I20" s="410"/>
      <c r="J20" s="410"/>
      <c r="K20" s="410"/>
      <c r="L20" s="410"/>
      <c r="M20" s="1075">
        <f>D20</f>
        <v>0</v>
      </c>
    </row>
    <row r="21" spans="1:13" ht="12" customHeight="1">
      <c r="A21" s="455" t="s">
        <v>505</v>
      </c>
      <c r="C21" s="431" t="s">
        <v>506</v>
      </c>
      <c r="D21" s="432">
        <f>SUM(D16:D20)+D11+D15</f>
        <v>-1758.7302962750109</v>
      </c>
      <c r="E21" s="480">
        <f t="shared" ref="E21:M21" si="1">SUM(E16:E20)+E11+E15</f>
        <v>-610</v>
      </c>
      <c r="F21" s="434">
        <f t="shared" si="1"/>
        <v>-658.94394173630394</v>
      </c>
      <c r="G21" s="434">
        <f t="shared" si="1"/>
        <v>-336.84957921907642</v>
      </c>
      <c r="H21" s="434">
        <f t="shared" si="1"/>
        <v>-153.07113773851486</v>
      </c>
      <c r="I21" s="481">
        <f t="shared" si="1"/>
        <v>0</v>
      </c>
      <c r="J21" s="481">
        <f t="shared" si="1"/>
        <v>0</v>
      </c>
      <c r="K21" s="481">
        <f t="shared" si="1"/>
        <v>0</v>
      </c>
      <c r="L21" s="481">
        <f t="shared" si="1"/>
        <v>0</v>
      </c>
      <c r="M21" s="1076">
        <f t="shared" si="1"/>
        <v>0</v>
      </c>
    </row>
    <row r="22" spans="1:13" ht="4.1500000000000004" customHeight="1">
      <c r="A22" s="758"/>
      <c r="C22" s="482"/>
      <c r="D22" s="483"/>
      <c r="E22" s="484"/>
      <c r="F22" s="484"/>
      <c r="G22" s="484"/>
      <c r="H22" s="484"/>
      <c r="I22" s="484"/>
      <c r="J22" s="447"/>
      <c r="K22" s="447"/>
      <c r="L22" s="447"/>
      <c r="M22" s="484"/>
    </row>
    <row r="23" spans="1:13" ht="12.6" customHeight="1">
      <c r="A23" s="455">
        <v>2017</v>
      </c>
      <c r="C23" s="398" t="s">
        <v>507</v>
      </c>
      <c r="D23" s="531"/>
      <c r="E23" s="506"/>
      <c r="F23" s="507"/>
      <c r="G23" s="507"/>
      <c r="H23" s="507"/>
      <c r="I23" s="1085"/>
      <c r="J23" s="1085"/>
      <c r="K23" s="1085"/>
      <c r="L23" s="1085"/>
      <c r="M23" s="1054"/>
    </row>
    <row r="24" spans="1:13" ht="12" customHeight="1">
      <c r="A24" s="455">
        <v>2018</v>
      </c>
      <c r="C24" s="406" t="s">
        <v>508</v>
      </c>
      <c r="D24" s="533"/>
      <c r="E24" s="508"/>
      <c r="F24" s="509"/>
      <c r="G24" s="509"/>
      <c r="H24" s="509"/>
      <c r="I24" s="1068"/>
      <c r="J24" s="1068"/>
      <c r="K24" s="1068"/>
      <c r="L24" s="1068"/>
      <c r="M24" s="1049"/>
    </row>
    <row r="25" spans="1:13" ht="12" customHeight="1">
      <c r="A25" s="455">
        <v>2019</v>
      </c>
      <c r="C25" s="406" t="s">
        <v>509</v>
      </c>
      <c r="D25" s="533"/>
      <c r="E25" s="457"/>
      <c r="F25" s="509"/>
      <c r="G25" s="509"/>
      <c r="H25" s="509"/>
      <c r="I25" s="1068"/>
      <c r="J25" s="1068"/>
      <c r="K25" s="1068"/>
      <c r="L25" s="1068"/>
      <c r="M25" s="1049"/>
    </row>
    <row r="26" spans="1:13" ht="12" customHeight="1">
      <c r="A26" s="455" t="s">
        <v>493</v>
      </c>
      <c r="C26" s="413" t="s">
        <v>510</v>
      </c>
      <c r="D26" s="419"/>
      <c r="E26" s="464"/>
      <c r="F26" s="417"/>
      <c r="G26" s="417"/>
      <c r="H26" s="417"/>
      <c r="I26" s="1060"/>
      <c r="J26" s="1060"/>
      <c r="K26" s="1060"/>
      <c r="L26" s="1060"/>
      <c r="M26" s="1050"/>
    </row>
    <row r="27" spans="1:13" ht="12" customHeight="1">
      <c r="A27" s="455">
        <v>2020</v>
      </c>
      <c r="C27" s="398" t="s">
        <v>511</v>
      </c>
      <c r="D27" s="412"/>
      <c r="E27" s="456"/>
      <c r="F27" s="402"/>
      <c r="G27" s="402"/>
      <c r="H27" s="402"/>
      <c r="I27" s="402"/>
      <c r="J27" s="402"/>
      <c r="K27" s="402"/>
      <c r="L27" s="402"/>
      <c r="M27" s="1054"/>
    </row>
    <row r="28" spans="1:13" ht="12" customHeight="1">
      <c r="A28" s="455">
        <v>2021</v>
      </c>
      <c r="C28" s="406" t="s">
        <v>512</v>
      </c>
      <c r="D28" s="412"/>
      <c r="E28" s="457"/>
      <c r="F28" s="410"/>
      <c r="G28" s="410"/>
      <c r="H28" s="410"/>
      <c r="I28" s="1068"/>
      <c r="J28" s="410"/>
      <c r="K28" s="410"/>
      <c r="L28" s="410"/>
      <c r="M28" s="1049"/>
    </row>
    <row r="29" spans="1:13" ht="12" customHeight="1">
      <c r="A29" s="455">
        <v>2022</v>
      </c>
      <c r="C29" s="406" t="s">
        <v>513</v>
      </c>
      <c r="D29" s="412"/>
      <c r="E29" s="457"/>
      <c r="F29" s="410"/>
      <c r="G29" s="410"/>
      <c r="H29" s="410"/>
      <c r="I29" s="410"/>
      <c r="J29" s="410"/>
      <c r="K29" s="410"/>
      <c r="L29" s="410"/>
      <c r="M29" s="1049"/>
    </row>
    <row r="30" spans="1:13" ht="12" customHeight="1">
      <c r="A30" s="455" t="s">
        <v>498</v>
      </c>
      <c r="C30" s="413" t="s">
        <v>514</v>
      </c>
      <c r="D30" s="419"/>
      <c r="E30" s="464"/>
      <c r="F30" s="417"/>
      <c r="G30" s="417"/>
      <c r="H30" s="417"/>
      <c r="I30" s="417"/>
      <c r="J30" s="417"/>
      <c r="K30" s="417"/>
      <c r="L30" s="417"/>
      <c r="M30" s="1050"/>
    </row>
    <row r="31" spans="1:13" ht="12" customHeight="1">
      <c r="A31" s="455">
        <v>2023</v>
      </c>
      <c r="C31" s="406" t="s">
        <v>515</v>
      </c>
      <c r="D31" s="412"/>
      <c r="E31" s="457"/>
      <c r="F31" s="410"/>
      <c r="G31" s="410"/>
      <c r="H31" s="410"/>
      <c r="I31" s="410"/>
      <c r="J31" s="410"/>
      <c r="K31" s="410"/>
      <c r="L31" s="410"/>
      <c r="M31" s="1049"/>
    </row>
    <row r="32" spans="1:13" ht="12" customHeight="1">
      <c r="A32" s="455">
        <v>2024</v>
      </c>
      <c r="C32" s="406" t="s">
        <v>516</v>
      </c>
      <c r="D32" s="412"/>
      <c r="E32" s="457"/>
      <c r="F32" s="410"/>
      <c r="G32" s="410"/>
      <c r="H32" s="410"/>
      <c r="I32" s="410"/>
      <c r="J32" s="410"/>
      <c r="K32" s="410"/>
      <c r="L32" s="410"/>
      <c r="M32" s="1049"/>
    </row>
    <row r="33" spans="1:13" ht="12" customHeight="1">
      <c r="A33" s="455">
        <v>2025</v>
      </c>
      <c r="C33" s="406" t="s">
        <v>517</v>
      </c>
      <c r="D33" s="412"/>
      <c r="E33" s="457"/>
      <c r="F33" s="410"/>
      <c r="G33" s="410"/>
      <c r="H33" s="410"/>
      <c r="I33" s="410"/>
      <c r="J33" s="410"/>
      <c r="K33" s="410"/>
      <c r="L33" s="410"/>
      <c r="M33" s="1049"/>
    </row>
    <row r="34" spans="1:13" ht="12" customHeight="1">
      <c r="A34" s="455">
        <v>2026</v>
      </c>
      <c r="C34" s="406" t="s">
        <v>518</v>
      </c>
      <c r="D34" s="412"/>
      <c r="E34" s="457"/>
      <c r="F34" s="410"/>
      <c r="G34" s="410"/>
      <c r="H34" s="410"/>
      <c r="I34" s="410"/>
      <c r="J34" s="410"/>
      <c r="K34" s="410"/>
      <c r="L34" s="410"/>
      <c r="M34" s="1049"/>
    </row>
    <row r="35" spans="1:13" ht="12" customHeight="1">
      <c r="A35" s="455">
        <v>2027</v>
      </c>
      <c r="C35" s="406" t="s">
        <v>519</v>
      </c>
      <c r="D35" s="468"/>
      <c r="E35" s="460"/>
      <c r="F35" s="461"/>
      <c r="G35" s="461"/>
      <c r="H35" s="461"/>
      <c r="I35" s="461"/>
      <c r="J35" s="461"/>
      <c r="K35" s="461"/>
      <c r="L35" s="461"/>
      <c r="M35" s="1055"/>
    </row>
    <row r="36" spans="1:13" ht="12" customHeight="1">
      <c r="A36" s="455" t="s">
        <v>505</v>
      </c>
      <c r="C36" s="431" t="s">
        <v>520</v>
      </c>
      <c r="D36" s="494"/>
      <c r="E36" s="494"/>
      <c r="F36" s="494"/>
      <c r="G36" s="494"/>
      <c r="H36" s="494"/>
      <c r="I36" s="494"/>
      <c r="J36" s="494"/>
      <c r="K36" s="494"/>
      <c r="L36" s="494"/>
      <c r="M36" s="1056"/>
    </row>
    <row r="37" spans="1:13" ht="4.1500000000000004" customHeight="1">
      <c r="A37" s="758"/>
      <c r="C37" s="482"/>
      <c r="D37" s="482"/>
      <c r="E37" s="447"/>
      <c r="F37" s="447"/>
      <c r="G37" s="447"/>
      <c r="H37" s="447"/>
      <c r="I37" s="447"/>
      <c r="J37" s="447"/>
      <c r="K37" s="447"/>
      <c r="L37" s="447"/>
      <c r="M37" s="447"/>
    </row>
    <row r="38" spans="1:13" ht="12" customHeight="1">
      <c r="A38" s="455">
        <v>2020</v>
      </c>
      <c r="C38" s="398" t="s">
        <v>521</v>
      </c>
      <c r="D38" s="443">
        <f>'T2 MET'!C22</f>
        <v>0</v>
      </c>
      <c r="E38" s="420"/>
      <c r="F38" s="401"/>
      <c r="G38" s="487">
        <f>D38</f>
        <v>0</v>
      </c>
      <c r="H38" s="402"/>
      <c r="I38" s="1058"/>
      <c r="J38" s="402"/>
      <c r="K38" s="402"/>
      <c r="L38" s="402"/>
      <c r="M38" s="1054"/>
    </row>
    <row r="39" spans="1:13" ht="12" customHeight="1">
      <c r="A39" s="455">
        <v>2021</v>
      </c>
      <c r="C39" s="406" t="s">
        <v>522</v>
      </c>
      <c r="D39" s="444">
        <f>'T2 MET'!D22</f>
        <v>0</v>
      </c>
      <c r="E39" s="408"/>
      <c r="F39" s="422"/>
      <c r="G39" s="410"/>
      <c r="H39" s="491">
        <f>D39</f>
        <v>0</v>
      </c>
      <c r="I39" s="1059"/>
      <c r="J39" s="410"/>
      <c r="K39" s="410"/>
      <c r="L39" s="410"/>
      <c r="M39" s="1049"/>
    </row>
    <row r="40" spans="1:13" ht="12" customHeight="1">
      <c r="A40" s="455">
        <v>2022</v>
      </c>
      <c r="C40" s="406" t="s">
        <v>523</v>
      </c>
      <c r="D40" s="444">
        <f>'T2 MET'!E22</f>
        <v>0</v>
      </c>
      <c r="E40" s="408"/>
      <c r="F40" s="422"/>
      <c r="G40" s="410"/>
      <c r="H40" s="410"/>
      <c r="I40" s="1066">
        <f>D40</f>
        <v>0</v>
      </c>
      <c r="J40" s="410"/>
      <c r="K40" s="410"/>
      <c r="L40" s="410"/>
      <c r="M40" s="1049"/>
    </row>
    <row r="41" spans="1:13" ht="12" customHeight="1">
      <c r="A41" s="455" t="s">
        <v>498</v>
      </c>
      <c r="C41" s="413" t="s">
        <v>524</v>
      </c>
      <c r="D41" s="414">
        <f>SUM(D38:D40)</f>
        <v>0</v>
      </c>
      <c r="E41" s="1083"/>
      <c r="F41" s="1084"/>
      <c r="G41" s="416">
        <f>SUM(G38:G40)</f>
        <v>0</v>
      </c>
      <c r="H41" s="416">
        <f>SUM(H38:H40)</f>
        <v>0</v>
      </c>
      <c r="I41" s="416">
        <f>SUM(I38:I40)</f>
        <v>0</v>
      </c>
      <c r="J41" s="417"/>
      <c r="K41" s="417"/>
      <c r="L41" s="417"/>
      <c r="M41" s="1050"/>
    </row>
    <row r="42" spans="1:13" ht="12" customHeight="1">
      <c r="A42" s="455">
        <v>2023</v>
      </c>
      <c r="C42" s="406" t="s">
        <v>525</v>
      </c>
      <c r="D42" s="444">
        <f>'T2 MET'!F22</f>
        <v>0</v>
      </c>
      <c r="E42" s="408"/>
      <c r="F42" s="422"/>
      <c r="G42" s="410"/>
      <c r="H42" s="410"/>
      <c r="I42" s="1062"/>
      <c r="J42" s="1086">
        <f>D42</f>
        <v>0</v>
      </c>
      <c r="K42" s="1081"/>
      <c r="L42" s="402"/>
      <c r="M42" s="1054"/>
    </row>
    <row r="43" spans="1:13" ht="12" customHeight="1">
      <c r="A43" s="455">
        <v>2024</v>
      </c>
      <c r="C43" s="406" t="s">
        <v>526</v>
      </c>
      <c r="D43" s="444">
        <f>'T2 MET'!G22</f>
        <v>0</v>
      </c>
      <c r="E43" s="408"/>
      <c r="F43" s="422"/>
      <c r="G43" s="410"/>
      <c r="H43" s="410"/>
      <c r="I43" s="1062"/>
      <c r="J43" s="1081"/>
      <c r="K43" s="1086">
        <f>D43</f>
        <v>0</v>
      </c>
      <c r="L43" s="410"/>
      <c r="M43" s="1049"/>
    </row>
    <row r="44" spans="1:13" ht="12" customHeight="1">
      <c r="A44" s="455">
        <v>2025</v>
      </c>
      <c r="C44" s="406" t="s">
        <v>527</v>
      </c>
      <c r="D44" s="444">
        <f>'T2 MET'!H22</f>
        <v>0</v>
      </c>
      <c r="E44" s="408"/>
      <c r="F44" s="422"/>
      <c r="G44" s="410"/>
      <c r="H44" s="410"/>
      <c r="I44" s="1062"/>
      <c r="J44" s="1081"/>
      <c r="K44" s="1081"/>
      <c r="L44" s="1086">
        <f>D44</f>
        <v>0</v>
      </c>
      <c r="M44" s="1049"/>
    </row>
    <row r="45" spans="1:13" ht="12" customHeight="1">
      <c r="A45" s="455">
        <v>2026</v>
      </c>
      <c r="C45" s="406" t="s">
        <v>528</v>
      </c>
      <c r="D45" s="444">
        <f>'T2 MET'!I22</f>
        <v>0</v>
      </c>
      <c r="E45" s="408"/>
      <c r="F45" s="422"/>
      <c r="G45" s="410"/>
      <c r="H45" s="410"/>
      <c r="I45" s="1062"/>
      <c r="J45" s="1081"/>
      <c r="K45" s="1081"/>
      <c r="L45" s="1081"/>
      <c r="M45" s="440">
        <f>D45</f>
        <v>0</v>
      </c>
    </row>
    <row r="46" spans="1:13" ht="12" customHeight="1">
      <c r="A46" s="455">
        <v>2027</v>
      </c>
      <c r="C46" s="406" t="s">
        <v>529</v>
      </c>
      <c r="D46" s="445">
        <f>'T2 MET'!J22</f>
        <v>0</v>
      </c>
      <c r="E46" s="428"/>
      <c r="F46" s="429"/>
      <c r="G46" s="429"/>
      <c r="H46" s="429"/>
      <c r="I46" s="1063"/>
      <c r="J46" s="1082"/>
      <c r="K46" s="1082"/>
      <c r="L46" s="1082"/>
      <c r="M46" s="1075">
        <f>D46</f>
        <v>0</v>
      </c>
    </row>
    <row r="47" spans="1:13" ht="12" customHeight="1">
      <c r="A47" s="455" t="s">
        <v>505</v>
      </c>
      <c r="C47" s="431" t="s">
        <v>530</v>
      </c>
      <c r="D47" s="432">
        <f>SUM(D41:D46)</f>
        <v>0</v>
      </c>
      <c r="E47" s="494"/>
      <c r="F47" s="495"/>
      <c r="G47" s="480">
        <f t="shared" ref="G47:L47" si="2">SUM(G41:G46)</f>
        <v>0</v>
      </c>
      <c r="H47" s="480">
        <f t="shared" si="2"/>
        <v>0</v>
      </c>
      <c r="I47" s="480">
        <f t="shared" si="2"/>
        <v>0</v>
      </c>
      <c r="J47" s="480">
        <f t="shared" si="2"/>
        <v>0</v>
      </c>
      <c r="K47" s="480">
        <f t="shared" si="2"/>
        <v>0</v>
      </c>
      <c r="L47" s="480">
        <f t="shared" si="2"/>
        <v>0</v>
      </c>
      <c r="M47" s="1076">
        <f>SUM(M41:M46)</f>
        <v>0</v>
      </c>
    </row>
    <row r="48" spans="1:13" ht="4.1500000000000004" customHeight="1">
      <c r="A48" s="758"/>
      <c r="C48" s="482"/>
      <c r="D48" s="482"/>
      <c r="E48" s="447"/>
      <c r="F48" s="447"/>
      <c r="G48" s="447"/>
      <c r="H48" s="447"/>
      <c r="I48" s="447"/>
      <c r="J48" s="447"/>
      <c r="K48" s="447"/>
      <c r="L48" s="447"/>
      <c r="M48" s="447"/>
    </row>
    <row r="49" spans="1:13" ht="12" customHeight="1">
      <c r="A49" s="455">
        <v>2020</v>
      </c>
      <c r="C49" s="398" t="s">
        <v>531</v>
      </c>
      <c r="D49" s="496"/>
      <c r="E49" s="420"/>
      <c r="F49" s="401"/>
      <c r="G49" s="402"/>
      <c r="H49" s="402"/>
      <c r="I49" s="402"/>
      <c r="J49" s="402"/>
      <c r="K49" s="402"/>
      <c r="L49" s="402"/>
      <c r="M49" s="1054"/>
    </row>
    <row r="50" spans="1:13" ht="12" customHeight="1">
      <c r="A50" s="455">
        <v>2021</v>
      </c>
      <c r="C50" s="406" t="s">
        <v>532</v>
      </c>
      <c r="D50" s="497"/>
      <c r="E50" s="408"/>
      <c r="F50" s="422"/>
      <c r="G50" s="410"/>
      <c r="H50" s="410"/>
      <c r="I50" s="410"/>
      <c r="J50" s="410"/>
      <c r="K50" s="410"/>
      <c r="L50" s="410"/>
      <c r="M50" s="1049"/>
    </row>
    <row r="51" spans="1:13" ht="12" customHeight="1">
      <c r="A51" s="455">
        <v>2022</v>
      </c>
      <c r="C51" s="406" t="s">
        <v>533</v>
      </c>
      <c r="D51" s="497"/>
      <c r="E51" s="408"/>
      <c r="F51" s="422"/>
      <c r="G51" s="410"/>
      <c r="H51" s="410"/>
      <c r="I51" s="410"/>
      <c r="J51" s="410"/>
      <c r="K51" s="410"/>
      <c r="L51" s="410"/>
      <c r="M51" s="1049"/>
    </row>
    <row r="52" spans="1:13" ht="12" customHeight="1">
      <c r="A52" s="455" t="s">
        <v>498</v>
      </c>
      <c r="C52" s="413" t="s">
        <v>534</v>
      </c>
      <c r="D52" s="419"/>
      <c r="E52" s="464"/>
      <c r="F52" s="417"/>
      <c r="G52" s="417"/>
      <c r="H52" s="417"/>
      <c r="I52" s="417"/>
      <c r="J52" s="417"/>
      <c r="K52" s="417"/>
      <c r="L52" s="417"/>
      <c r="M52" s="1050"/>
    </row>
    <row r="53" spans="1:13" ht="12" customHeight="1">
      <c r="A53" s="455">
        <v>2023</v>
      </c>
      <c r="C53" s="406" t="s">
        <v>535</v>
      </c>
      <c r="D53" s="497"/>
      <c r="E53" s="457"/>
      <c r="F53" s="410"/>
      <c r="G53" s="410"/>
      <c r="H53" s="410"/>
      <c r="I53" s="410"/>
      <c r="J53" s="410"/>
      <c r="K53" s="410"/>
      <c r="L53" s="410"/>
      <c r="M53" s="1049"/>
    </row>
    <row r="54" spans="1:13" ht="12" customHeight="1">
      <c r="A54" s="455">
        <v>2024</v>
      </c>
      <c r="C54" s="406" t="s">
        <v>536</v>
      </c>
      <c r="D54" s="497"/>
      <c r="E54" s="457"/>
      <c r="F54" s="410"/>
      <c r="G54" s="410"/>
      <c r="H54" s="410"/>
      <c r="I54" s="410"/>
      <c r="J54" s="410"/>
      <c r="K54" s="410"/>
      <c r="L54" s="410"/>
      <c r="M54" s="1049"/>
    </row>
    <row r="55" spans="1:13" ht="12" customHeight="1">
      <c r="A55" s="455">
        <v>2025</v>
      </c>
      <c r="C55" s="406" t="s">
        <v>537</v>
      </c>
      <c r="D55" s="497"/>
      <c r="E55" s="457"/>
      <c r="F55" s="410"/>
      <c r="G55" s="410"/>
      <c r="H55" s="410"/>
      <c r="I55" s="410"/>
      <c r="J55" s="410"/>
      <c r="K55" s="410"/>
      <c r="L55" s="410"/>
      <c r="M55" s="1049"/>
    </row>
    <row r="56" spans="1:13" ht="12" customHeight="1">
      <c r="A56" s="455">
        <v>2026</v>
      </c>
      <c r="C56" s="406" t="s">
        <v>538</v>
      </c>
      <c r="D56" s="497"/>
      <c r="E56" s="457"/>
      <c r="F56" s="410"/>
      <c r="G56" s="410"/>
      <c r="H56" s="410"/>
      <c r="I56" s="410"/>
      <c r="J56" s="410"/>
      <c r="K56" s="410"/>
      <c r="L56" s="410"/>
      <c r="M56" s="1049"/>
    </row>
    <row r="57" spans="1:13" ht="12" customHeight="1">
      <c r="A57" s="455">
        <v>2027</v>
      </c>
      <c r="C57" s="406" t="s">
        <v>539</v>
      </c>
      <c r="D57" s="498"/>
      <c r="E57" s="460"/>
      <c r="F57" s="461"/>
      <c r="G57" s="461"/>
      <c r="H57" s="461"/>
      <c r="I57" s="461"/>
      <c r="J57" s="461"/>
      <c r="K57" s="461"/>
      <c r="L57" s="461"/>
      <c r="M57" s="1055"/>
    </row>
    <row r="58" spans="1:13" ht="12" customHeight="1">
      <c r="A58" s="455" t="s">
        <v>505</v>
      </c>
      <c r="C58" s="431" t="s">
        <v>540</v>
      </c>
      <c r="D58" s="500"/>
      <c r="E58" s="494"/>
      <c r="F58" s="495"/>
      <c r="G58" s="495"/>
      <c r="H58" s="495"/>
      <c r="I58" s="495"/>
      <c r="J58" s="495"/>
      <c r="K58" s="495"/>
      <c r="L58" s="495"/>
      <c r="M58" s="1056"/>
    </row>
    <row r="59" spans="1:13" ht="4.9000000000000004" customHeight="1">
      <c r="A59" s="758"/>
      <c r="C59" s="482"/>
      <c r="D59" s="447"/>
      <c r="E59" s="447"/>
      <c r="F59" s="447"/>
      <c r="G59" s="447"/>
      <c r="H59" s="447"/>
      <c r="I59" s="447"/>
      <c r="J59" s="447"/>
      <c r="K59" s="447"/>
      <c r="L59" s="447"/>
      <c r="M59" s="447"/>
    </row>
    <row r="60" spans="1:13" ht="12" customHeight="1">
      <c r="A60" s="455">
        <v>2020</v>
      </c>
      <c r="C60" s="398" t="s">
        <v>541</v>
      </c>
      <c r="D60" s="496"/>
      <c r="E60" s="456"/>
      <c r="F60" s="402"/>
      <c r="G60" s="402"/>
      <c r="H60" s="402"/>
      <c r="I60" s="402"/>
      <c r="J60" s="402"/>
      <c r="K60" s="402"/>
      <c r="L60" s="402"/>
      <c r="M60" s="1054"/>
    </row>
    <row r="61" spans="1:13" ht="12" customHeight="1">
      <c r="A61" s="455">
        <v>2021</v>
      </c>
      <c r="C61" s="406" t="s">
        <v>542</v>
      </c>
      <c r="D61" s="497"/>
      <c r="E61" s="457"/>
      <c r="F61" s="410"/>
      <c r="G61" s="410"/>
      <c r="H61" s="410"/>
      <c r="I61" s="410"/>
      <c r="J61" s="410"/>
      <c r="K61" s="410"/>
      <c r="L61" s="410"/>
      <c r="M61" s="1049"/>
    </row>
    <row r="62" spans="1:13" ht="12" customHeight="1">
      <c r="A62" s="455">
        <v>2022</v>
      </c>
      <c r="C62" s="406" t="s">
        <v>543</v>
      </c>
      <c r="D62" s="497"/>
      <c r="E62" s="457"/>
      <c r="F62" s="410"/>
      <c r="G62" s="410"/>
      <c r="H62" s="410"/>
      <c r="I62" s="410"/>
      <c r="J62" s="410"/>
      <c r="K62" s="410"/>
      <c r="L62" s="410"/>
      <c r="M62" s="1049"/>
    </row>
    <row r="63" spans="1:13" ht="12" customHeight="1">
      <c r="A63" s="455" t="s">
        <v>498</v>
      </c>
      <c r="C63" s="413" t="s">
        <v>544</v>
      </c>
      <c r="D63" s="419"/>
      <c r="E63" s="464"/>
      <c r="F63" s="417"/>
      <c r="G63" s="417"/>
      <c r="H63" s="417"/>
      <c r="I63" s="417"/>
      <c r="J63" s="417"/>
      <c r="K63" s="417"/>
      <c r="L63" s="417"/>
      <c r="M63" s="1050"/>
    </row>
    <row r="64" spans="1:13" ht="12" customHeight="1">
      <c r="A64" s="455">
        <v>2023</v>
      </c>
      <c r="C64" s="406" t="s">
        <v>545</v>
      </c>
      <c r="D64" s="497"/>
      <c r="E64" s="408"/>
      <c r="F64" s="422"/>
      <c r="G64" s="410"/>
      <c r="H64" s="410"/>
      <c r="I64" s="410"/>
      <c r="J64" s="410"/>
      <c r="K64" s="410"/>
      <c r="L64" s="410"/>
      <c r="M64" s="1049"/>
    </row>
    <row r="65" spans="1:13" ht="12" customHeight="1">
      <c r="A65" s="455">
        <v>2024</v>
      </c>
      <c r="C65" s="406" t="s">
        <v>546</v>
      </c>
      <c r="D65" s="497"/>
      <c r="E65" s="408"/>
      <c r="F65" s="422"/>
      <c r="G65" s="410"/>
      <c r="H65" s="410"/>
      <c r="I65" s="410"/>
      <c r="J65" s="410"/>
      <c r="K65" s="410"/>
      <c r="L65" s="410"/>
      <c r="M65" s="1049"/>
    </row>
    <row r="66" spans="1:13" ht="12" customHeight="1">
      <c r="A66" s="455">
        <v>2025</v>
      </c>
      <c r="C66" s="406" t="s">
        <v>547</v>
      </c>
      <c r="D66" s="497"/>
      <c r="E66" s="408"/>
      <c r="F66" s="422"/>
      <c r="G66" s="410"/>
      <c r="H66" s="410"/>
      <c r="I66" s="410"/>
      <c r="J66" s="410"/>
      <c r="K66" s="410"/>
      <c r="L66" s="410"/>
      <c r="M66" s="1049"/>
    </row>
    <row r="67" spans="1:13" ht="12" customHeight="1">
      <c r="A67" s="455">
        <v>2026</v>
      </c>
      <c r="C67" s="406" t="s">
        <v>548</v>
      </c>
      <c r="D67" s="497"/>
      <c r="E67" s="408"/>
      <c r="F67" s="422"/>
      <c r="G67" s="410"/>
      <c r="H67" s="410"/>
      <c r="I67" s="410"/>
      <c r="J67" s="410"/>
      <c r="K67" s="410"/>
      <c r="L67" s="410"/>
      <c r="M67" s="1049"/>
    </row>
    <row r="68" spans="1:13" ht="12" customHeight="1">
      <c r="A68" s="455">
        <v>2027</v>
      </c>
      <c r="C68" s="406" t="s">
        <v>549</v>
      </c>
      <c r="D68" s="498"/>
      <c r="E68" s="428"/>
      <c r="F68" s="429"/>
      <c r="G68" s="461"/>
      <c r="H68" s="461"/>
      <c r="I68" s="461"/>
      <c r="J68" s="461"/>
      <c r="K68" s="461"/>
      <c r="L68" s="461"/>
      <c r="M68" s="1055"/>
    </row>
    <row r="69" spans="1:13" ht="12" customHeight="1">
      <c r="A69" s="455" t="s">
        <v>505</v>
      </c>
      <c r="C69" s="431" t="s">
        <v>550</v>
      </c>
      <c r="D69" s="500"/>
      <c r="E69" s="494"/>
      <c r="F69" s="495"/>
      <c r="G69" s="495"/>
      <c r="H69" s="495"/>
      <c r="I69" s="495"/>
      <c r="J69" s="495"/>
      <c r="K69" s="495"/>
      <c r="L69" s="495"/>
      <c r="M69" s="1056"/>
    </row>
    <row r="70" spans="1:13" ht="4.9000000000000004" customHeight="1">
      <c r="A70" s="758"/>
      <c r="C70" s="482"/>
      <c r="D70" s="482"/>
      <c r="E70" s="447"/>
      <c r="F70" s="447"/>
      <c r="G70" s="447"/>
      <c r="H70" s="447"/>
      <c r="I70" s="447"/>
      <c r="J70" s="447"/>
      <c r="K70" s="447"/>
      <c r="L70" s="447"/>
      <c r="M70" s="447"/>
    </row>
    <row r="71" spans="1:13" ht="12" customHeight="1">
      <c r="A71" s="455">
        <v>2020</v>
      </c>
      <c r="C71" s="398" t="s">
        <v>551</v>
      </c>
      <c r="D71" s="443">
        <f>'T2 MET'!C25</f>
        <v>0</v>
      </c>
      <c r="E71" s="420"/>
      <c r="F71" s="401"/>
      <c r="G71" s="487">
        <f>D71</f>
        <v>0</v>
      </c>
      <c r="H71" s="402"/>
      <c r="I71" s="1058"/>
      <c r="J71" s="1058"/>
      <c r="K71" s="1058"/>
      <c r="L71" s="1058"/>
      <c r="M71" s="437">
        <f>D71-SUM(E71:L71)</f>
        <v>0</v>
      </c>
    </row>
    <row r="72" spans="1:13" ht="12" customHeight="1">
      <c r="A72" s="455">
        <v>2021</v>
      </c>
      <c r="C72" s="406" t="s">
        <v>552</v>
      </c>
      <c r="D72" s="444">
        <f>'T2 MET'!D25</f>
        <v>0</v>
      </c>
      <c r="E72" s="408"/>
      <c r="F72" s="422"/>
      <c r="G72" s="410"/>
      <c r="H72" s="491">
        <f>D72</f>
        <v>0</v>
      </c>
      <c r="I72" s="1059"/>
      <c r="J72" s="1059"/>
      <c r="K72" s="1059"/>
      <c r="L72" s="1059"/>
      <c r="M72" s="440">
        <f>D72-SUM(E72:L72)</f>
        <v>0</v>
      </c>
    </row>
    <row r="73" spans="1:13" ht="12" customHeight="1">
      <c r="A73" s="455">
        <v>2022</v>
      </c>
      <c r="C73" s="406" t="s">
        <v>553</v>
      </c>
      <c r="D73" s="444">
        <f>'T2 MET'!E25</f>
        <v>0</v>
      </c>
      <c r="E73" s="408"/>
      <c r="F73" s="422"/>
      <c r="G73" s="410"/>
      <c r="H73" s="410"/>
      <c r="I73" s="1066">
        <f>D73</f>
        <v>0</v>
      </c>
      <c r="J73" s="1087"/>
      <c r="K73" s="1087"/>
      <c r="L73" s="1087"/>
      <c r="M73" s="440">
        <f>D73-SUM(E73:L73)</f>
        <v>0</v>
      </c>
    </row>
    <row r="74" spans="1:13" ht="12" customHeight="1">
      <c r="A74" s="455" t="s">
        <v>498</v>
      </c>
      <c r="C74" s="413" t="s">
        <v>554</v>
      </c>
      <c r="D74" s="414">
        <f>SUM(D71:D73)</f>
        <v>0</v>
      </c>
      <c r="E74" s="1083"/>
      <c r="F74" s="1084"/>
      <c r="G74" s="416">
        <f>SUM(G71:G73)</f>
        <v>0</v>
      </c>
      <c r="H74" s="416">
        <f>SUM(H71:H73)</f>
        <v>0</v>
      </c>
      <c r="I74" s="416">
        <f>SUM(I71:I73)</f>
        <v>0</v>
      </c>
      <c r="J74" s="417"/>
      <c r="K74" s="417"/>
      <c r="L74" s="417"/>
      <c r="M74" s="1050"/>
    </row>
    <row r="75" spans="1:13" ht="12" customHeight="1">
      <c r="A75" s="455">
        <v>2023</v>
      </c>
      <c r="C75" s="406" t="s">
        <v>555</v>
      </c>
      <c r="D75" s="444">
        <f>'T2 MET'!F25</f>
        <v>0</v>
      </c>
      <c r="E75" s="408"/>
      <c r="F75" s="422"/>
      <c r="G75" s="410"/>
      <c r="H75" s="410"/>
      <c r="I75" s="1062"/>
      <c r="J75" s="423">
        <f>D75</f>
        <v>0</v>
      </c>
      <c r="K75" s="410"/>
      <c r="L75" s="410"/>
      <c r="M75" s="1049"/>
    </row>
    <row r="76" spans="1:13" ht="12" customHeight="1">
      <c r="A76" s="455">
        <v>2024</v>
      </c>
      <c r="C76" s="406" t="s">
        <v>556</v>
      </c>
      <c r="D76" s="444">
        <f>'T2 MET'!G25</f>
        <v>0</v>
      </c>
      <c r="E76" s="408"/>
      <c r="F76" s="422"/>
      <c r="G76" s="410"/>
      <c r="H76" s="410"/>
      <c r="I76" s="1062"/>
      <c r="J76" s="410"/>
      <c r="K76" s="423">
        <f>D76</f>
        <v>0</v>
      </c>
      <c r="L76" s="410"/>
      <c r="M76" s="1049"/>
    </row>
    <row r="77" spans="1:13" ht="12" customHeight="1">
      <c r="A77" s="455">
        <v>2025</v>
      </c>
      <c r="C77" s="406" t="s">
        <v>557</v>
      </c>
      <c r="D77" s="444">
        <f>'T2 MET'!H25</f>
        <v>0</v>
      </c>
      <c r="E77" s="408"/>
      <c r="F77" s="422"/>
      <c r="G77" s="410"/>
      <c r="H77" s="410"/>
      <c r="I77" s="1062"/>
      <c r="J77" s="410"/>
      <c r="K77" s="410"/>
      <c r="L77" s="423">
        <f>D77</f>
        <v>0</v>
      </c>
      <c r="M77" s="1049"/>
    </row>
    <row r="78" spans="1:13" ht="12" customHeight="1">
      <c r="A78" s="455">
        <v>2026</v>
      </c>
      <c r="C78" s="406" t="s">
        <v>558</v>
      </c>
      <c r="D78" s="444">
        <f>'T2 MET'!I25</f>
        <v>0</v>
      </c>
      <c r="E78" s="408"/>
      <c r="F78" s="422"/>
      <c r="G78" s="410"/>
      <c r="H78" s="410"/>
      <c r="I78" s="1062"/>
      <c r="J78" s="410"/>
      <c r="K78" s="410"/>
      <c r="L78" s="410"/>
      <c r="M78" s="440">
        <f>D78</f>
        <v>0</v>
      </c>
    </row>
    <row r="79" spans="1:13" ht="12" customHeight="1">
      <c r="A79" s="455">
        <v>2027</v>
      </c>
      <c r="C79" s="406" t="s">
        <v>559</v>
      </c>
      <c r="D79" s="445">
        <f>'T2 MET'!J25</f>
        <v>0</v>
      </c>
      <c r="E79" s="428"/>
      <c r="F79" s="429"/>
      <c r="G79" s="429"/>
      <c r="H79" s="429"/>
      <c r="I79" s="1063"/>
      <c r="J79" s="461"/>
      <c r="K79" s="461"/>
      <c r="L79" s="461"/>
      <c r="M79" s="1077">
        <f>D79</f>
        <v>0</v>
      </c>
    </row>
    <row r="80" spans="1:13" ht="12" customHeight="1">
      <c r="A80" s="455" t="s">
        <v>505</v>
      </c>
      <c r="C80" s="431" t="s">
        <v>560</v>
      </c>
      <c r="D80" s="432">
        <f>SUM(D74:D79)</f>
        <v>0</v>
      </c>
      <c r="E80" s="494"/>
      <c r="F80" s="495"/>
      <c r="G80" s="434">
        <f>SUM(G74:G79)</f>
        <v>0</v>
      </c>
      <c r="H80" s="434">
        <f t="shared" ref="H80:L80" si="3">SUM(H74:H79)</f>
        <v>0</v>
      </c>
      <c r="I80" s="434">
        <f t="shared" si="3"/>
        <v>0</v>
      </c>
      <c r="J80" s="434">
        <f t="shared" si="3"/>
        <v>0</v>
      </c>
      <c r="K80" s="434">
        <f t="shared" si="3"/>
        <v>0</v>
      </c>
      <c r="L80" s="434">
        <f t="shared" si="3"/>
        <v>0</v>
      </c>
      <c r="M80" s="1076">
        <f>SUM(M74:M79)</f>
        <v>0</v>
      </c>
    </row>
    <row r="81" spans="1:13" ht="3.6" customHeight="1">
      <c r="A81" s="758"/>
      <c r="C81" s="482"/>
      <c r="D81" s="482"/>
      <c r="E81" s="447"/>
      <c r="F81" s="447"/>
      <c r="G81" s="447"/>
      <c r="H81" s="447"/>
      <c r="I81" s="447"/>
      <c r="J81" s="447"/>
      <c r="K81" s="447"/>
      <c r="L81" s="447"/>
      <c r="M81" s="447"/>
    </row>
    <row r="82" spans="1:13" ht="12" customHeight="1">
      <c r="A82" s="455">
        <v>2020</v>
      </c>
      <c r="C82" s="398" t="s">
        <v>561</v>
      </c>
      <c r="D82" s="443">
        <f>'T2 MET'!C26</f>
        <v>0</v>
      </c>
      <c r="E82" s="420"/>
      <c r="F82" s="401"/>
      <c r="G82" s="487">
        <f>D82</f>
        <v>0</v>
      </c>
      <c r="H82" s="402"/>
      <c r="I82" s="1058"/>
      <c r="J82" s="1058"/>
      <c r="K82" s="1058"/>
      <c r="L82" s="1058"/>
      <c r="M82" s="437">
        <f>D82-SUM(E82:L82)</f>
        <v>0</v>
      </c>
    </row>
    <row r="83" spans="1:13" ht="12" customHeight="1">
      <c r="A83" s="455">
        <v>2021</v>
      </c>
      <c r="C83" s="406" t="s">
        <v>562</v>
      </c>
      <c r="D83" s="444">
        <f>'T2 MET'!D26</f>
        <v>0</v>
      </c>
      <c r="E83" s="408"/>
      <c r="F83" s="422"/>
      <c r="G83" s="410"/>
      <c r="H83" s="491">
        <f>D83</f>
        <v>0</v>
      </c>
      <c r="I83" s="1059"/>
      <c r="J83" s="410"/>
      <c r="K83" s="410"/>
      <c r="L83" s="410"/>
      <c r="M83" s="440">
        <f>D83-SUM(E83:L83)</f>
        <v>0</v>
      </c>
    </row>
    <row r="84" spans="1:13" ht="12" customHeight="1">
      <c r="A84" s="455">
        <v>2022</v>
      </c>
      <c r="C84" s="406" t="s">
        <v>563</v>
      </c>
      <c r="D84" s="444">
        <f>'T2 MET'!E26</f>
        <v>0</v>
      </c>
      <c r="E84" s="408"/>
      <c r="F84" s="422"/>
      <c r="G84" s="410"/>
      <c r="H84" s="410"/>
      <c r="I84" s="1066">
        <f>D84</f>
        <v>0</v>
      </c>
      <c r="J84" s="461"/>
      <c r="K84" s="461"/>
      <c r="L84" s="461"/>
      <c r="M84" s="440">
        <f>D84-SUM(E84:L84)</f>
        <v>0</v>
      </c>
    </row>
    <row r="85" spans="1:13" ht="12" customHeight="1">
      <c r="A85" s="455" t="s">
        <v>498</v>
      </c>
      <c r="C85" s="413" t="s">
        <v>564</v>
      </c>
      <c r="D85" s="414">
        <f>SUM(D82:D84)</f>
        <v>0</v>
      </c>
      <c r="E85" s="1083"/>
      <c r="F85" s="1084"/>
      <c r="G85" s="416">
        <f>SUM(G82:G84)</f>
        <v>0</v>
      </c>
      <c r="H85" s="416">
        <f>SUM(H82:H84)</f>
        <v>0</v>
      </c>
      <c r="I85" s="416">
        <f>SUM(I82:I84)</f>
        <v>0</v>
      </c>
      <c r="J85" s="417"/>
      <c r="K85" s="417"/>
      <c r="L85" s="417"/>
      <c r="M85" s="1050"/>
    </row>
    <row r="86" spans="1:13" ht="12" customHeight="1">
      <c r="A86" s="455">
        <v>2023</v>
      </c>
      <c r="C86" s="406" t="s">
        <v>565</v>
      </c>
      <c r="D86" s="443">
        <f>'T2 MET'!F26</f>
        <v>0</v>
      </c>
      <c r="E86" s="408"/>
      <c r="F86" s="422"/>
      <c r="G86" s="410"/>
      <c r="H86" s="410"/>
      <c r="I86" s="1062"/>
      <c r="J86" s="423">
        <f>D86</f>
        <v>0</v>
      </c>
      <c r="K86" s="410"/>
      <c r="L86" s="410"/>
      <c r="M86" s="1049"/>
    </row>
    <row r="87" spans="1:13" ht="12" customHeight="1">
      <c r="A87" s="455">
        <v>2024</v>
      </c>
      <c r="C87" s="406" t="s">
        <v>566</v>
      </c>
      <c r="D87" s="444">
        <f>'T2 MET'!G26</f>
        <v>0</v>
      </c>
      <c r="E87" s="408"/>
      <c r="F87" s="422"/>
      <c r="G87" s="410"/>
      <c r="H87" s="410"/>
      <c r="I87" s="1062"/>
      <c r="J87" s="410"/>
      <c r="K87" s="423">
        <f>D87</f>
        <v>0</v>
      </c>
      <c r="L87" s="410"/>
      <c r="M87" s="1049"/>
    </row>
    <row r="88" spans="1:13" ht="12" customHeight="1">
      <c r="A88" s="455">
        <v>2025</v>
      </c>
      <c r="C88" s="406" t="s">
        <v>567</v>
      </c>
      <c r="D88" s="444">
        <f>'T2 MET'!H26</f>
        <v>0</v>
      </c>
      <c r="E88" s="408"/>
      <c r="F88" s="422"/>
      <c r="G88" s="410"/>
      <c r="H88" s="410"/>
      <c r="I88" s="1062"/>
      <c r="J88" s="410"/>
      <c r="K88" s="410"/>
      <c r="L88" s="423">
        <f>D88</f>
        <v>0</v>
      </c>
      <c r="M88" s="1049"/>
    </row>
    <row r="89" spans="1:13" ht="12" customHeight="1">
      <c r="A89" s="455">
        <v>2026</v>
      </c>
      <c r="C89" s="406" t="s">
        <v>568</v>
      </c>
      <c r="D89" s="444">
        <f>'T2 MET'!I26</f>
        <v>0</v>
      </c>
      <c r="E89" s="408"/>
      <c r="F89" s="422"/>
      <c r="G89" s="410"/>
      <c r="H89" s="410"/>
      <c r="I89" s="1062"/>
      <c r="J89" s="410"/>
      <c r="K89" s="410"/>
      <c r="L89" s="410"/>
      <c r="M89" s="440">
        <f>D89</f>
        <v>0</v>
      </c>
    </row>
    <row r="90" spans="1:13" ht="12" customHeight="1">
      <c r="A90" s="455">
        <v>2027</v>
      </c>
      <c r="C90" s="406" t="s">
        <v>569</v>
      </c>
      <c r="D90" s="445">
        <f>'T2 MET'!J26</f>
        <v>0</v>
      </c>
      <c r="E90" s="428"/>
      <c r="F90" s="429"/>
      <c r="G90" s="429"/>
      <c r="H90" s="429"/>
      <c r="I90" s="1063"/>
      <c r="J90" s="461"/>
      <c r="K90" s="461"/>
      <c r="L90" s="461"/>
      <c r="M90" s="1077">
        <f>D90</f>
        <v>0</v>
      </c>
    </row>
    <row r="91" spans="1:13" ht="12" customHeight="1">
      <c r="A91" s="455" t="s">
        <v>505</v>
      </c>
      <c r="C91" s="431" t="s">
        <v>570</v>
      </c>
      <c r="D91" s="432">
        <f>SUM(D85:D90)</f>
        <v>0</v>
      </c>
      <c r="E91" s="494"/>
      <c r="F91" s="495"/>
      <c r="G91" s="434">
        <f>SUM(G85:G90)</f>
        <v>0</v>
      </c>
      <c r="H91" s="434">
        <f t="shared" ref="H91:L91" si="4">SUM(H85:H90)</f>
        <v>0</v>
      </c>
      <c r="I91" s="434">
        <f t="shared" si="4"/>
        <v>0</v>
      </c>
      <c r="J91" s="434">
        <f t="shared" si="4"/>
        <v>0</v>
      </c>
      <c r="K91" s="434">
        <f t="shared" si="4"/>
        <v>0</v>
      </c>
      <c r="L91" s="434">
        <f t="shared" si="4"/>
        <v>0</v>
      </c>
      <c r="M91" s="1076">
        <f>SUM(M85:M90)</f>
        <v>0</v>
      </c>
    </row>
    <row r="92" spans="1:13" ht="3.6" customHeight="1">
      <c r="A92" s="758"/>
      <c r="C92" s="482"/>
      <c r="D92" s="482"/>
      <c r="E92" s="447"/>
      <c r="F92" s="447"/>
      <c r="G92" s="447"/>
      <c r="H92" s="447"/>
      <c r="I92" s="447"/>
      <c r="J92" s="447"/>
      <c r="K92" s="447"/>
      <c r="L92" s="447"/>
      <c r="M92" s="447"/>
    </row>
    <row r="93" spans="1:13" ht="12" customHeight="1">
      <c r="A93" s="455">
        <v>2020</v>
      </c>
      <c r="C93" s="398" t="s">
        <v>571</v>
      </c>
      <c r="D93" s="443">
        <f>'T2 MET'!C27</f>
        <v>0</v>
      </c>
      <c r="E93" s="420"/>
      <c r="F93" s="401"/>
      <c r="G93" s="487">
        <f>+D93</f>
        <v>0</v>
      </c>
      <c r="H93" s="402"/>
      <c r="I93" s="1058"/>
      <c r="J93" s="1058"/>
      <c r="K93" s="1058"/>
      <c r="L93" s="1058"/>
      <c r="M93" s="437">
        <f>D93-SUM(E93:L93)</f>
        <v>0</v>
      </c>
    </row>
    <row r="94" spans="1:13" ht="12" customHeight="1">
      <c r="A94" s="455">
        <v>2021</v>
      </c>
      <c r="C94" s="406" t="s">
        <v>572</v>
      </c>
      <c r="D94" s="444">
        <f>'T2 MET'!D27</f>
        <v>0</v>
      </c>
      <c r="E94" s="408"/>
      <c r="F94" s="422"/>
      <c r="G94" s="410"/>
      <c r="H94" s="491">
        <f>+D94</f>
        <v>0</v>
      </c>
      <c r="I94" s="1059"/>
      <c r="J94" s="1059"/>
      <c r="K94" s="1059"/>
      <c r="L94" s="1059"/>
      <c r="M94" s="440">
        <f>D94-SUM(E94:L94)</f>
        <v>0</v>
      </c>
    </row>
    <row r="95" spans="1:13" ht="12" customHeight="1">
      <c r="A95" s="455">
        <v>2022</v>
      </c>
      <c r="C95" s="406" t="s">
        <v>573</v>
      </c>
      <c r="D95" s="444">
        <f>'T2 MET'!E27</f>
        <v>0</v>
      </c>
      <c r="E95" s="408"/>
      <c r="F95" s="422"/>
      <c r="G95" s="410"/>
      <c r="H95" s="410"/>
      <c r="I95" s="1066">
        <f>+D95</f>
        <v>0</v>
      </c>
      <c r="J95" s="461"/>
      <c r="K95" s="461"/>
      <c r="L95" s="461"/>
      <c r="M95" s="440">
        <f>D95-SUM(E95:L95)</f>
        <v>0</v>
      </c>
    </row>
    <row r="96" spans="1:13" ht="12" customHeight="1">
      <c r="A96" s="455" t="s">
        <v>498</v>
      </c>
      <c r="C96" s="413" t="s">
        <v>514</v>
      </c>
      <c r="D96" s="414">
        <f>SUM(D93:D95)</f>
        <v>0</v>
      </c>
      <c r="E96" s="1083"/>
      <c r="F96" s="1084"/>
      <c r="G96" s="416">
        <f>SUM(G93:G95)</f>
        <v>0</v>
      </c>
      <c r="H96" s="416">
        <f>SUM(H93:H95)</f>
        <v>0</v>
      </c>
      <c r="I96" s="416">
        <f>SUM(I93:I95)</f>
        <v>0</v>
      </c>
      <c r="J96" s="417"/>
      <c r="K96" s="417"/>
      <c r="L96" s="417"/>
      <c r="M96" s="1050"/>
    </row>
    <row r="97" spans="1:28" ht="12" customHeight="1">
      <c r="A97" s="455">
        <v>2023</v>
      </c>
      <c r="C97" s="406" t="s">
        <v>574</v>
      </c>
      <c r="D97" s="444">
        <f>'T2 MET'!F27</f>
        <v>0</v>
      </c>
      <c r="E97" s="408"/>
      <c r="F97" s="422"/>
      <c r="G97" s="410"/>
      <c r="H97" s="410"/>
      <c r="I97" s="1062"/>
      <c r="J97" s="423">
        <f>D97</f>
        <v>0</v>
      </c>
      <c r="K97" s="410"/>
      <c r="L97" s="410"/>
      <c r="M97" s="1049"/>
    </row>
    <row r="98" spans="1:28" ht="12" customHeight="1">
      <c r="A98" s="455">
        <v>2024</v>
      </c>
      <c r="C98" s="406" t="s">
        <v>575</v>
      </c>
      <c r="D98" s="444">
        <f>'T2 MET'!G27</f>
        <v>0</v>
      </c>
      <c r="E98" s="408"/>
      <c r="F98" s="422"/>
      <c r="G98" s="410"/>
      <c r="H98" s="410"/>
      <c r="I98" s="1062"/>
      <c r="J98" s="410"/>
      <c r="K98" s="423">
        <f>D98</f>
        <v>0</v>
      </c>
      <c r="L98" s="410"/>
      <c r="M98" s="1049"/>
    </row>
    <row r="99" spans="1:28" ht="12" customHeight="1">
      <c r="A99" s="455">
        <v>2025</v>
      </c>
      <c r="C99" s="406" t="s">
        <v>576</v>
      </c>
      <c r="D99" s="444">
        <f>'T2 MET'!H27</f>
        <v>0</v>
      </c>
      <c r="E99" s="408"/>
      <c r="F99" s="422"/>
      <c r="G99" s="410"/>
      <c r="H99" s="410"/>
      <c r="I99" s="1062"/>
      <c r="J99" s="410"/>
      <c r="K99" s="410"/>
      <c r="L99" s="423">
        <f>D99</f>
        <v>0</v>
      </c>
      <c r="M99" s="1049"/>
    </row>
    <row r="100" spans="1:28" ht="12" customHeight="1">
      <c r="A100" s="455">
        <v>2026</v>
      </c>
      <c r="C100" s="406" t="s">
        <v>577</v>
      </c>
      <c r="D100" s="444">
        <f>'T2 MET'!I27</f>
        <v>0</v>
      </c>
      <c r="E100" s="408"/>
      <c r="F100" s="422"/>
      <c r="G100" s="410"/>
      <c r="H100" s="410"/>
      <c r="I100" s="1062"/>
      <c r="J100" s="410"/>
      <c r="K100" s="410"/>
      <c r="L100" s="410"/>
      <c r="M100" s="440">
        <f>D100</f>
        <v>0</v>
      </c>
    </row>
    <row r="101" spans="1:28" ht="12" customHeight="1">
      <c r="A101" s="455">
        <v>2027</v>
      </c>
      <c r="C101" s="406" t="s">
        <v>578</v>
      </c>
      <c r="D101" s="445">
        <f>'T2 MET'!J27</f>
        <v>0</v>
      </c>
      <c r="E101" s="428"/>
      <c r="F101" s="429"/>
      <c r="G101" s="429"/>
      <c r="H101" s="429"/>
      <c r="I101" s="1063"/>
      <c r="J101" s="461"/>
      <c r="K101" s="461"/>
      <c r="L101" s="461"/>
      <c r="M101" s="1077">
        <f>D101</f>
        <v>0</v>
      </c>
    </row>
    <row r="102" spans="1:28" ht="12" customHeight="1">
      <c r="A102" s="455" t="s">
        <v>505</v>
      </c>
      <c r="C102" s="431" t="s">
        <v>579</v>
      </c>
      <c r="D102" s="432">
        <f>SUM(D96:D101)</f>
        <v>0</v>
      </c>
      <c r="E102" s="494"/>
      <c r="F102" s="495"/>
      <c r="G102" s="434">
        <f>SUM(G96:G101)</f>
        <v>0</v>
      </c>
      <c r="H102" s="434">
        <f t="shared" ref="H102:L102" si="5">SUM(H96:H101)</f>
        <v>0</v>
      </c>
      <c r="I102" s="434">
        <f t="shared" si="5"/>
        <v>0</v>
      </c>
      <c r="J102" s="434">
        <f t="shared" si="5"/>
        <v>0</v>
      </c>
      <c r="K102" s="434">
        <f t="shared" si="5"/>
        <v>0</v>
      </c>
      <c r="L102" s="434">
        <f t="shared" si="5"/>
        <v>0</v>
      </c>
      <c r="M102" s="1076">
        <f>SUM(M96:M101)</f>
        <v>0</v>
      </c>
    </row>
    <row r="103" spans="1:28" ht="3.6" customHeight="1">
      <c r="A103" s="758"/>
      <c r="C103" s="482"/>
      <c r="D103" s="482"/>
      <c r="E103" s="447"/>
      <c r="F103" s="447"/>
      <c r="G103" s="447"/>
      <c r="H103" s="447"/>
      <c r="I103" s="447"/>
      <c r="J103" s="447"/>
      <c r="K103" s="447"/>
      <c r="L103" s="447"/>
      <c r="M103" s="447"/>
    </row>
    <row r="104" spans="1:28" ht="12" customHeight="1">
      <c r="A104" s="455">
        <v>2017</v>
      </c>
      <c r="C104" s="436" t="s">
        <v>580</v>
      </c>
      <c r="D104" s="438">
        <v>0</v>
      </c>
      <c r="E104" s="421"/>
      <c r="F104" s="421">
        <f>D104</f>
        <v>0</v>
      </c>
      <c r="G104" s="421"/>
      <c r="H104" s="421"/>
      <c r="I104" s="1408"/>
      <c r="J104" s="1408"/>
      <c r="K104" s="1408"/>
      <c r="L104" s="1408"/>
      <c r="M104" s="437"/>
    </row>
    <row r="105" spans="1:28" ht="12" customHeight="1">
      <c r="A105" s="455">
        <v>2018</v>
      </c>
      <c r="C105" s="439" t="s">
        <v>581</v>
      </c>
      <c r="D105" s="441">
        <v>0</v>
      </c>
      <c r="E105" s="423"/>
      <c r="F105" s="423">
        <f>D105</f>
        <v>0</v>
      </c>
      <c r="G105" s="423"/>
      <c r="H105" s="423"/>
      <c r="I105" s="1061"/>
      <c r="J105" s="1061"/>
      <c r="K105" s="1061"/>
      <c r="L105" s="1061"/>
      <c r="M105" s="440"/>
    </row>
    <row r="106" spans="1:28" ht="12" customHeight="1">
      <c r="A106" s="455">
        <v>2019</v>
      </c>
      <c r="C106" s="439" t="s">
        <v>582</v>
      </c>
      <c r="D106" s="37">
        <v>0</v>
      </c>
      <c r="E106" s="423"/>
      <c r="F106" s="423">
        <f>D106</f>
        <v>0</v>
      </c>
      <c r="G106" s="423"/>
      <c r="H106" s="423"/>
      <c r="I106" s="1061"/>
      <c r="J106" s="1061"/>
      <c r="K106" s="1061"/>
      <c r="L106" s="1061"/>
      <c r="M106" s="440"/>
    </row>
    <row r="107" spans="1:28">
      <c r="A107" s="455" t="s">
        <v>493</v>
      </c>
      <c r="C107" s="431" t="s">
        <v>583</v>
      </c>
      <c r="D107" s="432">
        <f>SUM(D104:D106)</f>
        <v>0</v>
      </c>
      <c r="E107" s="433">
        <f t="shared" ref="E107:M107" si="6">SUM(E104:E106)</f>
        <v>0</v>
      </c>
      <c r="F107" s="480">
        <f t="shared" si="6"/>
        <v>0</v>
      </c>
      <c r="G107" s="480">
        <f t="shared" si="6"/>
        <v>0</v>
      </c>
      <c r="H107" s="480">
        <f t="shared" si="6"/>
        <v>0</v>
      </c>
      <c r="I107" s="1407">
        <f t="shared" si="6"/>
        <v>0</v>
      </c>
      <c r="J107" s="1407">
        <f t="shared" si="6"/>
        <v>0</v>
      </c>
      <c r="K107" s="1407">
        <f t="shared" si="6"/>
        <v>0</v>
      </c>
      <c r="L107" s="1407">
        <f t="shared" si="6"/>
        <v>0</v>
      </c>
      <c r="M107" s="1076">
        <f t="shared" si="6"/>
        <v>0</v>
      </c>
      <c r="S107" s="916"/>
      <c r="T107" s="916"/>
      <c r="U107" s="916"/>
      <c r="V107" s="916"/>
      <c r="W107" s="916"/>
      <c r="X107" s="916"/>
      <c r="Y107" s="916"/>
      <c r="Z107" s="916"/>
      <c r="AA107" s="916"/>
      <c r="AB107" s="916"/>
    </row>
    <row r="108" spans="1:28">
      <c r="A108" s="455">
        <v>2020</v>
      </c>
      <c r="C108" s="436" t="s">
        <v>584</v>
      </c>
      <c r="D108" s="438">
        <v>0</v>
      </c>
      <c r="E108" s="421"/>
      <c r="F108" s="421"/>
      <c r="G108" s="421">
        <f>D108</f>
        <v>0</v>
      </c>
      <c r="H108" s="421"/>
      <c r="I108" s="421"/>
      <c r="J108" s="421"/>
      <c r="K108" s="421"/>
      <c r="L108" s="421"/>
      <c r="M108" s="437"/>
      <c r="S108" s="916"/>
      <c r="T108" s="916"/>
      <c r="U108" s="916"/>
      <c r="V108" s="916"/>
      <c r="W108" s="916"/>
      <c r="X108" s="916"/>
      <c r="Y108" s="916"/>
      <c r="Z108" s="916"/>
      <c r="AA108" s="916"/>
      <c r="AB108" s="916"/>
    </row>
    <row r="109" spans="1:28">
      <c r="A109" s="455">
        <v>2021</v>
      </c>
      <c r="C109" s="439" t="s">
        <v>585</v>
      </c>
      <c r="D109" s="441">
        <v>0</v>
      </c>
      <c r="E109" s="423"/>
      <c r="F109" s="423"/>
      <c r="G109" s="423"/>
      <c r="H109" s="423">
        <f>D109</f>
        <v>0</v>
      </c>
      <c r="I109" s="423"/>
      <c r="J109" s="423"/>
      <c r="K109" s="423"/>
      <c r="L109" s="423"/>
      <c r="M109" s="440"/>
      <c r="S109" s="916"/>
      <c r="T109" s="916"/>
      <c r="U109" s="916"/>
      <c r="V109" s="916"/>
      <c r="W109" s="916"/>
      <c r="X109" s="916"/>
      <c r="Y109" s="916"/>
      <c r="Z109" s="916"/>
      <c r="AA109" s="916"/>
      <c r="AB109" s="916"/>
    </row>
    <row r="110" spans="1:28">
      <c r="A110" s="455">
        <v>2022</v>
      </c>
      <c r="C110" s="439" t="s">
        <v>586</v>
      </c>
      <c r="D110" s="37">
        <v>0</v>
      </c>
      <c r="E110" s="423"/>
      <c r="F110" s="423"/>
      <c r="G110" s="423"/>
      <c r="H110" s="423"/>
      <c r="I110" s="423">
        <f>D110</f>
        <v>0</v>
      </c>
      <c r="J110" s="423"/>
      <c r="K110" s="423"/>
      <c r="L110" s="423"/>
      <c r="M110" s="440"/>
      <c r="S110" s="916"/>
      <c r="T110" s="916"/>
      <c r="U110" s="916"/>
      <c r="V110" s="916"/>
      <c r="W110" s="916"/>
      <c r="X110" s="916"/>
      <c r="Y110" s="916"/>
      <c r="Z110" s="916"/>
      <c r="AA110" s="916"/>
      <c r="AB110" s="916"/>
    </row>
    <row r="111" spans="1:28">
      <c r="A111" s="455" t="s">
        <v>505</v>
      </c>
      <c r="C111" s="431" t="s">
        <v>587</v>
      </c>
      <c r="D111" s="432">
        <f>SUM(D108:D110)</f>
        <v>0</v>
      </c>
      <c r="E111" s="433">
        <f t="shared" ref="E111:M111" si="7">SUM(E108:E110)</f>
        <v>0</v>
      </c>
      <c r="F111" s="480">
        <f t="shared" si="7"/>
        <v>0</v>
      </c>
      <c r="G111" s="480">
        <f t="shared" si="7"/>
        <v>0</v>
      </c>
      <c r="H111" s="480">
        <f t="shared" si="7"/>
        <v>0</v>
      </c>
      <c r="I111" s="1407">
        <f t="shared" si="7"/>
        <v>0</v>
      </c>
      <c r="J111" s="1407">
        <f t="shared" si="7"/>
        <v>0</v>
      </c>
      <c r="K111" s="1407">
        <f t="shared" si="7"/>
        <v>0</v>
      </c>
      <c r="L111" s="1407">
        <f t="shared" si="7"/>
        <v>0</v>
      </c>
      <c r="M111" s="1076">
        <f t="shared" si="7"/>
        <v>0</v>
      </c>
      <c r="S111" s="916"/>
      <c r="T111" s="916"/>
      <c r="U111" s="916"/>
      <c r="V111" s="916"/>
      <c r="W111" s="916"/>
      <c r="X111" s="916"/>
      <c r="Y111" s="916"/>
      <c r="Z111" s="916"/>
      <c r="AA111" s="916"/>
      <c r="AB111" s="916"/>
    </row>
    <row r="112" spans="1:28" ht="3.6" customHeight="1">
      <c r="A112" s="758"/>
      <c r="C112" s="482"/>
      <c r="D112" s="482"/>
      <c r="E112" s="447"/>
      <c r="F112" s="447"/>
      <c r="G112" s="447"/>
      <c r="H112" s="447"/>
      <c r="I112" s="447"/>
      <c r="J112" s="447"/>
      <c r="K112" s="447"/>
      <c r="L112" s="447"/>
      <c r="M112" s="447"/>
    </row>
    <row r="113" spans="1:13" ht="12" customHeight="1">
      <c r="A113" s="455">
        <v>2017</v>
      </c>
      <c r="C113" s="436" t="s">
        <v>588</v>
      </c>
      <c r="D113" s="536"/>
      <c r="E113" s="1404"/>
      <c r="F113" s="507"/>
      <c r="G113" s="507"/>
      <c r="H113" s="507"/>
      <c r="I113" s="1085"/>
      <c r="J113" s="1085"/>
      <c r="K113" s="1085"/>
      <c r="L113" s="1085"/>
      <c r="M113" s="1054"/>
    </row>
    <row r="114" spans="1:13" ht="12" customHeight="1">
      <c r="A114" s="455">
        <v>2018</v>
      </c>
      <c r="C114" s="439" t="s">
        <v>589</v>
      </c>
      <c r="D114" s="537"/>
      <c r="E114" s="457"/>
      <c r="F114" s="410"/>
      <c r="G114" s="410"/>
      <c r="H114" s="410"/>
      <c r="I114" s="1062"/>
      <c r="J114" s="1062"/>
      <c r="K114" s="1062"/>
      <c r="L114" s="1062"/>
      <c r="M114" s="1049"/>
    </row>
    <row r="115" spans="1:13" ht="12" customHeight="1">
      <c r="A115" s="455">
        <v>2019</v>
      </c>
      <c r="C115" s="439" t="s">
        <v>590</v>
      </c>
      <c r="D115" s="537"/>
      <c r="E115" s="457"/>
      <c r="F115" s="410"/>
      <c r="G115" s="410"/>
      <c r="H115" s="410"/>
      <c r="I115" s="1059"/>
      <c r="J115" s="1059"/>
      <c r="K115" s="1059"/>
      <c r="L115" s="1059"/>
      <c r="M115" s="1049"/>
    </row>
    <row r="116" spans="1:13" ht="12" customHeight="1">
      <c r="A116" s="455" t="s">
        <v>493</v>
      </c>
      <c r="C116" s="413" t="s">
        <v>591</v>
      </c>
      <c r="D116" s="419"/>
      <c r="E116" s="464"/>
      <c r="F116" s="417"/>
      <c r="G116" s="417"/>
      <c r="H116" s="417"/>
      <c r="I116" s="1060"/>
      <c r="J116" s="1060"/>
      <c r="K116" s="1060"/>
      <c r="L116" s="1060"/>
      <c r="M116" s="1050"/>
    </row>
    <row r="117" spans="1:13" ht="12" customHeight="1">
      <c r="A117" s="455">
        <v>2020</v>
      </c>
      <c r="C117" s="398" t="s">
        <v>592</v>
      </c>
      <c r="D117" s="541"/>
      <c r="E117" s="456"/>
      <c r="F117" s="402"/>
      <c r="G117" s="402"/>
      <c r="H117" s="402"/>
      <c r="I117" s="1058"/>
      <c r="J117" s="1081"/>
      <c r="K117" s="1058"/>
      <c r="L117" s="410"/>
      <c r="M117" s="1049"/>
    </row>
    <row r="118" spans="1:13" ht="12" customHeight="1">
      <c r="A118" s="455">
        <v>2021</v>
      </c>
      <c r="C118" s="406" t="s">
        <v>593</v>
      </c>
      <c r="D118" s="542"/>
      <c r="E118" s="457"/>
      <c r="F118" s="410"/>
      <c r="G118" s="410"/>
      <c r="H118" s="410"/>
      <c r="I118" s="1059"/>
      <c r="J118" s="1053"/>
      <c r="K118" s="1059"/>
      <c r="L118" s="410"/>
      <c r="M118" s="1049"/>
    </row>
    <row r="119" spans="1:13" ht="12" customHeight="1">
      <c r="A119" s="455">
        <v>2022</v>
      </c>
      <c r="C119" s="406" t="s">
        <v>594</v>
      </c>
      <c r="D119" s="542"/>
      <c r="E119" s="457"/>
      <c r="F119" s="410"/>
      <c r="G119" s="410"/>
      <c r="H119" s="410"/>
      <c r="I119" s="1059"/>
      <c r="J119" s="461"/>
      <c r="K119" s="461"/>
      <c r="L119" s="461"/>
      <c r="M119" s="1049"/>
    </row>
    <row r="120" spans="1:13" ht="12" customHeight="1">
      <c r="A120" s="455" t="s">
        <v>498</v>
      </c>
      <c r="C120" s="413" t="s">
        <v>595</v>
      </c>
      <c r="D120" s="419"/>
      <c r="E120" s="464"/>
      <c r="F120" s="417"/>
      <c r="G120" s="417"/>
      <c r="H120" s="417"/>
      <c r="I120" s="417"/>
      <c r="J120" s="417"/>
      <c r="K120" s="417"/>
      <c r="L120" s="417"/>
      <c r="M120" s="1050"/>
    </row>
    <row r="121" spans="1:13" ht="12" customHeight="1">
      <c r="A121" s="455">
        <v>2023</v>
      </c>
      <c r="C121" s="406" t="s">
        <v>596</v>
      </c>
      <c r="D121" s="542"/>
      <c r="E121" s="457"/>
      <c r="F121" s="410"/>
      <c r="G121" s="410"/>
      <c r="H121" s="410"/>
      <c r="I121" s="410"/>
      <c r="J121" s="410"/>
      <c r="K121" s="410"/>
      <c r="L121" s="410"/>
      <c r="M121" s="1049"/>
    </row>
    <row r="122" spans="1:13" ht="12" customHeight="1">
      <c r="A122" s="455">
        <v>2024</v>
      </c>
      <c r="C122" s="406" t="s">
        <v>597</v>
      </c>
      <c r="D122" s="542"/>
      <c r="E122" s="457"/>
      <c r="F122" s="410"/>
      <c r="G122" s="410"/>
      <c r="H122" s="410"/>
      <c r="I122" s="410"/>
      <c r="J122" s="410"/>
      <c r="K122" s="410"/>
      <c r="L122" s="410"/>
      <c r="M122" s="1049"/>
    </row>
    <row r="123" spans="1:13" ht="12" customHeight="1">
      <c r="A123" s="455">
        <v>2025</v>
      </c>
      <c r="C123" s="406" t="s">
        <v>598</v>
      </c>
      <c r="D123" s="542"/>
      <c r="E123" s="457"/>
      <c r="F123" s="410"/>
      <c r="G123" s="410"/>
      <c r="H123" s="410"/>
      <c r="I123" s="410"/>
      <c r="J123" s="410"/>
      <c r="K123" s="410"/>
      <c r="L123" s="410"/>
      <c r="M123" s="1049"/>
    </row>
    <row r="124" spans="1:13" ht="12" customHeight="1">
      <c r="A124" s="455">
        <v>2026</v>
      </c>
      <c r="C124" s="406" t="s">
        <v>599</v>
      </c>
      <c r="D124" s="542"/>
      <c r="E124" s="457"/>
      <c r="F124" s="410"/>
      <c r="G124" s="410"/>
      <c r="H124" s="410"/>
      <c r="I124" s="410"/>
      <c r="J124" s="410"/>
      <c r="K124" s="410"/>
      <c r="L124" s="410"/>
      <c r="M124" s="1049"/>
    </row>
    <row r="125" spans="1:13" ht="12" customHeight="1">
      <c r="A125" s="455">
        <v>2027</v>
      </c>
      <c r="C125" s="406" t="s">
        <v>600</v>
      </c>
      <c r="D125" s="543"/>
      <c r="E125" s="460"/>
      <c r="F125" s="461"/>
      <c r="G125" s="461"/>
      <c r="H125" s="461"/>
      <c r="I125" s="461"/>
      <c r="J125" s="461"/>
      <c r="K125" s="461"/>
      <c r="L125" s="461"/>
      <c r="M125" s="1055"/>
    </row>
    <row r="126" spans="1:13" ht="12" customHeight="1">
      <c r="A126" s="455" t="s">
        <v>505</v>
      </c>
      <c r="C126" s="431" t="s">
        <v>601</v>
      </c>
      <c r="D126" s="500"/>
      <c r="E126" s="494"/>
      <c r="F126" s="494"/>
      <c r="G126" s="494"/>
      <c r="H126" s="494"/>
      <c r="I126" s="494"/>
      <c r="J126" s="494"/>
      <c r="K126" s="494"/>
      <c r="L126" s="494"/>
      <c r="M126" s="1056"/>
    </row>
    <row r="127" spans="1:13" ht="4.1500000000000004" customHeight="1">
      <c r="A127" s="758"/>
      <c r="C127" s="482"/>
      <c r="D127" s="482"/>
      <c r="E127" s="482"/>
      <c r="F127" s="482"/>
      <c r="G127" s="482"/>
      <c r="H127" s="482"/>
      <c r="I127" s="505"/>
      <c r="J127" s="505"/>
      <c r="K127" s="505"/>
      <c r="L127" s="505"/>
      <c r="M127" s="482"/>
    </row>
    <row r="128" spans="1:13" ht="12" customHeight="1">
      <c r="A128" s="455">
        <v>2017</v>
      </c>
      <c r="C128" s="398" t="s">
        <v>602</v>
      </c>
      <c r="D128" s="475">
        <v>0</v>
      </c>
      <c r="E128" s="486">
        <v>0</v>
      </c>
      <c r="F128" s="487">
        <v>0</v>
      </c>
      <c r="G128" s="487">
        <v>0</v>
      </c>
      <c r="H128" s="487">
        <v>0</v>
      </c>
      <c r="I128" s="1064">
        <v>0</v>
      </c>
      <c r="J128" s="1064">
        <v>0</v>
      </c>
      <c r="K128" s="1064">
        <v>0</v>
      </c>
      <c r="L128" s="1064">
        <v>0</v>
      </c>
      <c r="M128" s="1054"/>
    </row>
    <row r="129" spans="1:13" ht="12" customHeight="1">
      <c r="A129" s="455">
        <v>2018</v>
      </c>
      <c r="C129" s="406" t="s">
        <v>603</v>
      </c>
      <c r="D129" s="477">
        <v>0</v>
      </c>
      <c r="E129" s="490">
        <v>0</v>
      </c>
      <c r="F129" s="491">
        <v>0</v>
      </c>
      <c r="G129" s="491">
        <v>0</v>
      </c>
      <c r="H129" s="491">
        <v>0</v>
      </c>
      <c r="I129" s="1065">
        <v>0</v>
      </c>
      <c r="J129" s="1065">
        <v>0</v>
      </c>
      <c r="K129" s="1065">
        <v>0</v>
      </c>
      <c r="L129" s="1065">
        <v>0</v>
      </c>
      <c r="M129" s="1049"/>
    </row>
    <row r="130" spans="1:13" ht="12" customHeight="1">
      <c r="A130" s="455">
        <v>2019</v>
      </c>
      <c r="C130" s="406" t="s">
        <v>604</v>
      </c>
      <c r="D130" s="477">
        <v>0</v>
      </c>
      <c r="E130" s="491">
        <v>0</v>
      </c>
      <c r="F130" s="491">
        <v>0</v>
      </c>
      <c r="G130" s="491">
        <v>0</v>
      </c>
      <c r="H130" s="491">
        <v>0</v>
      </c>
      <c r="I130" s="1065">
        <v>0</v>
      </c>
      <c r="J130" s="1065">
        <v>0</v>
      </c>
      <c r="K130" s="1065">
        <v>0</v>
      </c>
      <c r="L130" s="1065">
        <v>0</v>
      </c>
      <c r="M130" s="1049"/>
    </row>
    <row r="131" spans="1:13" ht="12" customHeight="1">
      <c r="A131" s="455" t="s">
        <v>493</v>
      </c>
      <c r="C131" s="413" t="s">
        <v>605</v>
      </c>
      <c r="D131" s="414">
        <f>SUM(D128:D130)</f>
        <v>0</v>
      </c>
      <c r="E131" s="415">
        <f t="shared" ref="E131:L131" si="8">SUM(E128:E130)</f>
        <v>0</v>
      </c>
      <c r="F131" s="416">
        <f t="shared" si="8"/>
        <v>0</v>
      </c>
      <c r="G131" s="416">
        <f t="shared" si="8"/>
        <v>0</v>
      </c>
      <c r="H131" s="416">
        <f t="shared" si="8"/>
        <v>0</v>
      </c>
      <c r="I131" s="451">
        <f t="shared" si="8"/>
        <v>0</v>
      </c>
      <c r="J131" s="451">
        <f t="shared" si="8"/>
        <v>0</v>
      </c>
      <c r="K131" s="451">
        <f t="shared" si="8"/>
        <v>0</v>
      </c>
      <c r="L131" s="451">
        <f t="shared" si="8"/>
        <v>0</v>
      </c>
      <c r="M131" s="1050"/>
    </row>
    <row r="132" spans="1:13" ht="12" customHeight="1">
      <c r="A132" s="455">
        <v>2020</v>
      </c>
      <c r="C132" s="398" t="s">
        <v>606</v>
      </c>
      <c r="D132" s="452">
        <f>'T2 MET'!C59</f>
        <v>0</v>
      </c>
      <c r="E132" s="420"/>
      <c r="F132" s="401"/>
      <c r="G132" s="421">
        <f>+D132</f>
        <v>0</v>
      </c>
      <c r="H132" s="402"/>
      <c r="I132" s="1058"/>
      <c r="J132" s="1081"/>
      <c r="K132" s="1081"/>
      <c r="L132" s="1081"/>
      <c r="M132" s="1054"/>
    </row>
    <row r="133" spans="1:13" ht="12" customHeight="1">
      <c r="A133" s="455">
        <v>2021</v>
      </c>
      <c r="C133" s="406" t="s">
        <v>607</v>
      </c>
      <c r="D133" s="453">
        <f>'T2 MET'!D59</f>
        <v>0</v>
      </c>
      <c r="E133" s="408"/>
      <c r="F133" s="422"/>
      <c r="G133" s="410"/>
      <c r="H133" s="423">
        <f>+D133</f>
        <v>0</v>
      </c>
      <c r="I133" s="1059"/>
      <c r="J133" s="1053"/>
      <c r="K133" s="1053"/>
      <c r="L133" s="1053"/>
      <c r="M133" s="1049"/>
    </row>
    <row r="134" spans="1:13" ht="12" customHeight="1">
      <c r="A134" s="455">
        <v>2022</v>
      </c>
      <c r="C134" s="406" t="s">
        <v>608</v>
      </c>
      <c r="D134" s="453">
        <f>'T2 MET'!E59</f>
        <v>0</v>
      </c>
      <c r="E134" s="408"/>
      <c r="F134" s="422"/>
      <c r="G134" s="410"/>
      <c r="H134" s="410"/>
      <c r="I134" s="1061">
        <f>+D134</f>
        <v>0</v>
      </c>
      <c r="J134" s="447"/>
      <c r="K134" s="447"/>
      <c r="L134" s="447"/>
      <c r="M134" s="1049"/>
    </row>
    <row r="135" spans="1:13" ht="12" customHeight="1">
      <c r="A135" s="455" t="s">
        <v>498</v>
      </c>
      <c r="C135" s="413" t="s">
        <v>609</v>
      </c>
      <c r="D135" s="414">
        <f>SUM(D132:D134)</f>
        <v>0</v>
      </c>
      <c r="E135" s="1083"/>
      <c r="F135" s="1084"/>
      <c r="G135" s="416">
        <f>SUM(G132:G134)</f>
        <v>0</v>
      </c>
      <c r="H135" s="416">
        <f>SUM(H132:H134)</f>
        <v>0</v>
      </c>
      <c r="I135" s="416">
        <f>SUM(I132:I134)</f>
        <v>0</v>
      </c>
      <c r="J135" s="417"/>
      <c r="K135" s="417"/>
      <c r="L135" s="417"/>
      <c r="M135" s="1050"/>
    </row>
    <row r="136" spans="1:13" ht="12" customHeight="1">
      <c r="A136" s="455">
        <v>2023</v>
      </c>
      <c r="C136" s="406" t="s">
        <v>610</v>
      </c>
      <c r="D136" s="453">
        <f>'T2 MET'!F59</f>
        <v>0</v>
      </c>
      <c r="E136" s="408"/>
      <c r="F136" s="422"/>
      <c r="G136" s="410"/>
      <c r="H136" s="410"/>
      <c r="I136" s="410"/>
      <c r="J136" s="423">
        <f>D136</f>
        <v>0</v>
      </c>
      <c r="K136" s="410"/>
      <c r="L136" s="410"/>
      <c r="M136" s="1049"/>
    </row>
    <row r="137" spans="1:13" ht="12" customHeight="1">
      <c r="A137" s="455">
        <v>2024</v>
      </c>
      <c r="C137" s="406" t="s">
        <v>611</v>
      </c>
      <c r="D137" s="453">
        <f>'T2 MET'!G59</f>
        <v>0</v>
      </c>
      <c r="E137" s="408"/>
      <c r="F137" s="422"/>
      <c r="G137" s="410"/>
      <c r="H137" s="410"/>
      <c r="I137" s="410"/>
      <c r="J137" s="410"/>
      <c r="K137" s="423">
        <f>D137</f>
        <v>0</v>
      </c>
      <c r="L137" s="410"/>
      <c r="M137" s="1049"/>
    </row>
    <row r="138" spans="1:13" ht="12" customHeight="1">
      <c r="A138" s="455">
        <v>2025</v>
      </c>
      <c r="C138" s="406" t="s">
        <v>612</v>
      </c>
      <c r="D138" s="453">
        <f>'T2 MET'!H59</f>
        <v>0</v>
      </c>
      <c r="E138" s="408"/>
      <c r="F138" s="422"/>
      <c r="G138" s="410"/>
      <c r="H138" s="410"/>
      <c r="I138" s="410"/>
      <c r="J138" s="410"/>
      <c r="K138" s="410"/>
      <c r="L138" s="423">
        <f>D138</f>
        <v>0</v>
      </c>
      <c r="M138" s="1049"/>
    </row>
    <row r="139" spans="1:13" ht="12" customHeight="1">
      <c r="A139" s="455">
        <v>2026</v>
      </c>
      <c r="C139" s="406" t="s">
        <v>613</v>
      </c>
      <c r="D139" s="453">
        <f>'T2 MET'!I59</f>
        <v>0</v>
      </c>
      <c r="E139" s="408"/>
      <c r="F139" s="422"/>
      <c r="G139" s="410"/>
      <c r="H139" s="410"/>
      <c r="I139" s="410"/>
      <c r="J139" s="410"/>
      <c r="K139" s="410"/>
      <c r="L139" s="410"/>
      <c r="M139" s="440">
        <f>D139</f>
        <v>0</v>
      </c>
    </row>
    <row r="140" spans="1:13" ht="12" customHeight="1">
      <c r="A140" s="455">
        <v>2027</v>
      </c>
      <c r="C140" s="406" t="s">
        <v>614</v>
      </c>
      <c r="D140" s="454">
        <f>'T2 MET'!J59</f>
        <v>0</v>
      </c>
      <c r="E140" s="428"/>
      <c r="F140" s="429"/>
      <c r="G140" s="429"/>
      <c r="H140" s="429"/>
      <c r="I140" s="429"/>
      <c r="J140" s="429"/>
      <c r="K140" s="429"/>
      <c r="L140" s="429"/>
      <c r="M140" s="1077">
        <f>D140</f>
        <v>0</v>
      </c>
    </row>
    <row r="141" spans="1:13" ht="12" customHeight="1">
      <c r="A141" s="455" t="s">
        <v>505</v>
      </c>
      <c r="C141" s="431" t="s">
        <v>615</v>
      </c>
      <c r="D141" s="432">
        <f>SUM(D136:D140)+D131+D135</f>
        <v>0</v>
      </c>
      <c r="E141" s="480">
        <f t="shared" ref="E141:M141" si="9">SUM(E136:E140)+E131+E135</f>
        <v>0</v>
      </c>
      <c r="F141" s="434">
        <f t="shared" si="9"/>
        <v>0</v>
      </c>
      <c r="G141" s="434">
        <f t="shared" si="9"/>
        <v>0</v>
      </c>
      <c r="H141" s="434">
        <f t="shared" si="9"/>
        <v>0</v>
      </c>
      <c r="I141" s="481">
        <f t="shared" si="9"/>
        <v>0</v>
      </c>
      <c r="J141" s="481">
        <f t="shared" si="9"/>
        <v>0</v>
      </c>
      <c r="K141" s="481">
        <f t="shared" si="9"/>
        <v>0</v>
      </c>
      <c r="L141" s="481">
        <f t="shared" si="9"/>
        <v>0</v>
      </c>
      <c r="M141" s="1076">
        <f t="shared" si="9"/>
        <v>0</v>
      </c>
    </row>
    <row r="142" spans="1:13" ht="4.9000000000000004" customHeight="1">
      <c r="A142" s="758"/>
      <c r="C142" s="482"/>
      <c r="D142" s="482"/>
      <c r="E142" s="447"/>
      <c r="F142" s="447"/>
      <c r="G142" s="447"/>
      <c r="H142" s="447"/>
      <c r="I142" s="447"/>
      <c r="J142" s="447"/>
      <c r="K142" s="447"/>
      <c r="L142" s="447"/>
      <c r="M142" s="447"/>
    </row>
    <row r="143" spans="1:13" ht="12" customHeight="1">
      <c r="A143" s="455">
        <v>2017</v>
      </c>
      <c r="C143" s="398" t="s">
        <v>616</v>
      </c>
      <c r="D143" s="502">
        <v>0</v>
      </c>
      <c r="E143" s="486">
        <v>0</v>
      </c>
      <c r="F143" s="487">
        <v>0</v>
      </c>
      <c r="G143" s="487">
        <v>0</v>
      </c>
      <c r="H143" s="487">
        <v>0</v>
      </c>
      <c r="I143" s="1064">
        <v>0</v>
      </c>
      <c r="J143" s="1064"/>
      <c r="K143" s="1064"/>
      <c r="L143" s="1064"/>
      <c r="M143" s="437">
        <f t="shared" ref="M143:M155" si="10">D143-SUM(E143:I143)</f>
        <v>0</v>
      </c>
    </row>
    <row r="144" spans="1:13" ht="14.25" customHeight="1">
      <c r="A144" s="455">
        <v>2018</v>
      </c>
      <c r="C144" s="406" t="s">
        <v>617</v>
      </c>
      <c r="D144" s="917">
        <v>-3366</v>
      </c>
      <c r="E144" s="490">
        <f>D144</f>
        <v>-3366</v>
      </c>
      <c r="F144" s="491">
        <v>0</v>
      </c>
      <c r="G144" s="491">
        <v>0</v>
      </c>
      <c r="H144" s="491">
        <v>0</v>
      </c>
      <c r="I144" s="1065">
        <v>0</v>
      </c>
      <c r="J144" s="1065"/>
      <c r="K144" s="1065"/>
      <c r="L144" s="1065"/>
      <c r="M144" s="440">
        <f t="shared" si="10"/>
        <v>0</v>
      </c>
    </row>
    <row r="145" spans="1:13" ht="12" customHeight="1">
      <c r="A145" s="455">
        <v>2019</v>
      </c>
      <c r="C145" s="406" t="s">
        <v>618</v>
      </c>
      <c r="D145" s="503">
        <v>-3558.1829458164898</v>
      </c>
      <c r="E145" s="504"/>
      <c r="F145" s="491">
        <f>D145</f>
        <v>-3558.1829458164898</v>
      </c>
      <c r="G145" s="491">
        <v>0</v>
      </c>
      <c r="H145" s="491">
        <v>0</v>
      </c>
      <c r="I145" s="1065">
        <v>0</v>
      </c>
      <c r="J145" s="1065"/>
      <c r="K145" s="1065"/>
      <c r="L145" s="1065"/>
      <c r="M145" s="440">
        <f t="shared" si="10"/>
        <v>0</v>
      </c>
    </row>
    <row r="146" spans="1:13" ht="12" customHeight="1">
      <c r="A146" s="455" t="s">
        <v>493</v>
      </c>
      <c r="C146" s="413" t="s">
        <v>619</v>
      </c>
      <c r="D146" s="414">
        <f t="shared" ref="D146:I146" si="11">SUM(D143:D145)</f>
        <v>-6924.1829458164902</v>
      </c>
      <c r="E146" s="415">
        <f t="shared" si="11"/>
        <v>-3366</v>
      </c>
      <c r="F146" s="416">
        <f t="shared" si="11"/>
        <v>-3558.1829458164898</v>
      </c>
      <c r="G146" s="416">
        <f t="shared" si="11"/>
        <v>0</v>
      </c>
      <c r="H146" s="416">
        <f t="shared" si="11"/>
        <v>0</v>
      </c>
      <c r="I146" s="451">
        <f t="shared" si="11"/>
        <v>0</v>
      </c>
      <c r="J146" s="451"/>
      <c r="K146" s="451"/>
      <c r="L146" s="451"/>
      <c r="M146" s="1051">
        <f>SUM(M143:M145)</f>
        <v>0</v>
      </c>
    </row>
    <row r="147" spans="1:13" ht="12" customHeight="1">
      <c r="A147" s="455">
        <v>2020</v>
      </c>
      <c r="C147" s="398" t="s">
        <v>620</v>
      </c>
      <c r="D147" s="399">
        <f>(E21+E36+E107+E126+E141+E166)*-'T2 MET'!C40</f>
        <v>-2373.0253109101909</v>
      </c>
      <c r="E147" s="506"/>
      <c r="F147" s="507"/>
      <c r="G147" s="487">
        <f>D147</f>
        <v>-2373.0253109101909</v>
      </c>
      <c r="H147" s="507"/>
      <c r="I147" s="507"/>
      <c r="J147" s="507"/>
      <c r="K147" s="507"/>
      <c r="L147" s="507"/>
      <c r="M147" s="437">
        <f>D147-SUM(E147:L147)</f>
        <v>0</v>
      </c>
    </row>
    <row r="148" spans="1:13" ht="12" customHeight="1">
      <c r="A148" s="455">
        <v>2021</v>
      </c>
      <c r="C148" s="406" t="s">
        <v>621</v>
      </c>
      <c r="D148" s="407">
        <f>(F21+F36+F107+F126+F141+F166)*-'T2 MET'!D40</f>
        <v>-2452.1092926615624</v>
      </c>
      <c r="E148" s="508"/>
      <c r="F148" s="509"/>
      <c r="G148" s="509"/>
      <c r="H148" s="491">
        <f>+D148</f>
        <v>-2452.1092926615624</v>
      </c>
      <c r="I148" s="509"/>
      <c r="J148" s="509"/>
      <c r="K148" s="509"/>
      <c r="L148" s="509"/>
      <c r="M148" s="440">
        <f>D148-SUM(E148:L148)</f>
        <v>0</v>
      </c>
    </row>
    <row r="149" spans="1:13" ht="12" customHeight="1">
      <c r="A149" s="455">
        <v>2022</v>
      </c>
      <c r="C149" s="406" t="s">
        <v>622</v>
      </c>
      <c r="D149" s="407">
        <f>(G21+G36+G107+G126+G141+G166)*-'T2 MET'!E40</f>
        <v>0</v>
      </c>
      <c r="E149" s="508"/>
      <c r="F149" s="509"/>
      <c r="G149" s="509"/>
      <c r="H149" s="509"/>
      <c r="I149" s="491">
        <f>D149</f>
        <v>0</v>
      </c>
      <c r="J149" s="509"/>
      <c r="K149" s="509"/>
      <c r="L149" s="509"/>
      <c r="M149" s="440">
        <f>D149-SUM(E149:L149)</f>
        <v>0</v>
      </c>
    </row>
    <row r="150" spans="1:13" ht="12" customHeight="1">
      <c r="A150" s="455" t="s">
        <v>498</v>
      </c>
      <c r="C150" s="413" t="s">
        <v>623</v>
      </c>
      <c r="D150" s="414">
        <f>SUM(D147:D149)</f>
        <v>-4825.1346035717534</v>
      </c>
      <c r="E150" s="1083"/>
      <c r="F150" s="1084"/>
      <c r="G150" s="416">
        <f>SUM(G147:G149)</f>
        <v>-2373.0253109101909</v>
      </c>
      <c r="H150" s="416">
        <f>SUM(H147:H149)</f>
        <v>-2452.1092926615624</v>
      </c>
      <c r="I150" s="416">
        <f>SUM(I147:I149)</f>
        <v>0</v>
      </c>
      <c r="J150" s="417"/>
      <c r="K150" s="417"/>
      <c r="L150" s="417"/>
      <c r="M150" s="1050"/>
    </row>
    <row r="151" spans="1:13" ht="12" customHeight="1">
      <c r="A151" s="455">
        <v>2023</v>
      </c>
      <c r="C151" s="406" t="s">
        <v>624</v>
      </c>
      <c r="D151" s="407">
        <f>(H21+H36+H111+H126+H141+H166)*-'T2 MET'!F40</f>
        <v>0</v>
      </c>
      <c r="E151" s="508"/>
      <c r="F151" s="509"/>
      <c r="G151" s="509"/>
      <c r="H151" s="509"/>
      <c r="I151" s="509"/>
      <c r="J151" s="423">
        <f>D151</f>
        <v>0</v>
      </c>
      <c r="K151" s="410"/>
      <c r="L151" s="410"/>
      <c r="M151" s="1049"/>
    </row>
    <row r="152" spans="1:13" ht="12" customHeight="1">
      <c r="A152" s="455">
        <v>2024</v>
      </c>
      <c r="C152" s="406" t="s">
        <v>625</v>
      </c>
      <c r="D152" s="407">
        <f>(I21+I36+I111+I126+I141+I166)*-'T2 MET'!G40</f>
        <v>0</v>
      </c>
      <c r="E152" s="508"/>
      <c r="F152" s="509"/>
      <c r="G152" s="509"/>
      <c r="H152" s="509"/>
      <c r="I152" s="509"/>
      <c r="J152" s="410"/>
      <c r="K152" s="423">
        <f>D152</f>
        <v>0</v>
      </c>
      <c r="L152" s="410"/>
      <c r="M152" s="1049"/>
    </row>
    <row r="153" spans="1:13" ht="12" customHeight="1">
      <c r="A153" s="455">
        <v>2025</v>
      </c>
      <c r="C153" s="406" t="s">
        <v>626</v>
      </c>
      <c r="D153" s="407">
        <f>(J21+J36+J111+J126+J141+J166)*-'T2 MET'!H40</f>
        <v>0</v>
      </c>
      <c r="E153" s="508"/>
      <c r="F153" s="509"/>
      <c r="G153" s="509"/>
      <c r="H153" s="509"/>
      <c r="I153" s="509"/>
      <c r="J153" s="410"/>
      <c r="K153" s="410"/>
      <c r="L153" s="423">
        <f>D153</f>
        <v>0</v>
      </c>
      <c r="M153" s="1049"/>
    </row>
    <row r="154" spans="1:13" ht="12" customHeight="1">
      <c r="A154" s="455">
        <v>2026</v>
      </c>
      <c r="C154" s="406" t="s">
        <v>627</v>
      </c>
      <c r="D154" s="407">
        <f>(K21+K36+K111+K126+K141+K166)*-'T2 MET'!I40</f>
        <v>0</v>
      </c>
      <c r="E154" s="508"/>
      <c r="F154" s="509"/>
      <c r="G154" s="509"/>
      <c r="H154" s="509"/>
      <c r="I154" s="509"/>
      <c r="J154" s="509"/>
      <c r="K154" s="509"/>
      <c r="L154" s="509"/>
      <c r="M154" s="440">
        <f t="shared" si="10"/>
        <v>0</v>
      </c>
    </row>
    <row r="155" spans="1:13" ht="12" customHeight="1">
      <c r="A155" s="455">
        <v>2027</v>
      </c>
      <c r="C155" s="406" t="s">
        <v>628</v>
      </c>
      <c r="D155" s="407">
        <f>(J21+J36+J111+J126+J141+J166)*-'T2 MET'!L40</f>
        <v>0</v>
      </c>
      <c r="E155" s="508"/>
      <c r="F155" s="509"/>
      <c r="G155" s="509"/>
      <c r="H155" s="509"/>
      <c r="I155" s="509"/>
      <c r="J155" s="509"/>
      <c r="K155" s="509"/>
      <c r="L155" s="509"/>
      <c r="M155" s="440">
        <f t="shared" si="10"/>
        <v>0</v>
      </c>
    </row>
    <row r="156" spans="1:13" ht="12" customHeight="1">
      <c r="A156" s="455" t="s">
        <v>493</v>
      </c>
      <c r="C156" s="413" t="s">
        <v>629</v>
      </c>
      <c r="D156" s="414">
        <f>SUM(D151:D155)+D146+D150</f>
        <v>-11749.317549388245</v>
      </c>
      <c r="E156" s="415">
        <f t="shared" ref="E156:M156" si="12">SUM(E151:E155)+E146+E150</f>
        <v>-3366</v>
      </c>
      <c r="F156" s="416">
        <f t="shared" si="12"/>
        <v>-3558.1829458164898</v>
      </c>
      <c r="G156" s="416">
        <f t="shared" si="12"/>
        <v>-2373.0253109101909</v>
      </c>
      <c r="H156" s="416">
        <f t="shared" si="12"/>
        <v>-2452.1092926615624</v>
      </c>
      <c r="I156" s="451">
        <f t="shared" si="12"/>
        <v>0</v>
      </c>
      <c r="J156" s="451">
        <f t="shared" si="12"/>
        <v>0</v>
      </c>
      <c r="K156" s="451">
        <f t="shared" si="12"/>
        <v>0</v>
      </c>
      <c r="L156" s="451">
        <f t="shared" si="12"/>
        <v>0</v>
      </c>
      <c r="M156" s="1051">
        <f t="shared" si="12"/>
        <v>0</v>
      </c>
    </row>
    <row r="157" spans="1:13" ht="12" customHeight="1">
      <c r="A157" s="455">
        <v>2020</v>
      </c>
      <c r="C157" s="398" t="s">
        <v>630</v>
      </c>
      <c r="D157" s="452">
        <f>'T2 MET'!C46</f>
        <v>18464.92709133905</v>
      </c>
      <c r="E157" s="420"/>
      <c r="F157" s="401"/>
      <c r="G157" s="1036">
        <f>D157</f>
        <v>18464.92709133905</v>
      </c>
      <c r="H157" s="402"/>
      <c r="I157" s="1058"/>
      <c r="J157" s="1081"/>
      <c r="K157" s="1081"/>
      <c r="L157" s="1081"/>
      <c r="M157" s="1054"/>
    </row>
    <row r="158" spans="1:13" ht="12" customHeight="1">
      <c r="A158" s="455">
        <v>2021</v>
      </c>
      <c r="C158" s="406" t="s">
        <v>631</v>
      </c>
      <c r="D158" s="453">
        <f>'T2 MET'!D46</f>
        <v>17556.692917224002</v>
      </c>
      <c r="E158" s="408"/>
      <c r="F158" s="422"/>
      <c r="G158" s="422"/>
      <c r="H158" s="409">
        <f>D158</f>
        <v>17556.692917224002</v>
      </c>
      <c r="I158" s="1062"/>
      <c r="J158" s="1081"/>
      <c r="K158" s="1081"/>
      <c r="L158" s="1081"/>
      <c r="M158" s="1049"/>
    </row>
    <row r="159" spans="1:13" ht="12" customHeight="1">
      <c r="A159" s="455">
        <v>2022</v>
      </c>
      <c r="C159" s="406" t="s">
        <v>632</v>
      </c>
      <c r="D159" s="453">
        <f>'T2 MET'!E46</f>
        <v>0</v>
      </c>
      <c r="E159" s="408"/>
      <c r="F159" s="422"/>
      <c r="G159" s="422"/>
      <c r="H159" s="422"/>
      <c r="I159" s="1069">
        <f>D159</f>
        <v>0</v>
      </c>
      <c r="J159" s="1053"/>
      <c r="K159" s="1053"/>
      <c r="L159" s="1053"/>
      <c r="M159" s="1049"/>
    </row>
    <row r="160" spans="1:13" ht="12" customHeight="1">
      <c r="A160" s="455" t="s">
        <v>498</v>
      </c>
      <c r="C160" s="413" t="s">
        <v>633</v>
      </c>
      <c r="D160" s="414">
        <f>SUM(D157:D159)</f>
        <v>36021.620008563055</v>
      </c>
      <c r="E160" s="1083"/>
      <c r="F160" s="1084"/>
      <c r="G160" s="416">
        <f>SUM(G157:G159)</f>
        <v>18464.92709133905</v>
      </c>
      <c r="H160" s="416">
        <f>SUM(H157:H159)</f>
        <v>17556.692917224002</v>
      </c>
      <c r="I160" s="416">
        <f>SUM(I157:I159)</f>
        <v>0</v>
      </c>
      <c r="J160" s="417"/>
      <c r="K160" s="417"/>
      <c r="L160" s="417"/>
      <c r="M160" s="1050"/>
    </row>
    <row r="161" spans="1:14" ht="12" customHeight="1">
      <c r="A161" s="455">
        <v>2023</v>
      </c>
      <c r="C161" s="406" t="s">
        <v>634</v>
      </c>
      <c r="D161" s="453">
        <f>'T2 MET'!F46</f>
        <v>0</v>
      </c>
      <c r="E161" s="408"/>
      <c r="F161" s="422"/>
      <c r="G161" s="422"/>
      <c r="H161" s="422"/>
      <c r="I161" s="422"/>
      <c r="J161" s="423">
        <f>D161</f>
        <v>0</v>
      </c>
      <c r="K161" s="422"/>
      <c r="L161" s="422"/>
      <c r="M161" s="1049"/>
    </row>
    <row r="162" spans="1:14" ht="12" customHeight="1">
      <c r="A162" s="455">
        <v>2024</v>
      </c>
      <c r="C162" s="406" t="s">
        <v>635</v>
      </c>
      <c r="D162" s="453">
        <f>'T2 MET'!G46</f>
        <v>0</v>
      </c>
      <c r="E162" s="408"/>
      <c r="F162" s="422"/>
      <c r="G162" s="422"/>
      <c r="H162" s="422"/>
      <c r="I162" s="422"/>
      <c r="J162" s="422"/>
      <c r="K162" s="423">
        <f>D162</f>
        <v>0</v>
      </c>
      <c r="L162" s="422"/>
      <c r="M162" s="1049"/>
    </row>
    <row r="163" spans="1:14" ht="12" customHeight="1">
      <c r="A163" s="455">
        <v>2025</v>
      </c>
      <c r="C163" s="406" t="s">
        <v>636</v>
      </c>
      <c r="D163" s="453">
        <f>'T2 MET'!H46</f>
        <v>0</v>
      </c>
      <c r="E163" s="408"/>
      <c r="F163" s="422"/>
      <c r="G163" s="422"/>
      <c r="H163" s="422"/>
      <c r="I163" s="422"/>
      <c r="J163" s="422"/>
      <c r="K163" s="422"/>
      <c r="L163" s="423">
        <f>D163</f>
        <v>0</v>
      </c>
      <c r="M163" s="1049"/>
    </row>
    <row r="164" spans="1:14" ht="12" customHeight="1">
      <c r="A164" s="455">
        <v>2026</v>
      </c>
      <c r="C164" s="406" t="s">
        <v>637</v>
      </c>
      <c r="D164" s="453">
        <f>'T2 MET'!I46</f>
        <v>0</v>
      </c>
      <c r="E164" s="408"/>
      <c r="F164" s="422"/>
      <c r="G164" s="422"/>
      <c r="H164" s="422"/>
      <c r="I164" s="422"/>
      <c r="J164" s="422"/>
      <c r="K164" s="422"/>
      <c r="L164" s="422"/>
      <c r="M164" s="440">
        <f>D164</f>
        <v>0</v>
      </c>
    </row>
    <row r="165" spans="1:14" ht="12" customHeight="1">
      <c r="A165" s="455">
        <v>2027</v>
      </c>
      <c r="C165" s="406" t="s">
        <v>638</v>
      </c>
      <c r="D165" s="454">
        <f>'T2 MET'!J46</f>
        <v>0</v>
      </c>
      <c r="E165" s="428"/>
      <c r="F165" s="429"/>
      <c r="G165" s="429"/>
      <c r="H165" s="429"/>
      <c r="I165" s="429"/>
      <c r="J165" s="429"/>
      <c r="K165" s="429"/>
      <c r="L165" s="429"/>
      <c r="M165" s="1077">
        <f>D165</f>
        <v>0</v>
      </c>
    </row>
    <row r="166" spans="1:14" ht="12" customHeight="1">
      <c r="A166" s="455" t="s">
        <v>505</v>
      </c>
      <c r="C166" s="431" t="s">
        <v>639</v>
      </c>
      <c r="D166" s="432">
        <f>SUM(D161:D165)+D156+D160</f>
        <v>24272.302459174811</v>
      </c>
      <c r="E166" s="480">
        <f t="shared" ref="E166:M166" si="13">SUM(E161:E165)+E156+E160</f>
        <v>-3366</v>
      </c>
      <c r="F166" s="434">
        <f t="shared" si="13"/>
        <v>-3558.1829458164898</v>
      </c>
      <c r="G166" s="434">
        <f t="shared" si="13"/>
        <v>16091.90178042886</v>
      </c>
      <c r="H166" s="434">
        <f t="shared" si="13"/>
        <v>15104.58362456244</v>
      </c>
      <c r="I166" s="434">
        <f t="shared" si="13"/>
        <v>0</v>
      </c>
      <c r="J166" s="434">
        <f t="shared" si="13"/>
        <v>0</v>
      </c>
      <c r="K166" s="434">
        <f t="shared" si="13"/>
        <v>0</v>
      </c>
      <c r="L166" s="434">
        <f t="shared" si="13"/>
        <v>0</v>
      </c>
      <c r="M166" s="1076">
        <f t="shared" si="13"/>
        <v>0</v>
      </c>
    </row>
    <row r="167" spans="1:14" ht="4.1500000000000004" customHeight="1">
      <c r="A167" s="758"/>
    </row>
    <row r="168" spans="1:14" ht="12" customHeight="1">
      <c r="A168" s="455">
        <v>2017</v>
      </c>
      <c r="C168" s="398" t="s">
        <v>640</v>
      </c>
      <c r="D168" s="475">
        <v>0</v>
      </c>
      <c r="E168" s="486">
        <v>0</v>
      </c>
      <c r="F168" s="487">
        <v>0</v>
      </c>
      <c r="G168" s="487">
        <v>0</v>
      </c>
      <c r="H168" s="487">
        <v>0</v>
      </c>
      <c r="I168" s="487">
        <v>0</v>
      </c>
      <c r="J168" s="487"/>
      <c r="K168" s="487"/>
      <c r="L168" s="487"/>
      <c r="M168" s="437">
        <f t="shared" ref="M168:M169" si="14">D168-SUM(E168:I168)</f>
        <v>0</v>
      </c>
    </row>
    <row r="169" spans="1:14" ht="12" customHeight="1">
      <c r="A169" s="455">
        <v>2018</v>
      </c>
      <c r="C169" s="406" t="s">
        <v>641</v>
      </c>
      <c r="D169" s="477">
        <v>0</v>
      </c>
      <c r="E169" s="490">
        <f>+D169</f>
        <v>0</v>
      </c>
      <c r="F169" s="491">
        <v>0</v>
      </c>
      <c r="G169" s="491">
        <v>0</v>
      </c>
      <c r="H169" s="491">
        <v>0</v>
      </c>
      <c r="I169" s="491">
        <v>0</v>
      </c>
      <c r="J169" s="491"/>
      <c r="K169" s="491"/>
      <c r="L169" s="491"/>
      <c r="M169" s="440">
        <f t="shared" si="14"/>
        <v>0</v>
      </c>
    </row>
    <row r="170" spans="1:14" ht="12" customHeight="1">
      <c r="A170" s="455">
        <v>2019</v>
      </c>
      <c r="C170" s="406" t="s">
        <v>642</v>
      </c>
      <c r="D170" s="477"/>
      <c r="E170" s="490">
        <v>0</v>
      </c>
      <c r="F170" s="491">
        <v>0</v>
      </c>
      <c r="G170" s="491">
        <v>0</v>
      </c>
      <c r="H170" s="491">
        <v>0</v>
      </c>
      <c r="I170" s="491">
        <v>0</v>
      </c>
      <c r="J170" s="491"/>
      <c r="K170" s="491"/>
      <c r="L170" s="491"/>
      <c r="M170" s="440">
        <v>0</v>
      </c>
    </row>
    <row r="171" spans="1:14" ht="12" customHeight="1">
      <c r="A171" s="455" t="s">
        <v>493</v>
      </c>
      <c r="C171" s="413" t="s">
        <v>643</v>
      </c>
      <c r="D171" s="414">
        <f>SUM(D168:D170)</f>
        <v>0</v>
      </c>
      <c r="E171" s="415">
        <f t="shared" ref="E171:M171" si="15">SUM(E168:E170)</f>
        <v>0</v>
      </c>
      <c r="F171" s="416">
        <f t="shared" si="15"/>
        <v>0</v>
      </c>
      <c r="G171" s="416">
        <f t="shared" si="15"/>
        <v>0</v>
      </c>
      <c r="H171" s="416">
        <f t="shared" si="15"/>
        <v>0</v>
      </c>
      <c r="I171" s="416">
        <f t="shared" si="15"/>
        <v>0</v>
      </c>
      <c r="J171" s="416"/>
      <c r="K171" s="416"/>
      <c r="L171" s="416"/>
      <c r="M171" s="1051">
        <f t="shared" si="15"/>
        <v>0</v>
      </c>
    </row>
    <row r="172" spans="1:14" s="540" customFormat="1" ht="12" customHeight="1">
      <c r="A172" s="982">
        <v>2020</v>
      </c>
      <c r="B172" s="386"/>
      <c r="C172" s="436" t="s">
        <v>644</v>
      </c>
      <c r="D172" s="452">
        <f>'T2 MET'!C69</f>
        <v>0</v>
      </c>
      <c r="E172" s="486">
        <f>D172</f>
        <v>0</v>
      </c>
      <c r="F172" s="507"/>
      <c r="G172" s="507"/>
      <c r="H172" s="507"/>
      <c r="I172" s="1085"/>
      <c r="J172" s="507"/>
      <c r="K172" s="507"/>
      <c r="L172" s="507"/>
      <c r="M172" s="437">
        <f>D172-SUM(E172:L172)</f>
        <v>0</v>
      </c>
    </row>
    <row r="173" spans="1:14" ht="12" customHeight="1">
      <c r="A173" s="455">
        <v>2021</v>
      </c>
      <c r="C173" s="406" t="s">
        <v>645</v>
      </c>
      <c r="D173" s="453">
        <f>'T2 MET'!G65</f>
        <v>0</v>
      </c>
      <c r="E173" s="508"/>
      <c r="F173" s="491">
        <f>D173</f>
        <v>0</v>
      </c>
      <c r="G173" s="509"/>
      <c r="H173" s="509"/>
      <c r="I173" s="1068"/>
      <c r="J173" s="509"/>
      <c r="K173" s="509"/>
      <c r="L173" s="509"/>
      <c r="M173" s="440">
        <f t="shared" ref="M173:M174" si="16">D173-SUM(E173:L173)</f>
        <v>0</v>
      </c>
      <c r="N173" s="540"/>
    </row>
    <row r="174" spans="1:14" ht="12" customHeight="1">
      <c r="A174" s="455">
        <v>2022</v>
      </c>
      <c r="C174" s="406" t="s">
        <v>646</v>
      </c>
      <c r="D174" s="453">
        <f>'T2 MET'!E69</f>
        <v>0</v>
      </c>
      <c r="E174" s="508"/>
      <c r="F174" s="509"/>
      <c r="G174" s="512">
        <f>D174</f>
        <v>0</v>
      </c>
      <c r="H174" s="1094"/>
      <c r="I174" s="1087"/>
      <c r="J174" s="509"/>
      <c r="K174" s="509"/>
      <c r="L174" s="509"/>
      <c r="M174" s="440">
        <f t="shared" si="16"/>
        <v>0</v>
      </c>
      <c r="N174" s="540"/>
    </row>
    <row r="175" spans="1:14" ht="12" customHeight="1">
      <c r="A175" s="455" t="s">
        <v>498</v>
      </c>
      <c r="C175" s="413" t="s">
        <v>647</v>
      </c>
      <c r="D175" s="414">
        <f t="shared" ref="D175:I175" si="17">SUM(D172:D174)</f>
        <v>0</v>
      </c>
      <c r="E175" s="414">
        <f t="shared" si="17"/>
        <v>0</v>
      </c>
      <c r="F175" s="414">
        <f t="shared" si="17"/>
        <v>0</v>
      </c>
      <c r="G175" s="416">
        <f t="shared" si="17"/>
        <v>0</v>
      </c>
      <c r="H175" s="416">
        <f t="shared" si="17"/>
        <v>0</v>
      </c>
      <c r="I175" s="416">
        <f t="shared" si="17"/>
        <v>0</v>
      </c>
      <c r="J175" s="417"/>
      <c r="K175" s="417"/>
      <c r="L175" s="417"/>
      <c r="M175" s="1050"/>
      <c r="N175" s="540"/>
    </row>
    <row r="176" spans="1:14" ht="12" customHeight="1">
      <c r="A176" s="455">
        <v>2023</v>
      </c>
      <c r="C176" s="406" t="s">
        <v>648</v>
      </c>
      <c r="D176" s="453">
        <f>'T2 MET'!F69</f>
        <v>0</v>
      </c>
      <c r="E176" s="508"/>
      <c r="F176" s="509"/>
      <c r="G176" s="509"/>
      <c r="H176" s="491">
        <f>D176</f>
        <v>0</v>
      </c>
      <c r="I176" s="1068"/>
      <c r="J176" s="509"/>
      <c r="K176" s="509"/>
      <c r="L176" s="509"/>
      <c r="M176" s="440">
        <f t="shared" ref="M176:M180" si="18">D176-SUM(E176:L176)</f>
        <v>0</v>
      </c>
      <c r="N176" s="540"/>
    </row>
    <row r="177" spans="1:14" ht="12" customHeight="1">
      <c r="A177" s="455">
        <v>2024</v>
      </c>
      <c r="C177" s="406" t="s">
        <v>649</v>
      </c>
      <c r="D177" s="453">
        <f>'T2 MET'!G69</f>
        <v>0</v>
      </c>
      <c r="E177" s="508"/>
      <c r="F177" s="509"/>
      <c r="G177" s="509"/>
      <c r="H177" s="509"/>
      <c r="I177" s="1065">
        <f>D177</f>
        <v>0</v>
      </c>
      <c r="J177" s="509"/>
      <c r="K177" s="509"/>
      <c r="L177" s="509"/>
      <c r="M177" s="440">
        <f t="shared" si="18"/>
        <v>0</v>
      </c>
      <c r="N177" s="540"/>
    </row>
    <row r="178" spans="1:14" ht="12" customHeight="1">
      <c r="A178" s="455">
        <v>2025</v>
      </c>
      <c r="C178" s="406" t="s">
        <v>650</v>
      </c>
      <c r="D178" s="453">
        <f>'T2 MET'!H69</f>
        <v>0</v>
      </c>
      <c r="E178" s="508"/>
      <c r="F178" s="509"/>
      <c r="G178" s="509"/>
      <c r="H178" s="509"/>
      <c r="I178" s="1068"/>
      <c r="J178" s="491">
        <f>D178</f>
        <v>0</v>
      </c>
      <c r="K178" s="509"/>
      <c r="L178" s="509"/>
      <c r="M178" s="440">
        <f t="shared" si="18"/>
        <v>0</v>
      </c>
      <c r="N178" s="540"/>
    </row>
    <row r="179" spans="1:14" ht="12" customHeight="1">
      <c r="A179" s="455">
        <v>2026</v>
      </c>
      <c r="C179" s="406" t="s">
        <v>651</v>
      </c>
      <c r="D179" s="453">
        <f>'T2 MET'!I69</f>
        <v>0</v>
      </c>
      <c r="E179" s="508"/>
      <c r="F179" s="509"/>
      <c r="G179" s="509"/>
      <c r="H179" s="509"/>
      <c r="I179" s="1068"/>
      <c r="J179" s="509"/>
      <c r="K179" s="491">
        <f>D179</f>
        <v>0</v>
      </c>
      <c r="L179" s="509"/>
      <c r="M179" s="440">
        <f t="shared" si="18"/>
        <v>0</v>
      </c>
      <c r="N179" s="540"/>
    </row>
    <row r="180" spans="1:14" ht="12" customHeight="1">
      <c r="A180" s="455">
        <v>2027</v>
      </c>
      <c r="C180" s="406" t="s">
        <v>652</v>
      </c>
      <c r="D180" s="453">
        <f>'T2 MET'!J69</f>
        <v>0</v>
      </c>
      <c r="E180" s="513"/>
      <c r="F180" s="514"/>
      <c r="G180" s="514"/>
      <c r="H180" s="514"/>
      <c r="I180" s="1095"/>
      <c r="J180" s="509"/>
      <c r="K180" s="509"/>
      <c r="L180" s="491">
        <f>D180</f>
        <v>0</v>
      </c>
      <c r="M180" s="1077">
        <f t="shared" si="18"/>
        <v>0</v>
      </c>
      <c r="N180" s="540"/>
    </row>
    <row r="181" spans="1:14" ht="12" customHeight="1">
      <c r="A181" s="455" t="s">
        <v>505</v>
      </c>
      <c r="C181" s="431" t="s">
        <v>653</v>
      </c>
      <c r="D181" s="432">
        <f>SUM(D176:D180)+D171+D175</f>
        <v>0</v>
      </c>
      <c r="E181" s="480">
        <f t="shared" ref="E181:M181" si="19">SUM(E176:E180)+E171+E175</f>
        <v>0</v>
      </c>
      <c r="F181" s="434">
        <f t="shared" si="19"/>
        <v>0</v>
      </c>
      <c r="G181" s="434">
        <f t="shared" si="19"/>
        <v>0</v>
      </c>
      <c r="H181" s="434">
        <f t="shared" si="19"/>
        <v>0</v>
      </c>
      <c r="I181" s="434">
        <f t="shared" si="19"/>
        <v>0</v>
      </c>
      <c r="J181" s="434">
        <f t="shared" si="19"/>
        <v>0</v>
      </c>
      <c r="K181" s="434">
        <f t="shared" si="19"/>
        <v>0</v>
      </c>
      <c r="L181" s="434">
        <f t="shared" si="19"/>
        <v>0</v>
      </c>
      <c r="M181" s="1076">
        <f t="shared" si="19"/>
        <v>0</v>
      </c>
      <c r="N181" s="540"/>
    </row>
    <row r="182" spans="1:14" ht="4.1500000000000004" customHeight="1">
      <c r="A182" s="758"/>
    </row>
    <row r="183" spans="1:14" ht="12" customHeight="1">
      <c r="A183" s="455">
        <v>2017</v>
      </c>
      <c r="C183" s="398" t="s">
        <v>654</v>
      </c>
      <c r="D183" s="475">
        <v>0</v>
      </c>
      <c r="E183" s="486">
        <v>0</v>
      </c>
      <c r="F183" s="487">
        <v>0</v>
      </c>
      <c r="G183" s="487">
        <v>0</v>
      </c>
      <c r="H183" s="487">
        <v>0</v>
      </c>
      <c r="I183" s="1064">
        <v>0</v>
      </c>
      <c r="J183" s="1064">
        <v>0</v>
      </c>
      <c r="K183" s="1064">
        <v>0</v>
      </c>
      <c r="L183" s="1064">
        <v>0</v>
      </c>
      <c r="M183" s="437">
        <f>D183-SUM(E183:L183)</f>
        <v>0</v>
      </c>
    </row>
    <row r="184" spans="1:14" ht="12" customHeight="1">
      <c r="A184" s="455">
        <v>2018</v>
      </c>
      <c r="C184" s="406" t="s">
        <v>655</v>
      </c>
      <c r="D184" s="477">
        <v>0</v>
      </c>
      <c r="E184" s="490">
        <v>0</v>
      </c>
      <c r="F184" s="491">
        <v>0</v>
      </c>
      <c r="G184" s="491">
        <v>0</v>
      </c>
      <c r="H184" s="491">
        <v>0</v>
      </c>
      <c r="I184" s="1065">
        <v>0</v>
      </c>
      <c r="J184" s="1065">
        <v>0</v>
      </c>
      <c r="K184" s="1065">
        <v>0</v>
      </c>
      <c r="L184" s="1065">
        <v>0</v>
      </c>
      <c r="M184" s="440">
        <f t="shared" ref="M184:M185" si="20">D184-SUM(E184:L184)</f>
        <v>0</v>
      </c>
    </row>
    <row r="185" spans="1:14" ht="12" customHeight="1">
      <c r="A185" s="455">
        <v>2019</v>
      </c>
      <c r="C185" s="406" t="s">
        <v>656</v>
      </c>
      <c r="D185" s="477"/>
      <c r="E185" s="490">
        <v>0</v>
      </c>
      <c r="F185" s="491">
        <v>0</v>
      </c>
      <c r="G185" s="491">
        <v>0</v>
      </c>
      <c r="H185" s="491">
        <v>0</v>
      </c>
      <c r="I185" s="1065">
        <v>0</v>
      </c>
      <c r="J185" s="1065">
        <v>0</v>
      </c>
      <c r="K185" s="1065">
        <v>0</v>
      </c>
      <c r="L185" s="1065">
        <v>0</v>
      </c>
      <c r="M185" s="440">
        <f t="shared" si="20"/>
        <v>0</v>
      </c>
    </row>
    <row r="186" spans="1:14" ht="12" customHeight="1">
      <c r="A186" s="455" t="s">
        <v>493</v>
      </c>
      <c r="C186" s="413" t="s">
        <v>657</v>
      </c>
      <c r="D186" s="414">
        <f>SUM(D183:D185)</f>
        <v>0</v>
      </c>
      <c r="E186" s="415">
        <f t="shared" ref="E186:M186" si="21">SUM(E183:E185)</f>
        <v>0</v>
      </c>
      <c r="F186" s="416">
        <f t="shared" si="21"/>
        <v>0</v>
      </c>
      <c r="G186" s="416">
        <f t="shared" si="21"/>
        <v>0</v>
      </c>
      <c r="H186" s="416">
        <f t="shared" si="21"/>
        <v>0</v>
      </c>
      <c r="I186" s="416">
        <f t="shared" si="21"/>
        <v>0</v>
      </c>
      <c r="J186" s="416">
        <f t="shared" si="21"/>
        <v>0</v>
      </c>
      <c r="K186" s="416">
        <f t="shared" si="21"/>
        <v>0</v>
      </c>
      <c r="L186" s="416">
        <f t="shared" si="21"/>
        <v>0</v>
      </c>
      <c r="M186" s="1051">
        <f t="shared" si="21"/>
        <v>0</v>
      </c>
    </row>
    <row r="187" spans="1:14" s="516" customFormat="1">
      <c r="A187" s="455">
        <v>2020</v>
      </c>
      <c r="B187" s="386"/>
      <c r="C187" s="398" t="s">
        <v>658</v>
      </c>
      <c r="D187" s="452">
        <f>'T2 MET'!C70</f>
        <v>0</v>
      </c>
      <c r="E187" s="486">
        <v>0</v>
      </c>
      <c r="F187" s="487">
        <v>0</v>
      </c>
      <c r="G187" s="487">
        <v>0</v>
      </c>
      <c r="H187" s="487">
        <v>0</v>
      </c>
      <c r="I187" s="487">
        <v>0</v>
      </c>
      <c r="J187" s="487">
        <v>0</v>
      </c>
      <c r="K187" s="487">
        <v>0</v>
      </c>
      <c r="L187" s="487">
        <v>0</v>
      </c>
      <c r="M187" s="437">
        <f>D187-SUM(E187:L187)</f>
        <v>0</v>
      </c>
    </row>
    <row r="188" spans="1:14" ht="12" customHeight="1">
      <c r="A188" s="455">
        <v>2021</v>
      </c>
      <c r="C188" s="406" t="s">
        <v>659</v>
      </c>
      <c r="D188" s="453">
        <f>'T2 MET'!D70</f>
        <v>0</v>
      </c>
      <c r="E188" s="508"/>
      <c r="F188" s="491">
        <v>0</v>
      </c>
      <c r="G188" s="491">
        <v>0</v>
      </c>
      <c r="H188" s="491">
        <v>0</v>
      </c>
      <c r="I188" s="491">
        <v>0</v>
      </c>
      <c r="J188" s="491">
        <v>0</v>
      </c>
      <c r="K188" s="491">
        <v>0</v>
      </c>
      <c r="L188" s="491">
        <v>0</v>
      </c>
      <c r="M188" s="440">
        <f t="shared" ref="M188:M189" si="22">D188-SUM(E188:L188)</f>
        <v>0</v>
      </c>
    </row>
    <row r="189" spans="1:14" ht="12" customHeight="1">
      <c r="A189" s="455">
        <v>2022</v>
      </c>
      <c r="C189" s="406" t="s">
        <v>660</v>
      </c>
      <c r="D189" s="453">
        <f>'T2 MET'!E70</f>
        <v>0</v>
      </c>
      <c r="E189" s="508"/>
      <c r="F189" s="509"/>
      <c r="G189" s="512">
        <v>0</v>
      </c>
      <c r="H189" s="512">
        <v>0</v>
      </c>
      <c r="I189" s="512">
        <v>0</v>
      </c>
      <c r="J189" s="512">
        <v>0</v>
      </c>
      <c r="K189" s="512">
        <v>0</v>
      </c>
      <c r="L189" s="512">
        <v>0</v>
      </c>
      <c r="M189" s="440">
        <f t="shared" si="22"/>
        <v>0</v>
      </c>
    </row>
    <row r="190" spans="1:14" ht="12" customHeight="1">
      <c r="A190" s="455" t="s">
        <v>498</v>
      </c>
      <c r="C190" s="413" t="s">
        <v>661</v>
      </c>
      <c r="D190" s="414">
        <f t="shared" ref="D190:L190" si="23">SUM(D187:D189)</f>
        <v>0</v>
      </c>
      <c r="E190" s="416">
        <f t="shared" si="23"/>
        <v>0</v>
      </c>
      <c r="F190" s="416">
        <f t="shared" si="23"/>
        <v>0</v>
      </c>
      <c r="G190" s="416">
        <f t="shared" si="23"/>
        <v>0</v>
      </c>
      <c r="H190" s="416">
        <f t="shared" si="23"/>
        <v>0</v>
      </c>
      <c r="I190" s="416">
        <f t="shared" si="23"/>
        <v>0</v>
      </c>
      <c r="J190" s="416">
        <f t="shared" si="23"/>
        <v>0</v>
      </c>
      <c r="K190" s="416">
        <f t="shared" si="23"/>
        <v>0</v>
      </c>
      <c r="L190" s="416">
        <f t="shared" si="23"/>
        <v>0</v>
      </c>
      <c r="M190" s="1051">
        <f t="shared" ref="M190" si="24">SUM(M187:M189)</f>
        <v>0</v>
      </c>
    </row>
    <row r="191" spans="1:14" ht="12" customHeight="1">
      <c r="A191" s="455">
        <v>2023</v>
      </c>
      <c r="C191" s="406" t="s">
        <v>662</v>
      </c>
      <c r="D191" s="453">
        <f>'T2 MET'!F70</f>
        <v>0</v>
      </c>
      <c r="E191" s="508"/>
      <c r="F191" s="509"/>
      <c r="G191" s="509"/>
      <c r="H191" s="512">
        <v>0</v>
      </c>
      <c r="I191" s="512">
        <v>0</v>
      </c>
      <c r="J191" s="1066">
        <v>0</v>
      </c>
      <c r="K191" s="491">
        <v>0</v>
      </c>
      <c r="L191" s="491">
        <v>0</v>
      </c>
      <c r="M191" s="440">
        <f>D191-SUM(E191:L191)</f>
        <v>0</v>
      </c>
    </row>
    <row r="192" spans="1:14" ht="12" customHeight="1">
      <c r="A192" s="455">
        <v>2024</v>
      </c>
      <c r="C192" s="406" t="s">
        <v>663</v>
      </c>
      <c r="D192" s="453">
        <f>'T2 MET'!G70</f>
        <v>0</v>
      </c>
      <c r="E192" s="508"/>
      <c r="F192" s="509"/>
      <c r="G192" s="509"/>
      <c r="H192" s="509"/>
      <c r="I192" s="512">
        <v>0</v>
      </c>
      <c r="J192" s="1066">
        <v>0</v>
      </c>
      <c r="K192" s="491">
        <v>0</v>
      </c>
      <c r="L192" s="491">
        <v>0</v>
      </c>
      <c r="M192" s="440">
        <f t="shared" ref="M192:M195" si="25">D192-SUM(E192:L192)</f>
        <v>0</v>
      </c>
    </row>
    <row r="193" spans="1:13" ht="12" customHeight="1">
      <c r="A193" s="455">
        <v>2025</v>
      </c>
      <c r="C193" s="406" t="s">
        <v>664</v>
      </c>
      <c r="D193" s="453">
        <f>'T2 MET'!H70</f>
        <v>0</v>
      </c>
      <c r="E193" s="508"/>
      <c r="F193" s="509"/>
      <c r="G193" s="509"/>
      <c r="H193" s="509"/>
      <c r="I193" s="509"/>
      <c r="J193" s="512">
        <v>0</v>
      </c>
      <c r="K193" s="491">
        <v>0</v>
      </c>
      <c r="L193" s="491">
        <v>0</v>
      </c>
      <c r="M193" s="440">
        <f t="shared" si="25"/>
        <v>0</v>
      </c>
    </row>
    <row r="194" spans="1:13" ht="12" customHeight="1">
      <c r="A194" s="455">
        <v>2026</v>
      </c>
      <c r="C194" s="406" t="s">
        <v>665</v>
      </c>
      <c r="D194" s="453">
        <f>'T2 MET'!I70</f>
        <v>0</v>
      </c>
      <c r="E194" s="508"/>
      <c r="F194" s="509"/>
      <c r="G194" s="509"/>
      <c r="H194" s="509"/>
      <c r="I194" s="509"/>
      <c r="J194" s="509"/>
      <c r="K194" s="491">
        <v>0</v>
      </c>
      <c r="L194" s="491">
        <v>0</v>
      </c>
      <c r="M194" s="440">
        <f t="shared" si="25"/>
        <v>0</v>
      </c>
    </row>
    <row r="195" spans="1:13" ht="12" customHeight="1">
      <c r="A195" s="455">
        <v>2027</v>
      </c>
      <c r="C195" s="406" t="s">
        <v>666</v>
      </c>
      <c r="D195" s="454">
        <f>'T2 MET'!J70</f>
        <v>0</v>
      </c>
      <c r="E195" s="513"/>
      <c r="F195" s="514"/>
      <c r="G195" s="514"/>
      <c r="H195" s="514"/>
      <c r="I195" s="514"/>
      <c r="J195" s="514"/>
      <c r="K195" s="514"/>
      <c r="L195" s="491">
        <v>0</v>
      </c>
      <c r="M195" s="1077">
        <f t="shared" si="25"/>
        <v>0</v>
      </c>
    </row>
    <row r="196" spans="1:13" ht="12" customHeight="1">
      <c r="A196" s="455" t="s">
        <v>505</v>
      </c>
      <c r="C196" s="431" t="s">
        <v>667</v>
      </c>
      <c r="D196" s="432">
        <f>SUM(D191:D195)+D186+D190</f>
        <v>0</v>
      </c>
      <c r="E196" s="480">
        <f t="shared" ref="E196:M196" si="26">SUM(E191:E195)+E186+E190</f>
        <v>0</v>
      </c>
      <c r="F196" s="434">
        <f t="shared" si="26"/>
        <v>0</v>
      </c>
      <c r="G196" s="434">
        <f t="shared" si="26"/>
        <v>0</v>
      </c>
      <c r="H196" s="434">
        <f t="shared" si="26"/>
        <v>0</v>
      </c>
      <c r="I196" s="434">
        <f t="shared" si="26"/>
        <v>0</v>
      </c>
      <c r="J196" s="434">
        <f t="shared" si="26"/>
        <v>0</v>
      </c>
      <c r="K196" s="434">
        <f t="shared" si="26"/>
        <v>0</v>
      </c>
      <c r="L196" s="434">
        <f t="shared" si="26"/>
        <v>0</v>
      </c>
      <c r="M196" s="1076">
        <f t="shared" si="26"/>
        <v>0</v>
      </c>
    </row>
    <row r="197" spans="1:13" ht="4.1500000000000004" customHeight="1">
      <c r="A197" s="758"/>
    </row>
    <row r="198" spans="1:13" ht="12" customHeight="1">
      <c r="A198" s="455">
        <v>2017</v>
      </c>
      <c r="C198" s="398" t="s">
        <v>668</v>
      </c>
      <c r="D198" s="517">
        <v>0</v>
      </c>
      <c r="E198" s="486">
        <v>0</v>
      </c>
      <c r="F198" s="487">
        <v>0</v>
      </c>
      <c r="G198" s="487">
        <v>0</v>
      </c>
      <c r="H198" s="487">
        <v>0</v>
      </c>
      <c r="I198" s="487">
        <v>0</v>
      </c>
      <c r="J198" s="487"/>
      <c r="K198" s="487"/>
      <c r="L198" s="487"/>
      <c r="M198" s="437">
        <f>D198-SUM(E198:L198)</f>
        <v>0</v>
      </c>
    </row>
    <row r="199" spans="1:13" ht="12" customHeight="1">
      <c r="A199" s="455">
        <v>2018</v>
      </c>
      <c r="C199" s="406" t="s">
        <v>669</v>
      </c>
      <c r="D199" s="518">
        <v>0</v>
      </c>
      <c r="E199" s="490">
        <v>0</v>
      </c>
      <c r="F199" s="491">
        <v>0</v>
      </c>
      <c r="G199" s="491">
        <v>0</v>
      </c>
      <c r="H199" s="491">
        <v>0</v>
      </c>
      <c r="I199" s="491">
        <v>0</v>
      </c>
      <c r="J199" s="491"/>
      <c r="K199" s="491"/>
      <c r="L199" s="491"/>
      <c r="M199" s="440">
        <f t="shared" ref="M199:M200" si="27">D199-SUM(E199:L199)</f>
        <v>0</v>
      </c>
    </row>
    <row r="200" spans="1:13" ht="12" customHeight="1">
      <c r="A200" s="455">
        <v>2019</v>
      </c>
      <c r="C200" s="406" t="s">
        <v>670</v>
      </c>
      <c r="D200" s="407">
        <v>0</v>
      </c>
      <c r="E200" s="490">
        <v>0</v>
      </c>
      <c r="F200" s="491">
        <v>0</v>
      </c>
      <c r="G200" s="491">
        <v>0</v>
      </c>
      <c r="H200" s="491">
        <v>0</v>
      </c>
      <c r="I200" s="491">
        <v>0</v>
      </c>
      <c r="J200" s="491"/>
      <c r="K200" s="491"/>
      <c r="L200" s="491"/>
      <c r="M200" s="440">
        <f t="shared" si="27"/>
        <v>0</v>
      </c>
    </row>
    <row r="201" spans="1:13" ht="12" customHeight="1">
      <c r="A201" s="455" t="s">
        <v>493</v>
      </c>
      <c r="C201" s="413" t="s">
        <v>671</v>
      </c>
      <c r="D201" s="414">
        <f>SUM(D198:D200)</f>
        <v>0</v>
      </c>
      <c r="E201" s="415">
        <f t="shared" ref="E201:M201" si="28">SUM(E198:E200)</f>
        <v>0</v>
      </c>
      <c r="F201" s="416">
        <f t="shared" si="28"/>
        <v>0</v>
      </c>
      <c r="G201" s="416">
        <f t="shared" si="28"/>
        <v>0</v>
      </c>
      <c r="H201" s="416">
        <f t="shared" si="28"/>
        <v>0</v>
      </c>
      <c r="I201" s="416">
        <f t="shared" si="28"/>
        <v>0</v>
      </c>
      <c r="J201" s="416"/>
      <c r="K201" s="416"/>
      <c r="L201" s="416"/>
      <c r="M201" s="1051">
        <f t="shared" si="28"/>
        <v>0</v>
      </c>
    </row>
    <row r="202" spans="1:13" s="986" customFormat="1">
      <c r="A202" s="982">
        <v>2020</v>
      </c>
      <c r="B202" s="540"/>
      <c r="C202" s="436" t="s">
        <v>672</v>
      </c>
      <c r="D202" s="983">
        <f>'T2 MET'!C71</f>
        <v>0</v>
      </c>
      <c r="E202" s="984">
        <f>+D202</f>
        <v>0</v>
      </c>
      <c r="F202" s="985">
        <v>0</v>
      </c>
      <c r="G202" s="985">
        <v>0</v>
      </c>
      <c r="H202" s="985">
        <v>0</v>
      </c>
      <c r="I202" s="985">
        <v>0</v>
      </c>
      <c r="J202" s="985">
        <v>0</v>
      </c>
      <c r="K202" s="985">
        <v>0</v>
      </c>
      <c r="L202" s="985">
        <v>0</v>
      </c>
      <c r="M202" s="437">
        <f>D202-SUM(E202:L202)</f>
        <v>0</v>
      </c>
    </row>
    <row r="203" spans="1:13" ht="12" customHeight="1">
      <c r="A203" s="455">
        <v>2021</v>
      </c>
      <c r="C203" s="406" t="s">
        <v>673</v>
      </c>
      <c r="D203" s="453">
        <f>'T2 MET'!D71</f>
        <v>0</v>
      </c>
      <c r="E203" s="508"/>
      <c r="F203" s="491">
        <f>D203</f>
        <v>0</v>
      </c>
      <c r="G203" s="491">
        <v>0</v>
      </c>
      <c r="H203" s="491">
        <v>0</v>
      </c>
      <c r="I203" s="491">
        <v>0</v>
      </c>
      <c r="J203" s="491">
        <v>0</v>
      </c>
      <c r="K203" s="491">
        <v>0</v>
      </c>
      <c r="L203" s="491">
        <v>0</v>
      </c>
      <c r="M203" s="440">
        <f t="shared" ref="M203:M204" si="29">D203-SUM(E203:L203)</f>
        <v>0</v>
      </c>
    </row>
    <row r="204" spans="1:13" ht="12" customHeight="1">
      <c r="A204" s="455">
        <v>2022</v>
      </c>
      <c r="C204" s="406" t="s">
        <v>674</v>
      </c>
      <c r="D204" s="453">
        <f>'T2 MET'!E71</f>
        <v>0</v>
      </c>
      <c r="E204" s="508"/>
      <c r="F204" s="508"/>
      <c r="G204" s="491">
        <v>0</v>
      </c>
      <c r="H204" s="491">
        <v>0</v>
      </c>
      <c r="I204" s="491">
        <v>0</v>
      </c>
      <c r="J204" s="491">
        <v>0</v>
      </c>
      <c r="K204" s="491">
        <v>0</v>
      </c>
      <c r="L204" s="491">
        <v>0</v>
      </c>
      <c r="M204" s="440">
        <f t="shared" si="29"/>
        <v>0</v>
      </c>
    </row>
    <row r="205" spans="1:13" ht="12" customHeight="1">
      <c r="A205" s="455" t="s">
        <v>498</v>
      </c>
      <c r="C205" s="413" t="s">
        <v>675</v>
      </c>
      <c r="D205" s="414">
        <f t="shared" ref="D205:L205" si="30">SUM(D202:D204)</f>
        <v>0</v>
      </c>
      <c r="E205" s="416">
        <f t="shared" si="30"/>
        <v>0</v>
      </c>
      <c r="F205" s="416">
        <f t="shared" si="30"/>
        <v>0</v>
      </c>
      <c r="G205" s="416">
        <f t="shared" si="30"/>
        <v>0</v>
      </c>
      <c r="H205" s="416">
        <f t="shared" si="30"/>
        <v>0</v>
      </c>
      <c r="I205" s="416">
        <f t="shared" si="30"/>
        <v>0</v>
      </c>
      <c r="J205" s="416">
        <f t="shared" si="30"/>
        <v>0</v>
      </c>
      <c r="K205" s="416">
        <f t="shared" si="30"/>
        <v>0</v>
      </c>
      <c r="L205" s="416">
        <f t="shared" si="30"/>
        <v>0</v>
      </c>
      <c r="M205" s="1051">
        <f t="shared" ref="M205" si="31">SUM(M202:M204)</f>
        <v>0</v>
      </c>
    </row>
    <row r="206" spans="1:13" ht="12" customHeight="1">
      <c r="A206" s="455">
        <v>2023</v>
      </c>
      <c r="C206" s="406" t="s">
        <v>676</v>
      </c>
      <c r="D206" s="453">
        <f>'T2 MET'!F71</f>
        <v>0</v>
      </c>
      <c r="E206" s="508"/>
      <c r="F206" s="509"/>
      <c r="G206" s="509"/>
      <c r="H206" s="491">
        <v>0</v>
      </c>
      <c r="I206" s="491">
        <v>0</v>
      </c>
      <c r="J206" s="491">
        <v>0</v>
      </c>
      <c r="K206" s="491">
        <v>0</v>
      </c>
      <c r="L206" s="491">
        <v>0</v>
      </c>
      <c r="M206" s="440">
        <f>D206-SUM(E206:L206)</f>
        <v>0</v>
      </c>
    </row>
    <row r="207" spans="1:13" ht="12" customHeight="1">
      <c r="A207" s="455">
        <v>2024</v>
      </c>
      <c r="C207" s="406" t="s">
        <v>677</v>
      </c>
      <c r="D207" s="453">
        <f>'T2 MET'!G71</f>
        <v>0</v>
      </c>
      <c r="E207" s="508"/>
      <c r="F207" s="509"/>
      <c r="G207" s="509"/>
      <c r="H207" s="509"/>
      <c r="I207" s="491">
        <v>0</v>
      </c>
      <c r="J207" s="491">
        <v>0</v>
      </c>
      <c r="K207" s="491">
        <v>0</v>
      </c>
      <c r="L207" s="491">
        <v>0</v>
      </c>
      <c r="M207" s="440">
        <f t="shared" ref="M207:M210" si="32">D207-SUM(E207:L207)</f>
        <v>0</v>
      </c>
    </row>
    <row r="208" spans="1:13" ht="12" customHeight="1">
      <c r="A208" s="455">
        <v>2025</v>
      </c>
      <c r="C208" s="406" t="s">
        <v>678</v>
      </c>
      <c r="D208" s="453">
        <f>'T2 MET'!H71</f>
        <v>0</v>
      </c>
      <c r="E208" s="508"/>
      <c r="F208" s="509"/>
      <c r="G208" s="509"/>
      <c r="H208" s="509"/>
      <c r="I208" s="509"/>
      <c r="J208" s="491">
        <v>0</v>
      </c>
      <c r="K208" s="491">
        <v>0</v>
      </c>
      <c r="L208" s="491">
        <v>0</v>
      </c>
      <c r="M208" s="440">
        <f t="shared" si="32"/>
        <v>0</v>
      </c>
    </row>
    <row r="209" spans="1:13" ht="12" customHeight="1">
      <c r="A209" s="455">
        <v>2026</v>
      </c>
      <c r="C209" s="406" t="s">
        <v>679</v>
      </c>
      <c r="D209" s="453">
        <f>'T2 MET'!I71</f>
        <v>0</v>
      </c>
      <c r="E209" s="508"/>
      <c r="F209" s="509"/>
      <c r="G209" s="509"/>
      <c r="H209" s="509"/>
      <c r="I209" s="509"/>
      <c r="J209" s="509"/>
      <c r="K209" s="491">
        <v>0</v>
      </c>
      <c r="L209" s="491">
        <v>0</v>
      </c>
      <c r="M209" s="440">
        <f t="shared" si="32"/>
        <v>0</v>
      </c>
    </row>
    <row r="210" spans="1:13" ht="12" customHeight="1">
      <c r="A210" s="455">
        <v>2027</v>
      </c>
      <c r="C210" s="406" t="s">
        <v>680</v>
      </c>
      <c r="D210" s="454">
        <f>'T2 MET'!J71</f>
        <v>0</v>
      </c>
      <c r="E210" s="513"/>
      <c r="F210" s="514"/>
      <c r="G210" s="514"/>
      <c r="H210" s="514"/>
      <c r="I210" s="514"/>
      <c r="J210" s="514"/>
      <c r="K210" s="514"/>
      <c r="L210" s="522">
        <v>0</v>
      </c>
      <c r="M210" s="1077">
        <f t="shared" si="32"/>
        <v>0</v>
      </c>
    </row>
    <row r="211" spans="1:13" ht="12" customHeight="1">
      <c r="A211" s="455" t="s">
        <v>505</v>
      </c>
      <c r="C211" s="431" t="s">
        <v>681</v>
      </c>
      <c r="D211" s="432">
        <f>SUM(D206:D210)+D201+D205</f>
        <v>0</v>
      </c>
      <c r="E211" s="480">
        <f t="shared" ref="E211:M211" si="33">SUM(E206:E210)+E201+E205</f>
        <v>0</v>
      </c>
      <c r="F211" s="434">
        <f t="shared" si="33"/>
        <v>0</v>
      </c>
      <c r="G211" s="434">
        <f t="shared" si="33"/>
        <v>0</v>
      </c>
      <c r="H211" s="434">
        <f t="shared" si="33"/>
        <v>0</v>
      </c>
      <c r="I211" s="481">
        <f t="shared" si="33"/>
        <v>0</v>
      </c>
      <c r="J211" s="481">
        <f t="shared" si="33"/>
        <v>0</v>
      </c>
      <c r="K211" s="481">
        <f t="shared" si="33"/>
        <v>0</v>
      </c>
      <c r="L211" s="481">
        <f t="shared" si="33"/>
        <v>0</v>
      </c>
      <c r="M211" s="1076">
        <f t="shared" si="33"/>
        <v>0</v>
      </c>
    </row>
    <row r="212" spans="1:13" ht="4.1500000000000004" customHeight="1">
      <c r="A212" s="758"/>
    </row>
    <row r="213" spans="1:13" ht="12" customHeight="1">
      <c r="A213" s="455">
        <v>2017</v>
      </c>
      <c r="C213" s="398" t="s">
        <v>682</v>
      </c>
      <c r="D213" s="404"/>
      <c r="E213" s="456"/>
      <c r="F213" s="402"/>
      <c r="G213" s="402"/>
      <c r="H213" s="402"/>
      <c r="I213" s="1058"/>
      <c r="J213" s="1058"/>
      <c r="K213" s="1058"/>
      <c r="L213" s="1058"/>
      <c r="M213" s="1054"/>
    </row>
    <row r="214" spans="1:13" ht="12" customHeight="1">
      <c r="A214" s="455">
        <v>2018</v>
      </c>
      <c r="C214" s="406" t="s">
        <v>683</v>
      </c>
      <c r="D214" s="412"/>
      <c r="E214" s="457"/>
      <c r="F214" s="410"/>
      <c r="G214" s="410"/>
      <c r="H214" s="410"/>
      <c r="I214" s="1062"/>
      <c r="J214" s="1062"/>
      <c r="K214" s="1062"/>
      <c r="L214" s="1062"/>
      <c r="M214" s="1049"/>
    </row>
    <row r="215" spans="1:13" ht="12" customHeight="1">
      <c r="A215" s="455">
        <v>2019</v>
      </c>
      <c r="C215" s="406" t="s">
        <v>684</v>
      </c>
      <c r="D215" s="412"/>
      <c r="E215" s="457"/>
      <c r="F215" s="410"/>
      <c r="G215" s="410"/>
      <c r="H215" s="410"/>
      <c r="I215" s="1059"/>
      <c r="J215" s="1059"/>
      <c r="K215" s="1059"/>
      <c r="L215" s="1059"/>
      <c r="M215" s="1049"/>
    </row>
    <row r="216" spans="1:13" ht="12" customHeight="1">
      <c r="A216" s="455" t="s">
        <v>493</v>
      </c>
      <c r="C216" s="413" t="s">
        <v>685</v>
      </c>
      <c r="D216" s="419"/>
      <c r="E216" s="464"/>
      <c r="F216" s="417"/>
      <c r="G216" s="417"/>
      <c r="H216" s="417"/>
      <c r="I216" s="1060"/>
      <c r="J216" s="1060"/>
      <c r="K216" s="1060"/>
      <c r="L216" s="1060"/>
      <c r="M216" s="1050"/>
    </row>
    <row r="217" spans="1:13" s="516" customFormat="1">
      <c r="A217" s="455">
        <v>2020</v>
      </c>
      <c r="B217" s="386"/>
      <c r="C217" s="398" t="s">
        <v>686</v>
      </c>
      <c r="D217" s="465"/>
      <c r="E217" s="456"/>
      <c r="F217" s="402"/>
      <c r="G217" s="402"/>
      <c r="H217" s="402"/>
      <c r="I217" s="1058"/>
      <c r="J217" s="1058"/>
      <c r="K217" s="1058"/>
      <c r="L217" s="1058"/>
      <c r="M217" s="1054"/>
    </row>
    <row r="218" spans="1:13" ht="12" customHeight="1">
      <c r="A218" s="455">
        <v>2021</v>
      </c>
      <c r="C218" s="406" t="s">
        <v>687</v>
      </c>
      <c r="D218" s="466"/>
      <c r="E218" s="457"/>
      <c r="F218" s="410"/>
      <c r="G218" s="410"/>
      <c r="H218" s="410"/>
      <c r="I218" s="1062"/>
      <c r="J218" s="1062"/>
      <c r="K218" s="1062"/>
      <c r="L218" s="1062"/>
      <c r="M218" s="1049"/>
    </row>
    <row r="219" spans="1:13" ht="12" customHeight="1">
      <c r="A219" s="455">
        <v>2022</v>
      </c>
      <c r="C219" s="406" t="s">
        <v>688</v>
      </c>
      <c r="D219" s="466"/>
      <c r="E219" s="457"/>
      <c r="F219" s="410"/>
      <c r="G219" s="410"/>
      <c r="H219" s="410"/>
      <c r="I219" s="1062"/>
      <c r="J219" s="1062"/>
      <c r="K219" s="1062"/>
      <c r="L219" s="1062"/>
      <c r="M219" s="1049"/>
    </row>
    <row r="220" spans="1:13" ht="12" customHeight="1">
      <c r="A220" s="455" t="s">
        <v>498</v>
      </c>
      <c r="C220" s="413" t="s">
        <v>689</v>
      </c>
      <c r="D220" s="419"/>
      <c r="E220" s="464"/>
      <c r="F220" s="417"/>
      <c r="G220" s="417"/>
      <c r="H220" s="417"/>
      <c r="I220" s="1060"/>
      <c r="J220" s="1060"/>
      <c r="K220" s="1060"/>
      <c r="L220" s="1060"/>
      <c r="M220" s="1050"/>
    </row>
    <row r="221" spans="1:13" ht="12" customHeight="1">
      <c r="A221" s="455">
        <v>2023</v>
      </c>
      <c r="C221" s="406" t="s">
        <v>690</v>
      </c>
      <c r="D221" s="466"/>
      <c r="E221" s="457"/>
      <c r="F221" s="410"/>
      <c r="G221" s="410"/>
      <c r="H221" s="410"/>
      <c r="I221" s="1062"/>
      <c r="J221" s="1062"/>
      <c r="K221" s="1062"/>
      <c r="L221" s="1062"/>
      <c r="M221" s="1049"/>
    </row>
    <row r="222" spans="1:13" ht="12" customHeight="1">
      <c r="A222" s="455">
        <v>2024</v>
      </c>
      <c r="C222" s="406" t="s">
        <v>691</v>
      </c>
      <c r="D222" s="466"/>
      <c r="E222" s="457"/>
      <c r="F222" s="410"/>
      <c r="G222" s="410"/>
      <c r="H222" s="410"/>
      <c r="I222" s="1062"/>
      <c r="J222" s="1062"/>
      <c r="K222" s="1062"/>
      <c r="L222" s="1062"/>
      <c r="M222" s="1049"/>
    </row>
    <row r="223" spans="1:13" ht="12" customHeight="1">
      <c r="A223" s="455">
        <v>2025</v>
      </c>
      <c r="C223" s="406" t="s">
        <v>692</v>
      </c>
      <c r="D223" s="466"/>
      <c r="E223" s="457"/>
      <c r="F223" s="410"/>
      <c r="G223" s="410"/>
      <c r="H223" s="410"/>
      <c r="I223" s="1059"/>
      <c r="J223" s="1059"/>
      <c r="K223" s="1059"/>
      <c r="L223" s="1059"/>
      <c r="M223" s="1049"/>
    </row>
    <row r="224" spans="1:13" ht="12" customHeight="1">
      <c r="A224" s="455">
        <v>2026</v>
      </c>
      <c r="C224" s="406" t="s">
        <v>693</v>
      </c>
      <c r="D224" s="466"/>
      <c r="E224" s="457"/>
      <c r="F224" s="410"/>
      <c r="G224" s="410"/>
      <c r="H224" s="410"/>
      <c r="I224" s="1059"/>
      <c r="J224" s="1059"/>
      <c r="K224" s="1059"/>
      <c r="L224" s="1059"/>
      <c r="M224" s="1049"/>
    </row>
    <row r="225" spans="1:13" ht="12" customHeight="1">
      <c r="A225" s="455">
        <v>2027</v>
      </c>
      <c r="C225" s="406" t="s">
        <v>694</v>
      </c>
      <c r="D225" s="467"/>
      <c r="E225" s="460"/>
      <c r="F225" s="461"/>
      <c r="G225" s="461"/>
      <c r="H225" s="461"/>
      <c r="I225" s="1070"/>
      <c r="J225" s="1070"/>
      <c r="K225" s="1070"/>
      <c r="L225" s="1070"/>
      <c r="M225" s="1055"/>
    </row>
    <row r="226" spans="1:13" ht="12" customHeight="1">
      <c r="A226" s="455" t="s">
        <v>505</v>
      </c>
      <c r="C226" s="431" t="s">
        <v>695</v>
      </c>
      <c r="D226" s="500"/>
      <c r="E226" s="494"/>
      <c r="F226" s="495"/>
      <c r="G226" s="495"/>
      <c r="H226" s="495"/>
      <c r="I226" s="501"/>
      <c r="J226" s="501"/>
      <c r="K226" s="501"/>
      <c r="L226" s="501"/>
      <c r="M226" s="1056"/>
    </row>
    <row r="227" spans="1:13" ht="4.1500000000000004" customHeight="1">
      <c r="A227" s="758"/>
    </row>
    <row r="228" spans="1:13" ht="12" customHeight="1">
      <c r="A228" s="455">
        <v>2020</v>
      </c>
      <c r="C228" s="469" t="s">
        <v>696</v>
      </c>
      <c r="D228" s="448">
        <f>'T2 MET'!C63</f>
        <v>0</v>
      </c>
      <c r="E228" s="457"/>
      <c r="F228" s="410"/>
      <c r="G228" s="487">
        <f>D228</f>
        <v>0</v>
      </c>
      <c r="H228" s="507"/>
      <c r="I228" s="507"/>
      <c r="J228" s="507"/>
      <c r="K228" s="507"/>
      <c r="L228" s="507"/>
      <c r="M228" s="437">
        <f>D228-SUM(E228:L228)</f>
        <v>0</v>
      </c>
    </row>
    <row r="229" spans="1:13" ht="12" customHeight="1">
      <c r="A229" s="455">
        <v>2021</v>
      </c>
      <c r="C229" s="470" t="s">
        <v>697</v>
      </c>
      <c r="D229" s="449">
        <f>'T2 MET'!D63</f>
        <v>0</v>
      </c>
      <c r="E229" s="457"/>
      <c r="F229" s="410"/>
      <c r="G229" s="410"/>
      <c r="H229" s="423">
        <f>D229</f>
        <v>0</v>
      </c>
      <c r="I229" s="410"/>
      <c r="J229" s="410"/>
      <c r="K229" s="410"/>
      <c r="L229" s="410"/>
      <c r="M229" s="440">
        <f>D229-SUM(E229:L229)</f>
        <v>0</v>
      </c>
    </row>
    <row r="230" spans="1:13" ht="12" customHeight="1">
      <c r="A230" s="455">
        <v>2022</v>
      </c>
      <c r="C230" s="470" t="s">
        <v>698</v>
      </c>
      <c r="D230" s="449">
        <f>'T2 MET'!E63</f>
        <v>0</v>
      </c>
      <c r="E230" s="504"/>
      <c r="F230" s="523"/>
      <c r="G230" s="523"/>
      <c r="H230" s="523"/>
      <c r="I230" s="491">
        <f>D230</f>
        <v>0</v>
      </c>
      <c r="J230" s="523"/>
      <c r="K230" s="523"/>
      <c r="L230" s="523"/>
      <c r="M230" s="440">
        <f>D230-SUM(E230:L230)</f>
        <v>0</v>
      </c>
    </row>
    <row r="231" spans="1:13" ht="12" customHeight="1">
      <c r="A231" s="455" t="s">
        <v>498</v>
      </c>
      <c r="C231" s="413" t="s">
        <v>699</v>
      </c>
      <c r="D231" s="414">
        <f>SUM(D228:D230)</f>
        <v>0</v>
      </c>
      <c r="E231" s="415">
        <f t="shared" ref="E231:I231" si="34">SUM(E228:E230)</f>
        <v>0</v>
      </c>
      <c r="F231" s="416">
        <f t="shared" si="34"/>
        <v>0</v>
      </c>
      <c r="G231" s="416">
        <f t="shared" si="34"/>
        <v>0</v>
      </c>
      <c r="H231" s="416">
        <f t="shared" si="34"/>
        <v>0</v>
      </c>
      <c r="I231" s="451">
        <f t="shared" si="34"/>
        <v>0</v>
      </c>
      <c r="J231" s="1060"/>
      <c r="K231" s="1060"/>
      <c r="L231" s="1060"/>
      <c r="M231" s="1050"/>
    </row>
    <row r="232" spans="1:13" ht="12" customHeight="1">
      <c r="A232" s="455">
        <v>2023</v>
      </c>
      <c r="C232" s="470" t="s">
        <v>700</v>
      </c>
      <c r="D232" s="449">
        <f>'T2 MET'!F63</f>
        <v>0</v>
      </c>
      <c r="E232" s="504"/>
      <c r="F232" s="523"/>
      <c r="G232" s="523"/>
      <c r="H232" s="523"/>
      <c r="I232" s="523"/>
      <c r="J232" s="491"/>
      <c r="K232" s="523"/>
      <c r="L232" s="523"/>
      <c r="M232" s="437">
        <f>D232-SUM(E232:L232)</f>
        <v>0</v>
      </c>
    </row>
    <row r="233" spans="1:13" ht="12" customHeight="1">
      <c r="A233" s="455">
        <v>2024</v>
      </c>
      <c r="C233" s="470" t="s">
        <v>701</v>
      </c>
      <c r="D233" s="449">
        <f>'T2 MET'!G63</f>
        <v>0</v>
      </c>
      <c r="E233" s="504"/>
      <c r="F233" s="523"/>
      <c r="G233" s="523"/>
      <c r="H233" s="523"/>
      <c r="I233" s="523"/>
      <c r="J233" s="523"/>
      <c r="K233" s="491"/>
      <c r="L233" s="523"/>
      <c r="M233" s="440">
        <f>D233-SUM(E233:L233)</f>
        <v>0</v>
      </c>
    </row>
    <row r="234" spans="1:13" ht="12" customHeight="1">
      <c r="A234" s="455">
        <v>2025</v>
      </c>
      <c r="C234" s="470" t="s">
        <v>702</v>
      </c>
      <c r="D234" s="449">
        <f>'T2 MET'!H63</f>
        <v>0</v>
      </c>
      <c r="E234" s="504"/>
      <c r="F234" s="523"/>
      <c r="G234" s="523"/>
      <c r="H234" s="523"/>
      <c r="I234" s="523"/>
      <c r="J234" s="523"/>
      <c r="K234" s="523"/>
      <c r="L234" s="491"/>
      <c r="M234" s="440">
        <f>D234-SUM(E234:L234)</f>
        <v>0</v>
      </c>
    </row>
    <row r="235" spans="1:13" ht="12" customHeight="1">
      <c r="A235" s="455">
        <v>2026</v>
      </c>
      <c r="C235" s="470" t="s">
        <v>703</v>
      </c>
      <c r="D235" s="449">
        <f>'T2 MET'!I63</f>
        <v>0</v>
      </c>
      <c r="E235" s="504"/>
      <c r="F235" s="523"/>
      <c r="G235" s="523"/>
      <c r="H235" s="523"/>
      <c r="I235" s="523"/>
      <c r="J235" s="523"/>
      <c r="K235" s="523"/>
      <c r="L235" s="523"/>
      <c r="M235" s="440">
        <f>D235-SUM(E235:L235)</f>
        <v>0</v>
      </c>
    </row>
    <row r="236" spans="1:13" ht="12" customHeight="1">
      <c r="A236" s="455">
        <v>2027</v>
      </c>
      <c r="C236" s="470" t="s">
        <v>704</v>
      </c>
      <c r="D236" s="450">
        <f>'T2 MET'!J63</f>
        <v>0</v>
      </c>
      <c r="E236" s="524"/>
      <c r="F236" s="525"/>
      <c r="G236" s="525"/>
      <c r="H236" s="525"/>
      <c r="I236" s="525"/>
      <c r="J236" s="525"/>
      <c r="K236" s="525"/>
      <c r="L236" s="525"/>
      <c r="M236" s="1077">
        <f>D236-SUM(E236:L236)</f>
        <v>0</v>
      </c>
    </row>
    <row r="237" spans="1:13" ht="12" customHeight="1">
      <c r="A237" s="455" t="s">
        <v>505</v>
      </c>
      <c r="C237" s="526" t="s">
        <v>705</v>
      </c>
      <c r="D237" s="432">
        <f>SUM(D231:D236)</f>
        <v>0</v>
      </c>
      <c r="E237" s="527">
        <f t="shared" ref="E237:M237" si="35">SUM(E231:E236)</f>
        <v>0</v>
      </c>
      <c r="F237" s="528">
        <f t="shared" si="35"/>
        <v>0</v>
      </c>
      <c r="G237" s="528">
        <f t="shared" si="35"/>
        <v>0</v>
      </c>
      <c r="H237" s="528">
        <f t="shared" si="35"/>
        <v>0</v>
      </c>
      <c r="I237" s="1071">
        <f t="shared" si="35"/>
        <v>0</v>
      </c>
      <c r="J237" s="1071">
        <f t="shared" si="35"/>
        <v>0</v>
      </c>
      <c r="K237" s="1071">
        <f t="shared" si="35"/>
        <v>0</v>
      </c>
      <c r="L237" s="1071">
        <f t="shared" si="35"/>
        <v>0</v>
      </c>
      <c r="M237" s="1076">
        <f t="shared" si="35"/>
        <v>0</v>
      </c>
    </row>
    <row r="238" spans="1:13" ht="3" customHeight="1"/>
    <row r="239" spans="1:13" ht="12" customHeight="1">
      <c r="A239" s="455">
        <v>2020</v>
      </c>
      <c r="C239" s="469" t="s">
        <v>706</v>
      </c>
      <c r="D239" s="541"/>
      <c r="E239" s="456"/>
      <c r="F239" s="402"/>
      <c r="G239" s="402"/>
      <c r="H239" s="402"/>
      <c r="I239" s="1072"/>
      <c r="J239" s="1072"/>
      <c r="K239" s="1072"/>
      <c r="L239" s="1072"/>
      <c r="M239" s="1054"/>
    </row>
    <row r="240" spans="1:13" ht="12" customHeight="1">
      <c r="A240" s="455">
        <v>2021</v>
      </c>
      <c r="C240" s="470" t="s">
        <v>707</v>
      </c>
      <c r="D240" s="542"/>
      <c r="E240" s="457"/>
      <c r="F240" s="410"/>
      <c r="G240" s="410"/>
      <c r="H240" s="410"/>
      <c r="I240" s="1059"/>
      <c r="J240" s="1059"/>
      <c r="K240" s="1059"/>
      <c r="L240" s="1059"/>
      <c r="M240" s="1049"/>
    </row>
    <row r="241" spans="1:13" ht="12" customHeight="1">
      <c r="A241" s="455">
        <v>2022</v>
      </c>
      <c r="C241" s="470" t="s">
        <v>708</v>
      </c>
      <c r="D241" s="542"/>
      <c r="E241" s="457"/>
      <c r="F241" s="410"/>
      <c r="G241" s="410"/>
      <c r="H241" s="410"/>
      <c r="I241" s="1059"/>
      <c r="J241" s="1059"/>
      <c r="K241" s="1059"/>
      <c r="L241" s="1059"/>
      <c r="M241" s="1049"/>
    </row>
    <row r="242" spans="1:13" ht="12" customHeight="1">
      <c r="A242" s="455" t="s">
        <v>498</v>
      </c>
      <c r="C242" s="413" t="s">
        <v>709</v>
      </c>
      <c r="D242" s="1060"/>
      <c r="E242" s="1060"/>
      <c r="F242" s="1060"/>
      <c r="G242" s="1060"/>
      <c r="H242" s="1060"/>
      <c r="I242" s="1060"/>
      <c r="J242" s="1060"/>
      <c r="K242" s="1060"/>
      <c r="L242" s="1060"/>
      <c r="M242" s="1050"/>
    </row>
    <row r="243" spans="1:13" ht="12" customHeight="1">
      <c r="A243" s="455">
        <v>2023</v>
      </c>
      <c r="C243" s="470" t="s">
        <v>710</v>
      </c>
      <c r="D243" s="542"/>
      <c r="E243" s="457"/>
      <c r="F243" s="410"/>
      <c r="G243" s="410"/>
      <c r="H243" s="410"/>
      <c r="I243" s="1059"/>
      <c r="J243" s="1059"/>
      <c r="K243" s="1059"/>
      <c r="L243" s="1059"/>
      <c r="M243" s="1049"/>
    </row>
    <row r="244" spans="1:13" ht="12" customHeight="1">
      <c r="A244" s="455">
        <v>2024</v>
      </c>
      <c r="C244" s="470" t="s">
        <v>711</v>
      </c>
      <c r="D244" s="542"/>
      <c r="E244" s="457"/>
      <c r="F244" s="410"/>
      <c r="G244" s="410"/>
      <c r="H244" s="410"/>
      <c r="I244" s="1059"/>
      <c r="J244" s="1059"/>
      <c r="K244" s="1059"/>
      <c r="L244" s="1059"/>
      <c r="M244" s="1049"/>
    </row>
    <row r="245" spans="1:13" ht="12" customHeight="1">
      <c r="A245" s="455">
        <v>2025</v>
      </c>
      <c r="C245" s="470" t="s">
        <v>712</v>
      </c>
      <c r="D245" s="542"/>
      <c r="E245" s="457"/>
      <c r="F245" s="410"/>
      <c r="G245" s="410"/>
      <c r="H245" s="410"/>
      <c r="I245" s="1059"/>
      <c r="J245" s="1059"/>
      <c r="K245" s="1059"/>
      <c r="L245" s="1059"/>
      <c r="M245" s="1049"/>
    </row>
    <row r="246" spans="1:13" ht="12" customHeight="1">
      <c r="A246" s="455">
        <v>2026</v>
      </c>
      <c r="C246" s="470" t="s">
        <v>713</v>
      </c>
      <c r="D246" s="542"/>
      <c r="E246" s="457"/>
      <c r="F246" s="410"/>
      <c r="G246" s="410"/>
      <c r="H246" s="410"/>
      <c r="I246" s="1059"/>
      <c r="J246" s="1059"/>
      <c r="K246" s="1059"/>
      <c r="L246" s="1059"/>
      <c r="M246" s="1049"/>
    </row>
    <row r="247" spans="1:13" ht="12" customHeight="1">
      <c r="A247" s="455">
        <v>2027</v>
      </c>
      <c r="C247" s="470" t="s">
        <v>714</v>
      </c>
      <c r="D247" s="543"/>
      <c r="E247" s="460"/>
      <c r="F247" s="461"/>
      <c r="G247" s="461"/>
      <c r="H247" s="461"/>
      <c r="I247" s="1070"/>
      <c r="J247" s="1070"/>
      <c r="K247" s="1070"/>
      <c r="L247" s="1070"/>
      <c r="M247" s="1055"/>
    </row>
    <row r="248" spans="1:13" ht="12" customHeight="1">
      <c r="A248" s="455" t="s">
        <v>505</v>
      </c>
      <c r="C248" s="431" t="s">
        <v>715</v>
      </c>
      <c r="D248" s="500"/>
      <c r="E248" s="534"/>
      <c r="F248" s="495"/>
      <c r="G248" s="495"/>
      <c r="H248" s="495"/>
      <c r="I248" s="501"/>
      <c r="J248" s="501"/>
      <c r="K248" s="501"/>
      <c r="L248" s="501"/>
      <c r="M248" s="1056"/>
    </row>
    <row r="249" spans="1:13" ht="4.1500000000000004" customHeight="1">
      <c r="C249" s="472"/>
      <c r="D249" s="472"/>
      <c r="E249" s="472"/>
      <c r="F249" s="473"/>
      <c r="G249" s="472"/>
      <c r="H249" s="472"/>
      <c r="I249" s="472"/>
      <c r="J249" s="472"/>
      <c r="K249" s="472"/>
      <c r="L249" s="472"/>
      <c r="M249" s="472"/>
    </row>
    <row r="250" spans="1:13" ht="3" customHeight="1"/>
    <row r="251" spans="1:13" ht="12" customHeight="1">
      <c r="B251" s="396"/>
      <c r="C251" s="431" t="s">
        <v>716</v>
      </c>
      <c r="D251" s="432">
        <f t="shared" ref="D251:L251" si="36">D21+D36+D47+D58+D69+D80+D91+D102+D107+D126+D141+D166+D181+D196+D211+D226+D237+D248</f>
        <v>22513.5721628998</v>
      </c>
      <c r="E251" s="432">
        <f t="shared" si="36"/>
        <v>-3976</v>
      </c>
      <c r="F251" s="432">
        <f t="shared" si="36"/>
        <v>-4217.126887552794</v>
      </c>
      <c r="G251" s="432">
        <f t="shared" si="36"/>
        <v>15755.052201209783</v>
      </c>
      <c r="H251" s="432">
        <f t="shared" si="36"/>
        <v>14951.512486823925</v>
      </c>
      <c r="I251" s="1073">
        <f t="shared" si="36"/>
        <v>0</v>
      </c>
      <c r="J251" s="1073">
        <f t="shared" si="36"/>
        <v>0</v>
      </c>
      <c r="K251" s="1073">
        <f t="shared" si="36"/>
        <v>0</v>
      </c>
      <c r="L251" s="1073">
        <f t="shared" si="36"/>
        <v>0</v>
      </c>
      <c r="M251" s="1076">
        <f>M21+M36+M47+M58+M69+M80+M91+M102+M107+M126+M141+M166+M181+M196+M211+M226+M237+M248</f>
        <v>0</v>
      </c>
    </row>
    <row r="252" spans="1:13" ht="3" customHeight="1"/>
    <row r="253" spans="1:13" ht="12" customHeight="1">
      <c r="C253" s="1" t="s">
        <v>717</v>
      </c>
      <c r="F253" s="386"/>
    </row>
    <row r="254" spans="1:13" ht="12" customHeight="1">
      <c r="C254" s="1" t="s">
        <v>718</v>
      </c>
      <c r="D254" s="143"/>
      <c r="E254" s="474"/>
      <c r="F254" s="474"/>
      <c r="G254" s="474"/>
      <c r="H254" s="474"/>
      <c r="I254" s="474"/>
      <c r="J254" s="474"/>
      <c r="K254" s="474"/>
      <c r="L254" s="474"/>
      <c r="M254" s="516"/>
    </row>
    <row r="255" spans="1:13">
      <c r="F255" s="386"/>
    </row>
    <row r="256" spans="1:13" ht="12" customHeight="1">
      <c r="F256" s="386"/>
    </row>
    <row r="257" spans="6:6">
      <c r="F257" s="386"/>
    </row>
    <row r="258" spans="6:6">
      <c r="F258" s="386"/>
    </row>
    <row r="259" spans="6:6">
      <c r="F259" s="386"/>
    </row>
    <row r="260" spans="6:6">
      <c r="F260" s="386"/>
    </row>
    <row r="261" spans="6:6">
      <c r="F261" s="386"/>
    </row>
  </sheetData>
  <mergeCells count="1">
    <mergeCell ref="C1:M1"/>
  </mergeCells>
  <pageMargins left="0.7" right="0.7" top="0.75" bottom="0.75" header="0.3" footer="0.3"/>
  <pageSetup paperSize="9" scale="38"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17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ColWidth="12.5703125" defaultRowHeight="15"/>
  <cols>
    <col min="1" max="1" width="12.5703125" style="455" customWidth="1"/>
    <col min="2" max="2" width="2.140625" style="386" customWidth="1"/>
    <col min="3" max="3" width="52.5703125" style="386" customWidth="1"/>
    <col min="4" max="4" width="7.7109375" style="386" customWidth="1"/>
    <col min="5" max="5" width="10" style="386" customWidth="1"/>
    <col min="6" max="6" width="10" style="219" customWidth="1"/>
    <col min="7" max="9" width="10" style="386" customWidth="1"/>
    <col min="10" max="10" width="10.7109375" style="386" customWidth="1"/>
    <col min="11" max="11" width="3.42578125" style="386" customWidth="1"/>
    <col min="12" max="12" width="13.5703125" style="386" customWidth="1"/>
    <col min="13" max="14" width="9" style="386" customWidth="1"/>
    <col min="15" max="15" width="7.7109375" style="386" customWidth="1"/>
    <col min="16" max="16" width="8.42578125" style="386" bestFit="1" customWidth="1"/>
    <col min="17" max="17" width="7.7109375" style="386" customWidth="1"/>
    <col min="18" max="18" width="16.42578125" style="386" customWidth="1"/>
    <col min="19" max="26" width="7.7109375" style="386" customWidth="1"/>
    <col min="27" max="16384" width="12.5703125" style="386"/>
  </cols>
  <sheetData>
    <row r="1" spans="1:25" ht="12" customHeight="1">
      <c r="C1" s="1598" t="s">
        <v>486</v>
      </c>
      <c r="D1" s="1598"/>
      <c r="E1" s="1598"/>
      <c r="F1" s="1598"/>
      <c r="G1" s="1598"/>
      <c r="H1" s="1598"/>
      <c r="I1" s="1598"/>
      <c r="J1" s="1598"/>
      <c r="K1" s="387"/>
      <c r="L1" s="387"/>
      <c r="M1" s="387"/>
      <c r="N1" s="387"/>
      <c r="O1" s="387"/>
      <c r="P1" s="387"/>
      <c r="Q1" s="387"/>
      <c r="R1" s="387"/>
      <c r="S1" s="387"/>
      <c r="T1" s="387"/>
      <c r="U1" s="387"/>
      <c r="V1" s="387"/>
      <c r="W1" s="387"/>
      <c r="X1" s="387"/>
      <c r="Y1" s="387"/>
    </row>
    <row r="2" spans="1:25" ht="12" customHeight="1">
      <c r="C2" s="793" t="s">
        <v>726</v>
      </c>
      <c r="D2" s="388"/>
      <c r="E2" s="388"/>
      <c r="G2" s="388"/>
      <c r="H2" s="388"/>
      <c r="I2" s="388"/>
      <c r="J2" s="388"/>
      <c r="K2" s="388"/>
    </row>
    <row r="3" spans="1:25" ht="12" customHeight="1">
      <c r="C3" s="681" t="str">
        <f>'T2 MET'!A3</f>
        <v>United Kingdom</v>
      </c>
      <c r="D3" s="388"/>
      <c r="E3" s="388"/>
      <c r="G3" s="388"/>
      <c r="H3" s="388"/>
      <c r="I3" s="388"/>
      <c r="J3" s="388"/>
      <c r="K3" s="388"/>
    </row>
    <row r="4" spans="1:25" ht="12" customHeight="1">
      <c r="C4" s="83" t="str">
        <f>'T2 MET'!A4</f>
        <v>Currency : GBP £</v>
      </c>
      <c r="D4" s="388"/>
      <c r="E4" s="388"/>
      <c r="G4" s="388"/>
      <c r="H4" s="388"/>
      <c r="I4" s="388"/>
      <c r="J4" s="388"/>
      <c r="K4" s="388"/>
    </row>
    <row r="5" spans="1:25" ht="12" customHeight="1">
      <c r="C5" s="147" t="str">
        <f>'T2 MET'!A5</f>
        <v>Met Office</v>
      </c>
      <c r="D5" s="388"/>
      <c r="E5" s="390"/>
      <c r="G5" s="390"/>
      <c r="H5" s="388"/>
      <c r="I5" s="388"/>
      <c r="J5" s="388"/>
      <c r="K5" s="388"/>
    </row>
    <row r="6" spans="1:25" ht="12" customHeight="1">
      <c r="C6" s="390"/>
      <c r="D6" s="390"/>
      <c r="E6" s="390"/>
      <c r="F6" s="390"/>
      <c r="G6" s="390"/>
      <c r="H6" s="390"/>
      <c r="I6" s="390"/>
      <c r="J6" s="390"/>
      <c r="K6" s="390"/>
    </row>
    <row r="7" spans="1:25" ht="12" customHeight="1">
      <c r="A7" s="455" t="s">
        <v>487</v>
      </c>
      <c r="C7" s="391" t="s">
        <v>488</v>
      </c>
      <c r="D7" s="392" t="s">
        <v>489</v>
      </c>
      <c r="E7" s="393">
        <v>2020</v>
      </c>
      <c r="F7" s="394">
        <v>2021</v>
      </c>
      <c r="G7" s="394">
        <v>2022</v>
      </c>
      <c r="H7" s="394">
        <v>2023</v>
      </c>
      <c r="I7" s="395">
        <v>2024</v>
      </c>
      <c r="J7" s="391" t="s">
        <v>490</v>
      </c>
      <c r="K7" s="388"/>
    </row>
    <row r="8" spans="1:25" ht="11.45" customHeight="1">
      <c r="C8" s="397"/>
      <c r="D8" s="397"/>
      <c r="E8" s="397"/>
      <c r="F8" s="397"/>
      <c r="G8" s="397"/>
      <c r="H8" s="397"/>
      <c r="I8" s="397"/>
      <c r="J8" s="397"/>
      <c r="K8" s="388"/>
    </row>
    <row r="9" spans="1:25" ht="12" customHeight="1">
      <c r="A9" s="455">
        <v>2018</v>
      </c>
      <c r="C9" s="398" t="s">
        <v>491</v>
      </c>
      <c r="D9" s="502">
        <v>-609.86563758111561</v>
      </c>
      <c r="E9" s="400">
        <v>-610</v>
      </c>
      <c r="F9" s="401"/>
      <c r="G9" s="402"/>
      <c r="H9" s="402"/>
      <c r="I9" s="476"/>
      <c r="J9" s="404"/>
      <c r="L9" s="386" t="s">
        <v>722</v>
      </c>
    </row>
    <row r="10" spans="1:25" ht="12" customHeight="1">
      <c r="A10" s="455">
        <v>2019</v>
      </c>
      <c r="C10" s="406" t="s">
        <v>492</v>
      </c>
      <c r="D10" s="477">
        <v>-658.94394173630394</v>
      </c>
      <c r="E10" s="408"/>
      <c r="F10" s="409">
        <f>D10</f>
        <v>-658.94394173630394</v>
      </c>
      <c r="G10" s="410"/>
      <c r="H10" s="410"/>
      <c r="I10" s="411"/>
      <c r="J10" s="412"/>
      <c r="L10" s="386" t="s">
        <v>723</v>
      </c>
    </row>
    <row r="11" spans="1:25" ht="12" customHeight="1">
      <c r="A11" s="455" t="s">
        <v>493</v>
      </c>
      <c r="C11" s="413" t="s">
        <v>494</v>
      </c>
      <c r="D11" s="414">
        <f>SUM(D9:D10)</f>
        <v>-1268.8095793174195</v>
      </c>
      <c r="E11" s="415">
        <f t="shared" ref="E11:F11" si="0">SUM(E9:E10)</f>
        <v>-610</v>
      </c>
      <c r="F11" s="416">
        <f t="shared" si="0"/>
        <v>-658.94394173630394</v>
      </c>
      <c r="G11" s="417"/>
      <c r="H11" s="417"/>
      <c r="I11" s="418"/>
      <c r="J11" s="419"/>
    </row>
    <row r="12" spans="1:25" ht="12" customHeight="1">
      <c r="A12" s="455">
        <v>2020</v>
      </c>
      <c r="C12" s="398" t="s">
        <v>495</v>
      </c>
      <c r="D12" s="399">
        <f>'T2 MET'!C19</f>
        <v>-336.84957921907642</v>
      </c>
      <c r="E12" s="420"/>
      <c r="F12" s="401"/>
      <c r="G12" s="421">
        <f>D12</f>
        <v>-336.84957921907642</v>
      </c>
      <c r="H12" s="402"/>
      <c r="I12" s="476"/>
      <c r="J12" s="404"/>
    </row>
    <row r="13" spans="1:25" ht="12" customHeight="1">
      <c r="A13" s="455">
        <v>2021</v>
      </c>
      <c r="C13" s="406" t="s">
        <v>496</v>
      </c>
      <c r="D13" s="407">
        <f>'T2 MET'!D19</f>
        <v>-153.07113773851486</v>
      </c>
      <c r="E13" s="408"/>
      <c r="F13" s="422"/>
      <c r="G13" s="410"/>
      <c r="H13" s="423">
        <f>D13</f>
        <v>-153.07113773851486</v>
      </c>
      <c r="I13" s="411"/>
      <c r="J13" s="412"/>
    </row>
    <row r="14" spans="1:25" ht="12" customHeight="1">
      <c r="A14" s="455">
        <v>2022</v>
      </c>
      <c r="C14" s="406" t="s">
        <v>497</v>
      </c>
      <c r="D14" s="407">
        <f>'T2 MET'!E19</f>
        <v>0</v>
      </c>
      <c r="E14" s="408"/>
      <c r="F14" s="422"/>
      <c r="G14" s="410"/>
      <c r="H14" s="410"/>
      <c r="I14" s="530">
        <f>D14</f>
        <v>0</v>
      </c>
      <c r="J14" s="412"/>
    </row>
    <row r="15" spans="1:25" ht="12" customHeight="1">
      <c r="A15" s="455">
        <v>2023</v>
      </c>
      <c r="C15" s="406" t="s">
        <v>500</v>
      </c>
      <c r="D15" s="407">
        <f>'T2 MET'!F19</f>
        <v>0</v>
      </c>
      <c r="E15" s="408"/>
      <c r="F15" s="422"/>
      <c r="G15" s="410"/>
      <c r="H15" s="410"/>
      <c r="I15" s="478"/>
      <c r="J15" s="425">
        <f>D15</f>
        <v>0</v>
      </c>
    </row>
    <row r="16" spans="1:25" ht="12" customHeight="1">
      <c r="A16" s="455">
        <v>2024</v>
      </c>
      <c r="C16" s="426" t="s">
        <v>501</v>
      </c>
      <c r="D16" s="407">
        <f>'T2 MET'!G19</f>
        <v>0</v>
      </c>
      <c r="E16" s="428"/>
      <c r="F16" s="429"/>
      <c r="G16" s="429"/>
      <c r="H16" s="429"/>
      <c r="I16" s="479"/>
      <c r="J16" s="430">
        <f>D16</f>
        <v>0</v>
      </c>
    </row>
    <row r="17" spans="1:10" ht="12" customHeight="1">
      <c r="A17" s="455" t="s">
        <v>505</v>
      </c>
      <c r="C17" s="431" t="s">
        <v>506</v>
      </c>
      <c r="D17" s="432">
        <f>SUM(D11:D16)</f>
        <v>-1758.7302962750107</v>
      </c>
      <c r="E17" s="480">
        <f t="shared" ref="E17:J17" si="1">SUM(E11:E16)</f>
        <v>-610</v>
      </c>
      <c r="F17" s="434">
        <f t="shared" si="1"/>
        <v>-658.94394173630394</v>
      </c>
      <c r="G17" s="434">
        <f t="shared" si="1"/>
        <v>-336.84957921907642</v>
      </c>
      <c r="H17" s="434">
        <f t="shared" si="1"/>
        <v>-153.07113773851486</v>
      </c>
      <c r="I17" s="481">
        <f t="shared" si="1"/>
        <v>0</v>
      </c>
      <c r="J17" s="432">
        <f t="shared" si="1"/>
        <v>0</v>
      </c>
    </row>
    <row r="18" spans="1:10" ht="4.1500000000000004" customHeight="1">
      <c r="A18" s="758"/>
      <c r="C18" s="482"/>
      <c r="D18" s="483"/>
      <c r="E18" s="484"/>
      <c r="F18" s="484"/>
      <c r="G18" s="484"/>
      <c r="H18" s="484"/>
      <c r="I18" s="484"/>
      <c r="J18" s="484"/>
    </row>
    <row r="19" spans="1:10" ht="12.6" customHeight="1">
      <c r="A19" s="455">
        <v>2017</v>
      </c>
      <c r="C19" s="398" t="s">
        <v>507</v>
      </c>
      <c r="D19" s="531"/>
      <c r="E19" s="506"/>
      <c r="F19" s="507"/>
      <c r="G19" s="507"/>
      <c r="H19" s="507"/>
      <c r="I19" s="532"/>
      <c r="J19" s="404"/>
    </row>
    <row r="20" spans="1:10" ht="12" customHeight="1">
      <c r="A20" s="455">
        <v>2018</v>
      </c>
      <c r="C20" s="406" t="s">
        <v>508</v>
      </c>
      <c r="D20" s="533"/>
      <c r="E20" s="508"/>
      <c r="F20" s="509"/>
      <c r="G20" s="509"/>
      <c r="H20" s="509"/>
      <c r="I20" s="510"/>
      <c r="J20" s="412"/>
    </row>
    <row r="21" spans="1:10" ht="12" customHeight="1">
      <c r="A21" s="455">
        <v>2019</v>
      </c>
      <c r="C21" s="426" t="s">
        <v>509</v>
      </c>
      <c r="D21" s="533"/>
      <c r="E21" s="457"/>
      <c r="F21" s="509"/>
      <c r="G21" s="509"/>
      <c r="H21" s="509"/>
      <c r="I21" s="510"/>
      <c r="J21" s="412"/>
    </row>
    <row r="22" spans="1:10" ht="12" customHeight="1">
      <c r="A22" s="455" t="s">
        <v>493</v>
      </c>
      <c r="C22" s="413" t="s">
        <v>510</v>
      </c>
      <c r="D22" s="419"/>
      <c r="E22" s="464"/>
      <c r="F22" s="417"/>
      <c r="G22" s="417"/>
      <c r="H22" s="417"/>
      <c r="I22" s="418"/>
      <c r="J22" s="419"/>
    </row>
    <row r="23" spans="1:10" ht="12" customHeight="1">
      <c r="A23" s="455">
        <v>2020</v>
      </c>
      <c r="C23" s="406" t="s">
        <v>511</v>
      </c>
      <c r="D23" s="404"/>
      <c r="E23" s="456"/>
      <c r="F23" s="402"/>
      <c r="G23" s="402"/>
      <c r="H23" s="402"/>
      <c r="I23" s="476"/>
      <c r="J23" s="404"/>
    </row>
    <row r="24" spans="1:10" ht="12" customHeight="1">
      <c r="A24" s="455">
        <v>2021</v>
      </c>
      <c r="C24" s="406" t="s">
        <v>512</v>
      </c>
      <c r="D24" s="412"/>
      <c r="E24" s="457"/>
      <c r="F24" s="410"/>
      <c r="G24" s="410"/>
      <c r="H24" s="410"/>
      <c r="I24" s="411"/>
      <c r="J24" s="412"/>
    </row>
    <row r="25" spans="1:10" ht="12" customHeight="1">
      <c r="A25" s="455">
        <v>2022</v>
      </c>
      <c r="C25" s="406" t="s">
        <v>513</v>
      </c>
      <c r="D25" s="412"/>
      <c r="E25" s="457"/>
      <c r="F25" s="410"/>
      <c r="G25" s="410"/>
      <c r="H25" s="410"/>
      <c r="I25" s="478"/>
      <c r="J25" s="412"/>
    </row>
    <row r="26" spans="1:10" ht="12" customHeight="1">
      <c r="A26" s="455">
        <v>2023</v>
      </c>
      <c r="C26" s="406" t="s">
        <v>515</v>
      </c>
      <c r="D26" s="412"/>
      <c r="E26" s="457"/>
      <c r="F26" s="410"/>
      <c r="G26" s="410"/>
      <c r="H26" s="410"/>
      <c r="I26" s="478"/>
      <c r="J26" s="412"/>
    </row>
    <row r="27" spans="1:10" ht="12" customHeight="1">
      <c r="A27" s="455">
        <v>2024</v>
      </c>
      <c r="C27" s="426" t="s">
        <v>516</v>
      </c>
      <c r="D27" s="412"/>
      <c r="E27" s="460"/>
      <c r="F27" s="461"/>
      <c r="G27" s="461"/>
      <c r="H27" s="461"/>
      <c r="I27" s="499"/>
      <c r="J27" s="468"/>
    </row>
    <row r="28" spans="1:10" ht="12" customHeight="1">
      <c r="A28" s="455" t="s">
        <v>505</v>
      </c>
      <c r="C28" s="526" t="s">
        <v>520</v>
      </c>
      <c r="D28" s="500"/>
      <c r="E28" s="534"/>
      <c r="F28" s="495"/>
      <c r="G28" s="495"/>
      <c r="H28" s="495"/>
      <c r="I28" s="535"/>
      <c r="J28" s="500"/>
    </row>
    <row r="29" spans="1:10" ht="4.1500000000000004" customHeight="1">
      <c r="A29" s="758"/>
      <c r="C29" s="482"/>
      <c r="D29" s="482"/>
      <c r="E29" s="447"/>
      <c r="F29" s="447"/>
      <c r="G29" s="447"/>
      <c r="H29" s="447"/>
      <c r="I29" s="447"/>
      <c r="J29" s="447"/>
    </row>
    <row r="30" spans="1:10" ht="12" customHeight="1">
      <c r="A30" s="455">
        <v>2020</v>
      </c>
      <c r="C30" s="398" t="s">
        <v>521</v>
      </c>
      <c r="D30" s="443">
        <f>'T2 MET'!C22</f>
        <v>0</v>
      </c>
      <c r="E30" s="420"/>
      <c r="F30" s="401"/>
      <c r="G30" s="487">
        <f>D30</f>
        <v>0</v>
      </c>
      <c r="H30" s="402"/>
      <c r="I30" s="476"/>
      <c r="J30" s="399">
        <f t="shared" ref="J30:J32" si="2">D30-SUM(E30:I30)</f>
        <v>0</v>
      </c>
    </row>
    <row r="31" spans="1:10" ht="12" customHeight="1">
      <c r="A31" s="455">
        <v>2021</v>
      </c>
      <c r="C31" s="406" t="s">
        <v>522</v>
      </c>
      <c r="D31" s="444">
        <f>'T2 MET'!D22</f>
        <v>0</v>
      </c>
      <c r="E31" s="408"/>
      <c r="F31" s="422"/>
      <c r="G31" s="410"/>
      <c r="H31" s="491">
        <f>D31</f>
        <v>0</v>
      </c>
      <c r="I31" s="411"/>
      <c r="J31" s="407">
        <f t="shared" si="2"/>
        <v>0</v>
      </c>
    </row>
    <row r="32" spans="1:10" ht="12" customHeight="1">
      <c r="A32" s="455">
        <v>2022</v>
      </c>
      <c r="C32" s="406" t="s">
        <v>523</v>
      </c>
      <c r="D32" s="444">
        <f>'T2 MET'!E22</f>
        <v>0</v>
      </c>
      <c r="E32" s="408"/>
      <c r="F32" s="422"/>
      <c r="G32" s="410"/>
      <c r="H32" s="410"/>
      <c r="I32" s="493">
        <f>D32</f>
        <v>0</v>
      </c>
      <c r="J32" s="407">
        <f t="shared" si="2"/>
        <v>0</v>
      </c>
    </row>
    <row r="33" spans="1:12" ht="12" customHeight="1">
      <c r="A33" s="455">
        <v>2023</v>
      </c>
      <c r="C33" s="406" t="s">
        <v>525</v>
      </c>
      <c r="D33" s="444">
        <f>'T2 MET'!F22</f>
        <v>0</v>
      </c>
      <c r="E33" s="408"/>
      <c r="F33" s="422"/>
      <c r="G33" s="410"/>
      <c r="H33" s="410"/>
      <c r="I33" s="478"/>
      <c r="J33" s="407">
        <f>D33</f>
        <v>0</v>
      </c>
    </row>
    <row r="34" spans="1:12" ht="12" customHeight="1">
      <c r="A34" s="455">
        <v>2024</v>
      </c>
      <c r="C34" s="426" t="s">
        <v>526</v>
      </c>
      <c r="D34" s="445">
        <f>'T2 MET'!G22</f>
        <v>0</v>
      </c>
      <c r="E34" s="428"/>
      <c r="F34" s="429"/>
      <c r="G34" s="429"/>
      <c r="H34" s="429"/>
      <c r="I34" s="479"/>
      <c r="J34" s="430">
        <f>D34</f>
        <v>0</v>
      </c>
    </row>
    <row r="35" spans="1:12" ht="12" customHeight="1">
      <c r="A35" s="455" t="s">
        <v>505</v>
      </c>
      <c r="C35" s="431" t="s">
        <v>530</v>
      </c>
      <c r="D35" s="432">
        <f>SUM(D30:D34)</f>
        <v>0</v>
      </c>
      <c r="E35" s="494"/>
      <c r="F35" s="495"/>
      <c r="G35" s="434">
        <f t="shared" ref="G35:J35" si="3">SUM(G30:G34)</f>
        <v>0</v>
      </c>
      <c r="H35" s="434">
        <f t="shared" si="3"/>
        <v>0</v>
      </c>
      <c r="I35" s="481">
        <f t="shared" si="3"/>
        <v>0</v>
      </c>
      <c r="J35" s="432">
        <f t="shared" si="3"/>
        <v>0</v>
      </c>
    </row>
    <row r="36" spans="1:12" ht="4.1500000000000004" customHeight="1">
      <c r="A36" s="758"/>
      <c r="C36" s="482"/>
      <c r="D36" s="482"/>
      <c r="E36" s="447"/>
      <c r="F36" s="447"/>
      <c r="G36" s="447"/>
      <c r="H36" s="447"/>
      <c r="I36" s="447"/>
      <c r="J36" s="447"/>
    </row>
    <row r="37" spans="1:12" ht="12" customHeight="1">
      <c r="A37" s="455">
        <v>2020</v>
      </c>
      <c r="C37" s="398" t="s">
        <v>531</v>
      </c>
      <c r="D37" s="496"/>
      <c r="E37" s="420"/>
      <c r="F37" s="401"/>
      <c r="G37" s="402"/>
      <c r="H37" s="402"/>
      <c r="I37" s="476"/>
      <c r="J37" s="404"/>
    </row>
    <row r="38" spans="1:12" ht="12" customHeight="1">
      <c r="A38" s="455">
        <v>2021</v>
      </c>
      <c r="C38" s="406" t="s">
        <v>532</v>
      </c>
      <c r="D38" s="497"/>
      <c r="E38" s="408"/>
      <c r="F38" s="422"/>
      <c r="G38" s="410"/>
      <c r="H38" s="410"/>
      <c r="I38" s="411"/>
      <c r="J38" s="412"/>
    </row>
    <row r="39" spans="1:12" ht="12" customHeight="1">
      <c r="A39" s="455">
        <v>2022</v>
      </c>
      <c r="C39" s="406" t="s">
        <v>533</v>
      </c>
      <c r="D39" s="497"/>
      <c r="E39" s="408"/>
      <c r="F39" s="422"/>
      <c r="G39" s="410"/>
      <c r="H39" s="410"/>
      <c r="I39" s="478"/>
      <c r="J39" s="412"/>
    </row>
    <row r="40" spans="1:12" ht="12" customHeight="1">
      <c r="A40" s="455">
        <v>2023</v>
      </c>
      <c r="C40" s="406" t="s">
        <v>535</v>
      </c>
      <c r="D40" s="497"/>
      <c r="E40" s="408"/>
      <c r="F40" s="422"/>
      <c r="G40" s="410"/>
      <c r="H40" s="410"/>
      <c r="I40" s="478"/>
      <c r="J40" s="412"/>
      <c r="L40" s="222"/>
    </row>
    <row r="41" spans="1:12" ht="12" customHeight="1">
      <c r="A41" s="455">
        <v>2024</v>
      </c>
      <c r="C41" s="426" t="s">
        <v>536</v>
      </c>
      <c r="D41" s="498"/>
      <c r="E41" s="428"/>
      <c r="F41" s="429"/>
      <c r="G41" s="461"/>
      <c r="H41" s="461"/>
      <c r="I41" s="499"/>
      <c r="J41" s="468"/>
    </row>
    <row r="42" spans="1:12" ht="12" customHeight="1">
      <c r="A42" s="455" t="s">
        <v>505</v>
      </c>
      <c r="C42" s="526" t="s">
        <v>727</v>
      </c>
      <c r="D42" s="500"/>
      <c r="E42" s="534"/>
      <c r="F42" s="495"/>
      <c r="G42" s="495"/>
      <c r="H42" s="495"/>
      <c r="I42" s="535"/>
      <c r="J42" s="500"/>
    </row>
    <row r="43" spans="1:12" ht="4.9000000000000004" customHeight="1">
      <c r="A43" s="758"/>
      <c r="C43" s="482"/>
      <c r="D43" s="482"/>
      <c r="E43" s="447"/>
      <c r="F43" s="447"/>
      <c r="G43" s="447"/>
      <c r="H43" s="447"/>
      <c r="I43" s="447"/>
      <c r="J43" s="447"/>
    </row>
    <row r="44" spans="1:12" ht="12" customHeight="1">
      <c r="A44" s="455">
        <v>2020</v>
      </c>
      <c r="C44" s="398" t="s">
        <v>541</v>
      </c>
      <c r="D44" s="496"/>
      <c r="E44" s="420"/>
      <c r="F44" s="401"/>
      <c r="G44" s="402"/>
      <c r="H44" s="402"/>
      <c r="I44" s="476"/>
      <c r="J44" s="404"/>
    </row>
    <row r="45" spans="1:12" ht="12" customHeight="1">
      <c r="A45" s="455">
        <v>2021</v>
      </c>
      <c r="C45" s="406" t="s">
        <v>542</v>
      </c>
      <c r="D45" s="497"/>
      <c r="E45" s="408"/>
      <c r="F45" s="422"/>
      <c r="G45" s="410"/>
      <c r="H45" s="410"/>
      <c r="I45" s="411"/>
      <c r="J45" s="412"/>
      <c r="L45" s="310"/>
    </row>
    <row r="46" spans="1:12" ht="12" customHeight="1">
      <c r="A46" s="455">
        <v>2022</v>
      </c>
      <c r="C46" s="406" t="s">
        <v>543</v>
      </c>
      <c r="D46" s="497"/>
      <c r="E46" s="408"/>
      <c r="F46" s="422"/>
      <c r="G46" s="410"/>
      <c r="H46" s="410"/>
      <c r="I46" s="478"/>
      <c r="J46" s="412"/>
    </row>
    <row r="47" spans="1:12" ht="12" customHeight="1">
      <c r="A47" s="455">
        <v>2023</v>
      </c>
      <c r="C47" s="406" t="s">
        <v>545</v>
      </c>
      <c r="D47" s="497"/>
      <c r="E47" s="408"/>
      <c r="F47" s="422"/>
      <c r="G47" s="410"/>
      <c r="H47" s="410"/>
      <c r="I47" s="478"/>
      <c r="J47" s="412"/>
    </row>
    <row r="48" spans="1:12" ht="12" customHeight="1">
      <c r="A48" s="455">
        <v>2024</v>
      </c>
      <c r="C48" s="426" t="s">
        <v>546</v>
      </c>
      <c r="D48" s="498"/>
      <c r="E48" s="428"/>
      <c r="F48" s="429"/>
      <c r="G48" s="461"/>
      <c r="H48" s="461"/>
      <c r="I48" s="499"/>
      <c r="J48" s="468"/>
    </row>
    <row r="49" spans="1:10" ht="12" customHeight="1">
      <c r="A49" s="455" t="s">
        <v>505</v>
      </c>
      <c r="C49" s="526" t="s">
        <v>728</v>
      </c>
      <c r="D49" s="500"/>
      <c r="E49" s="534"/>
      <c r="F49" s="495"/>
      <c r="G49" s="495"/>
      <c r="H49" s="495"/>
      <c r="I49" s="535"/>
      <c r="J49" s="500"/>
    </row>
    <row r="50" spans="1:10" ht="4.9000000000000004" customHeight="1">
      <c r="A50" s="758"/>
      <c r="C50" s="482"/>
      <c r="D50" s="482"/>
      <c r="E50" s="447"/>
      <c r="F50" s="447"/>
      <c r="G50" s="447"/>
      <c r="H50" s="447"/>
      <c r="I50" s="447"/>
      <c r="J50" s="447"/>
    </row>
    <row r="51" spans="1:10" ht="12" customHeight="1">
      <c r="A51" s="455">
        <v>2020</v>
      </c>
      <c r="C51" s="398" t="s">
        <v>551</v>
      </c>
      <c r="D51" s="443">
        <f>'T2 MET'!C25</f>
        <v>0</v>
      </c>
      <c r="E51" s="420"/>
      <c r="F51" s="401"/>
      <c r="G51" s="487">
        <f>D51</f>
        <v>0</v>
      </c>
      <c r="H51" s="402"/>
      <c r="I51" s="476"/>
      <c r="J51" s="399">
        <f t="shared" ref="J51:J53" si="4">D51-SUM(E51:I51)</f>
        <v>0</v>
      </c>
    </row>
    <row r="52" spans="1:10" ht="12" customHeight="1">
      <c r="A52" s="455">
        <v>2021</v>
      </c>
      <c r="C52" s="406" t="s">
        <v>552</v>
      </c>
      <c r="D52" s="444">
        <f>'T2 MET'!D25</f>
        <v>0</v>
      </c>
      <c r="E52" s="408"/>
      <c r="F52" s="422"/>
      <c r="G52" s="410"/>
      <c r="H52" s="491">
        <f>D52</f>
        <v>0</v>
      </c>
      <c r="I52" s="411"/>
      <c r="J52" s="407">
        <f t="shared" si="4"/>
        <v>0</v>
      </c>
    </row>
    <row r="53" spans="1:10" ht="12" customHeight="1">
      <c r="A53" s="455">
        <v>2022</v>
      </c>
      <c r="C53" s="406" t="s">
        <v>553</v>
      </c>
      <c r="D53" s="444">
        <f>'T2 MET'!E25</f>
        <v>0</v>
      </c>
      <c r="E53" s="408"/>
      <c r="F53" s="422"/>
      <c r="G53" s="410"/>
      <c r="H53" s="410"/>
      <c r="I53" s="493">
        <f>D53</f>
        <v>0</v>
      </c>
      <c r="J53" s="407">
        <f t="shared" si="4"/>
        <v>0</v>
      </c>
    </row>
    <row r="54" spans="1:10" ht="12" customHeight="1">
      <c r="A54" s="455">
        <v>2023</v>
      </c>
      <c r="C54" s="406" t="s">
        <v>555</v>
      </c>
      <c r="D54" s="444">
        <f>'T2 MET'!F25</f>
        <v>0</v>
      </c>
      <c r="E54" s="408"/>
      <c r="F54" s="422"/>
      <c r="G54" s="410"/>
      <c r="H54" s="410"/>
      <c r="I54" s="478"/>
      <c r="J54" s="407">
        <f>D54</f>
        <v>0</v>
      </c>
    </row>
    <row r="55" spans="1:10" ht="12" customHeight="1">
      <c r="A55" s="455">
        <v>2024</v>
      </c>
      <c r="C55" s="426" t="s">
        <v>556</v>
      </c>
      <c r="D55" s="445">
        <f>'T2 MET'!G25</f>
        <v>0</v>
      </c>
      <c r="E55" s="428"/>
      <c r="F55" s="429"/>
      <c r="G55" s="429"/>
      <c r="H55" s="429"/>
      <c r="I55" s="479"/>
      <c r="J55" s="427">
        <f>D55</f>
        <v>0</v>
      </c>
    </row>
    <row r="56" spans="1:10" ht="12" customHeight="1">
      <c r="A56" s="455" t="s">
        <v>505</v>
      </c>
      <c r="C56" s="431" t="s">
        <v>560</v>
      </c>
      <c r="D56" s="432">
        <f t="shared" ref="D56:J56" si="5">SUM(D51:D55)</f>
        <v>0</v>
      </c>
      <c r="E56" s="494"/>
      <c r="F56" s="495"/>
      <c r="G56" s="434">
        <f t="shared" si="5"/>
        <v>0</v>
      </c>
      <c r="H56" s="434">
        <f t="shared" si="5"/>
        <v>0</v>
      </c>
      <c r="I56" s="481">
        <f t="shared" si="5"/>
        <v>0</v>
      </c>
      <c r="J56" s="432">
        <f t="shared" si="5"/>
        <v>0</v>
      </c>
    </row>
    <row r="57" spans="1:10" ht="3.6" customHeight="1">
      <c r="A57" s="758"/>
      <c r="C57" s="482"/>
      <c r="D57" s="482"/>
      <c r="E57" s="447"/>
      <c r="F57" s="447"/>
      <c r="G57" s="447"/>
      <c r="H57" s="447"/>
      <c r="I57" s="447"/>
      <c r="J57" s="447"/>
    </row>
    <row r="58" spans="1:10" ht="12" customHeight="1">
      <c r="A58" s="455">
        <v>2020</v>
      </c>
      <c r="C58" s="398" t="s">
        <v>561</v>
      </c>
      <c r="D58" s="443">
        <f>'T2 MET'!C26</f>
        <v>0</v>
      </c>
      <c r="E58" s="420"/>
      <c r="F58" s="401"/>
      <c r="G58" s="487">
        <f>D58</f>
        <v>0</v>
      </c>
      <c r="H58" s="402"/>
      <c r="I58" s="476"/>
      <c r="J58" s="399">
        <f t="shared" ref="J58:J60" si="6">D58-SUM(E58:I58)</f>
        <v>0</v>
      </c>
    </row>
    <row r="59" spans="1:10" ht="12" customHeight="1">
      <c r="A59" s="455">
        <v>2021</v>
      </c>
      <c r="C59" s="406" t="s">
        <v>562</v>
      </c>
      <c r="D59" s="444">
        <f>'T2 MET'!D26</f>
        <v>0</v>
      </c>
      <c r="E59" s="408"/>
      <c r="F59" s="422"/>
      <c r="G59" s="410"/>
      <c r="H59" s="491">
        <f>D59</f>
        <v>0</v>
      </c>
      <c r="I59" s="411"/>
      <c r="J59" s="407">
        <f t="shared" si="6"/>
        <v>0</v>
      </c>
    </row>
    <row r="60" spans="1:10" ht="12" customHeight="1">
      <c r="A60" s="455">
        <v>2022</v>
      </c>
      <c r="C60" s="406" t="s">
        <v>563</v>
      </c>
      <c r="D60" s="444">
        <f>'T2 MET'!E26</f>
        <v>0</v>
      </c>
      <c r="E60" s="408"/>
      <c r="F60" s="422"/>
      <c r="G60" s="410"/>
      <c r="H60" s="410"/>
      <c r="I60" s="493">
        <f>D60</f>
        <v>0</v>
      </c>
      <c r="J60" s="407">
        <f t="shared" si="6"/>
        <v>0</v>
      </c>
    </row>
    <row r="61" spans="1:10" ht="12" customHeight="1">
      <c r="A61" s="455">
        <v>2023</v>
      </c>
      <c r="C61" s="406" t="s">
        <v>565</v>
      </c>
      <c r="D61" s="444">
        <f>'T2 MET'!F26</f>
        <v>0</v>
      </c>
      <c r="E61" s="408"/>
      <c r="F61" s="422"/>
      <c r="G61" s="410"/>
      <c r="H61" s="410"/>
      <c r="I61" s="478"/>
      <c r="J61" s="407">
        <f>D61</f>
        <v>0</v>
      </c>
    </row>
    <row r="62" spans="1:10" ht="12" customHeight="1">
      <c r="A62" s="455">
        <v>2024</v>
      </c>
      <c r="C62" s="426" t="s">
        <v>566</v>
      </c>
      <c r="D62" s="445">
        <f>'T2 MET'!G26</f>
        <v>0</v>
      </c>
      <c r="E62" s="428"/>
      <c r="F62" s="429"/>
      <c r="G62" s="429"/>
      <c r="H62" s="429"/>
      <c r="I62" s="479"/>
      <c r="J62" s="427">
        <f>D62</f>
        <v>0</v>
      </c>
    </row>
    <row r="63" spans="1:10" ht="12" customHeight="1">
      <c r="A63" s="455" t="s">
        <v>505</v>
      </c>
      <c r="C63" s="431" t="s">
        <v>570</v>
      </c>
      <c r="D63" s="432">
        <f t="shared" ref="D63:J63" si="7">SUM(D58:D62)</f>
        <v>0</v>
      </c>
      <c r="E63" s="494"/>
      <c r="F63" s="495"/>
      <c r="G63" s="434">
        <f t="shared" si="7"/>
        <v>0</v>
      </c>
      <c r="H63" s="434">
        <f t="shared" si="7"/>
        <v>0</v>
      </c>
      <c r="I63" s="481">
        <f t="shared" si="7"/>
        <v>0</v>
      </c>
      <c r="J63" s="432">
        <f t="shared" si="7"/>
        <v>0</v>
      </c>
    </row>
    <row r="64" spans="1:10" ht="3.6" customHeight="1">
      <c r="A64" s="758"/>
      <c r="C64" s="482"/>
      <c r="D64" s="482"/>
      <c r="E64" s="447"/>
      <c r="F64" s="447"/>
      <c r="G64" s="447"/>
      <c r="H64" s="447"/>
      <c r="I64" s="447"/>
      <c r="J64" s="447"/>
    </row>
    <row r="65" spans="1:10" ht="12" customHeight="1">
      <c r="A65" s="455">
        <v>2020</v>
      </c>
      <c r="C65" s="398" t="s">
        <v>571</v>
      </c>
      <c r="D65" s="443">
        <f>'T2 MET'!C27</f>
        <v>0</v>
      </c>
      <c r="E65" s="420"/>
      <c r="F65" s="401"/>
      <c r="G65" s="487">
        <f>+D65</f>
        <v>0</v>
      </c>
      <c r="H65" s="402"/>
      <c r="I65" s="476"/>
      <c r="J65" s="399">
        <f t="shared" ref="J65:J67" si="8">D65-SUM(E65:I65)</f>
        <v>0</v>
      </c>
    </row>
    <row r="66" spans="1:10" ht="12" customHeight="1">
      <c r="A66" s="455">
        <v>2021</v>
      </c>
      <c r="C66" s="406" t="s">
        <v>572</v>
      </c>
      <c r="D66" s="444">
        <f>'T2 MET'!D27</f>
        <v>0</v>
      </c>
      <c r="E66" s="408"/>
      <c r="F66" s="422"/>
      <c r="G66" s="410"/>
      <c r="H66" s="491">
        <f>+D66</f>
        <v>0</v>
      </c>
      <c r="I66" s="411"/>
      <c r="J66" s="407">
        <f t="shared" si="8"/>
        <v>0</v>
      </c>
    </row>
    <row r="67" spans="1:10" ht="12" customHeight="1">
      <c r="A67" s="455">
        <v>2022</v>
      </c>
      <c r="C67" s="406" t="s">
        <v>573</v>
      </c>
      <c r="D67" s="444">
        <f>'T2 MET'!E27</f>
        <v>0</v>
      </c>
      <c r="E67" s="408"/>
      <c r="F67" s="422"/>
      <c r="G67" s="410"/>
      <c r="H67" s="410"/>
      <c r="I67" s="493">
        <f>+D67</f>
        <v>0</v>
      </c>
      <c r="J67" s="407">
        <f t="shared" si="8"/>
        <v>0</v>
      </c>
    </row>
    <row r="68" spans="1:10" ht="12" customHeight="1">
      <c r="A68" s="455">
        <v>2023</v>
      </c>
      <c r="C68" s="406" t="s">
        <v>574</v>
      </c>
      <c r="D68" s="444">
        <f>'T2 MET'!F27</f>
        <v>0</v>
      </c>
      <c r="E68" s="408"/>
      <c r="F68" s="422"/>
      <c r="G68" s="410"/>
      <c r="H68" s="410"/>
      <c r="I68" s="478"/>
      <c r="J68" s="407">
        <f>D68</f>
        <v>0</v>
      </c>
    </row>
    <row r="69" spans="1:10" ht="12" customHeight="1">
      <c r="A69" s="455">
        <v>2024</v>
      </c>
      <c r="C69" s="426" t="s">
        <v>575</v>
      </c>
      <c r="D69" s="445">
        <f>'T2 MET'!G27</f>
        <v>0</v>
      </c>
      <c r="E69" s="428"/>
      <c r="F69" s="429"/>
      <c r="G69" s="429"/>
      <c r="H69" s="429"/>
      <c r="I69" s="479"/>
      <c r="J69" s="427">
        <f>D69</f>
        <v>0</v>
      </c>
    </row>
    <row r="70" spans="1:10" ht="12" customHeight="1">
      <c r="A70" s="455" t="s">
        <v>505</v>
      </c>
      <c r="C70" s="431" t="s">
        <v>579</v>
      </c>
      <c r="D70" s="432">
        <f t="shared" ref="D70:J70" si="9">SUM(D65:D69)</f>
        <v>0</v>
      </c>
      <c r="E70" s="494"/>
      <c r="F70" s="495"/>
      <c r="G70" s="434">
        <f t="shared" si="9"/>
        <v>0</v>
      </c>
      <c r="H70" s="434">
        <f t="shared" si="9"/>
        <v>0</v>
      </c>
      <c r="I70" s="481">
        <f t="shared" si="9"/>
        <v>0</v>
      </c>
      <c r="J70" s="432">
        <f t="shared" si="9"/>
        <v>0</v>
      </c>
    </row>
    <row r="71" spans="1:10" ht="3.6" customHeight="1">
      <c r="A71" s="758"/>
      <c r="C71" s="482"/>
      <c r="D71" s="482"/>
      <c r="E71" s="447"/>
      <c r="F71" s="447"/>
      <c r="G71" s="447"/>
      <c r="H71" s="447"/>
      <c r="I71" s="447"/>
      <c r="J71" s="447"/>
    </row>
    <row r="72" spans="1:10" ht="12" customHeight="1">
      <c r="A72" s="455">
        <v>2017</v>
      </c>
      <c r="C72" s="436" t="s">
        <v>580</v>
      </c>
      <c r="D72" s="502">
        <v>0</v>
      </c>
      <c r="E72" s="486">
        <v>0</v>
      </c>
      <c r="F72" s="487">
        <v>0</v>
      </c>
      <c r="G72" s="487">
        <f>+D72</f>
        <v>0</v>
      </c>
      <c r="H72" s="487">
        <v>0</v>
      </c>
      <c r="I72" s="488">
        <v>0</v>
      </c>
      <c r="J72" s="399">
        <f t="shared" ref="J72:J74" si="10">D72-SUM(E72:I72)</f>
        <v>0</v>
      </c>
    </row>
    <row r="73" spans="1:10" ht="12" customHeight="1">
      <c r="A73" s="455">
        <v>2018</v>
      </c>
      <c r="C73" s="439" t="s">
        <v>581</v>
      </c>
      <c r="D73" s="503">
        <v>0</v>
      </c>
      <c r="E73" s="490">
        <f>+D73</f>
        <v>0</v>
      </c>
      <c r="F73" s="491">
        <v>0</v>
      </c>
      <c r="G73" s="491">
        <v>0</v>
      </c>
      <c r="H73" s="491">
        <v>0</v>
      </c>
      <c r="I73" s="492">
        <v>0</v>
      </c>
      <c r="J73" s="407">
        <f t="shared" si="10"/>
        <v>0</v>
      </c>
    </row>
    <row r="74" spans="1:10" ht="12" customHeight="1">
      <c r="A74" s="455">
        <v>2019</v>
      </c>
      <c r="C74" s="439" t="s">
        <v>729</v>
      </c>
      <c r="D74" s="503"/>
      <c r="E74" s="504"/>
      <c r="F74" s="491">
        <v>0</v>
      </c>
      <c r="G74" s="491">
        <v>0</v>
      </c>
      <c r="H74" s="491">
        <v>0</v>
      </c>
      <c r="I74" s="492">
        <v>0</v>
      </c>
      <c r="J74" s="407">
        <f t="shared" si="10"/>
        <v>0</v>
      </c>
    </row>
    <row r="75" spans="1:10" ht="12" customHeight="1">
      <c r="A75" s="455" t="s">
        <v>505</v>
      </c>
      <c r="C75" s="431" t="s">
        <v>587</v>
      </c>
      <c r="D75" s="432">
        <f>SUM(D72:D74)</f>
        <v>0</v>
      </c>
      <c r="E75" s="480">
        <f t="shared" ref="E75:J75" si="11">SUM(E72:E74)</f>
        <v>0</v>
      </c>
      <c r="F75" s="434">
        <f t="shared" si="11"/>
        <v>0</v>
      </c>
      <c r="G75" s="434">
        <f t="shared" si="11"/>
        <v>0</v>
      </c>
      <c r="H75" s="434">
        <f t="shared" si="11"/>
        <v>0</v>
      </c>
      <c r="I75" s="481">
        <f t="shared" si="11"/>
        <v>0</v>
      </c>
      <c r="J75" s="432">
        <f t="shared" si="11"/>
        <v>0</v>
      </c>
    </row>
    <row r="76" spans="1:10" ht="3.6" customHeight="1">
      <c r="A76" s="758"/>
      <c r="C76" s="482"/>
      <c r="D76" s="482"/>
      <c r="E76" s="447"/>
      <c r="F76" s="447"/>
      <c r="G76" s="447"/>
      <c r="H76" s="447"/>
      <c r="I76" s="447"/>
      <c r="J76" s="447"/>
    </row>
    <row r="77" spans="1:10" ht="12" customHeight="1">
      <c r="A77" s="455">
        <v>2017</v>
      </c>
      <c r="C77" s="436" t="s">
        <v>588</v>
      </c>
      <c r="D77" s="536"/>
      <c r="E77" s="506"/>
      <c r="F77" s="507"/>
      <c r="G77" s="507"/>
      <c r="H77" s="507"/>
      <c r="I77" s="532"/>
      <c r="J77" s="404"/>
    </row>
    <row r="78" spans="1:10" ht="12" customHeight="1">
      <c r="A78" s="455">
        <v>2018</v>
      </c>
      <c r="C78" s="439" t="s">
        <v>589</v>
      </c>
      <c r="D78" s="537"/>
      <c r="E78" s="457"/>
      <c r="F78" s="410"/>
      <c r="G78" s="410"/>
      <c r="H78" s="410"/>
      <c r="I78" s="478"/>
      <c r="J78" s="412"/>
    </row>
    <row r="79" spans="1:10" ht="12" customHeight="1">
      <c r="A79" s="455">
        <v>2019</v>
      </c>
      <c r="C79" s="439" t="s">
        <v>590</v>
      </c>
      <c r="D79" s="537"/>
      <c r="E79" s="457"/>
      <c r="F79" s="410"/>
      <c r="G79" s="410"/>
      <c r="H79" s="410"/>
      <c r="I79" s="411"/>
      <c r="J79" s="412"/>
    </row>
    <row r="80" spans="1:10" ht="12" customHeight="1">
      <c r="A80" s="455" t="s">
        <v>493</v>
      </c>
      <c r="C80" s="413" t="s">
        <v>591</v>
      </c>
      <c r="D80" s="419"/>
      <c r="E80" s="464"/>
      <c r="F80" s="417"/>
      <c r="G80" s="417"/>
      <c r="H80" s="417"/>
      <c r="I80" s="418"/>
      <c r="J80" s="419"/>
    </row>
    <row r="81" spans="1:10" ht="12" customHeight="1">
      <c r="A81" s="455">
        <v>2020</v>
      </c>
      <c r="C81" s="398" t="s">
        <v>592</v>
      </c>
      <c r="D81" s="541"/>
      <c r="E81" s="456"/>
      <c r="F81" s="402"/>
      <c r="G81" s="402"/>
      <c r="H81" s="402"/>
      <c r="I81" s="476"/>
      <c r="J81" s="404"/>
    </row>
    <row r="82" spans="1:10" ht="12" customHeight="1">
      <c r="A82" s="455">
        <v>2021</v>
      </c>
      <c r="C82" s="406" t="s">
        <v>593</v>
      </c>
      <c r="D82" s="542"/>
      <c r="E82" s="457"/>
      <c r="F82" s="410"/>
      <c r="G82" s="410"/>
      <c r="H82" s="410"/>
      <c r="I82" s="411"/>
      <c r="J82" s="412"/>
    </row>
    <row r="83" spans="1:10" ht="12" customHeight="1">
      <c r="A83" s="455">
        <v>2022</v>
      </c>
      <c r="C83" s="406" t="s">
        <v>594</v>
      </c>
      <c r="D83" s="542"/>
      <c r="E83" s="457"/>
      <c r="F83" s="410"/>
      <c r="G83" s="410"/>
      <c r="H83" s="410"/>
      <c r="I83" s="411"/>
      <c r="J83" s="412"/>
    </row>
    <row r="84" spans="1:10" ht="12" customHeight="1">
      <c r="A84" s="455">
        <v>2023</v>
      </c>
      <c r="C84" s="406" t="s">
        <v>596</v>
      </c>
      <c r="D84" s="542"/>
      <c r="E84" s="457"/>
      <c r="F84" s="410"/>
      <c r="G84" s="410"/>
      <c r="H84" s="410"/>
      <c r="I84" s="478"/>
      <c r="J84" s="412"/>
    </row>
    <row r="85" spans="1:10" ht="12" customHeight="1">
      <c r="A85" s="455">
        <v>2024</v>
      </c>
      <c r="C85" s="426" t="s">
        <v>597</v>
      </c>
      <c r="D85" s="543"/>
      <c r="E85" s="460"/>
      <c r="F85" s="461"/>
      <c r="G85" s="461"/>
      <c r="H85" s="461"/>
      <c r="I85" s="499"/>
      <c r="J85" s="468"/>
    </row>
    <row r="86" spans="1:10" ht="12" customHeight="1">
      <c r="A86" s="455" t="s">
        <v>505</v>
      </c>
      <c r="C86" s="431" t="s">
        <v>601</v>
      </c>
      <c r="D86" s="500"/>
      <c r="E86" s="494"/>
      <c r="F86" s="495"/>
      <c r="G86" s="495"/>
      <c r="H86" s="495"/>
      <c r="I86" s="501"/>
      <c r="J86" s="500"/>
    </row>
    <row r="87" spans="1:10" ht="4.1500000000000004" customHeight="1">
      <c r="A87" s="758"/>
      <c r="C87" s="482"/>
      <c r="D87" s="482"/>
      <c r="E87" s="482"/>
      <c r="F87" s="482"/>
      <c r="G87" s="482"/>
      <c r="H87" s="482"/>
      <c r="I87" s="505"/>
      <c r="J87" s="482"/>
    </row>
    <row r="88" spans="1:10" ht="12" customHeight="1">
      <c r="A88" s="455">
        <v>2017</v>
      </c>
      <c r="C88" s="398" t="s">
        <v>602</v>
      </c>
      <c r="D88" s="475">
        <v>0</v>
      </c>
      <c r="E88" s="486">
        <v>0</v>
      </c>
      <c r="F88" s="487">
        <v>0</v>
      </c>
      <c r="G88" s="487">
        <v>0</v>
      </c>
      <c r="H88" s="487">
        <v>0</v>
      </c>
      <c r="I88" s="488">
        <v>0</v>
      </c>
      <c r="J88" s="404"/>
    </row>
    <row r="89" spans="1:10" ht="12" customHeight="1">
      <c r="A89" s="455">
        <v>2018</v>
      </c>
      <c r="C89" s="406" t="s">
        <v>603</v>
      </c>
      <c r="D89" s="477">
        <v>0</v>
      </c>
      <c r="E89" s="490">
        <v>0</v>
      </c>
      <c r="F89" s="491">
        <v>0</v>
      </c>
      <c r="G89" s="491">
        <v>0</v>
      </c>
      <c r="H89" s="491">
        <v>0</v>
      </c>
      <c r="I89" s="492">
        <v>0</v>
      </c>
      <c r="J89" s="412"/>
    </row>
    <row r="90" spans="1:10" ht="12" customHeight="1">
      <c r="A90" s="455">
        <v>2019</v>
      </c>
      <c r="C90" s="406" t="s">
        <v>604</v>
      </c>
      <c r="D90" s="477"/>
      <c r="E90" s="504"/>
      <c r="F90" s="491">
        <v>0</v>
      </c>
      <c r="G90" s="491">
        <v>0</v>
      </c>
      <c r="H90" s="491">
        <v>0</v>
      </c>
      <c r="I90" s="492">
        <v>0</v>
      </c>
      <c r="J90" s="412"/>
    </row>
    <row r="91" spans="1:10" ht="11.45" customHeight="1">
      <c r="A91" s="455" t="s">
        <v>493</v>
      </c>
      <c r="C91" s="413" t="s">
        <v>605</v>
      </c>
      <c r="D91" s="416">
        <f>SUM(D88:D90)</f>
        <v>0</v>
      </c>
      <c r="E91" s="416">
        <f t="shared" ref="E91:I91" si="12">SUM(E88:E90)</f>
        <v>0</v>
      </c>
      <c r="F91" s="416">
        <f t="shared" si="12"/>
        <v>0</v>
      </c>
      <c r="G91" s="416">
        <f t="shared" si="12"/>
        <v>0</v>
      </c>
      <c r="H91" s="416">
        <f t="shared" si="12"/>
        <v>0</v>
      </c>
      <c r="I91" s="451">
        <f t="shared" si="12"/>
        <v>0</v>
      </c>
      <c r="J91" s="419"/>
    </row>
    <row r="92" spans="1:10" ht="12" customHeight="1">
      <c r="A92" s="455">
        <v>2020</v>
      </c>
      <c r="C92" s="398" t="s">
        <v>606</v>
      </c>
      <c r="D92" s="452">
        <f>'T2 MET'!C59</f>
        <v>0</v>
      </c>
      <c r="E92" s="420"/>
      <c r="F92" s="401"/>
      <c r="G92" s="421">
        <f>+D92</f>
        <v>0</v>
      </c>
      <c r="H92" s="402"/>
      <c r="I92" s="476"/>
      <c r="J92" s="404"/>
    </row>
    <row r="93" spans="1:10" ht="12" customHeight="1">
      <c r="A93" s="455">
        <v>2021</v>
      </c>
      <c r="C93" s="406" t="s">
        <v>607</v>
      </c>
      <c r="D93" s="453">
        <f>'T2 MET'!D59</f>
        <v>0</v>
      </c>
      <c r="E93" s="408"/>
      <c r="F93" s="422"/>
      <c r="G93" s="410"/>
      <c r="H93" s="423">
        <f>+D93</f>
        <v>0</v>
      </c>
      <c r="I93" s="411"/>
      <c r="J93" s="412"/>
    </row>
    <row r="94" spans="1:10" ht="12" customHeight="1">
      <c r="A94" s="455">
        <v>2022</v>
      </c>
      <c r="C94" s="406" t="s">
        <v>608</v>
      </c>
      <c r="D94" s="453">
        <f>'T2 MET'!E59</f>
        <v>0</v>
      </c>
      <c r="E94" s="408"/>
      <c r="F94" s="422"/>
      <c r="G94" s="410"/>
      <c r="H94" s="410"/>
      <c r="I94" s="530">
        <f>+D94</f>
        <v>0</v>
      </c>
      <c r="J94" s="412"/>
    </row>
    <row r="95" spans="1:10" ht="12" customHeight="1">
      <c r="A95" s="455">
        <v>2023</v>
      </c>
      <c r="C95" s="406" t="s">
        <v>610</v>
      </c>
      <c r="D95" s="453">
        <f>'T2 MET'!F59</f>
        <v>0</v>
      </c>
      <c r="E95" s="408"/>
      <c r="F95" s="422"/>
      <c r="G95" s="410"/>
      <c r="H95" s="410"/>
      <c r="I95" s="478"/>
      <c r="J95" s="407">
        <f>+D95</f>
        <v>0</v>
      </c>
    </row>
    <row r="96" spans="1:10" ht="12" customHeight="1">
      <c r="A96" s="455">
        <v>2024</v>
      </c>
      <c r="C96" s="426" t="s">
        <v>611</v>
      </c>
      <c r="D96" s="454">
        <f>'T2 MET'!G59</f>
        <v>0</v>
      </c>
      <c r="E96" s="428"/>
      <c r="F96" s="429"/>
      <c r="G96" s="429"/>
      <c r="H96" s="429"/>
      <c r="I96" s="479"/>
      <c r="J96" s="427">
        <f>+D96</f>
        <v>0</v>
      </c>
    </row>
    <row r="97" spans="1:12" ht="12" customHeight="1">
      <c r="A97" s="455" t="s">
        <v>505</v>
      </c>
      <c r="C97" s="431" t="s">
        <v>615</v>
      </c>
      <c r="D97" s="432">
        <f>SUM(D91:D96)</f>
        <v>0</v>
      </c>
      <c r="E97" s="480">
        <f t="shared" ref="E97:J97" si="13">SUM(E91:E96)</f>
        <v>0</v>
      </c>
      <c r="F97" s="434">
        <f t="shared" si="13"/>
        <v>0</v>
      </c>
      <c r="G97" s="434">
        <f t="shared" si="13"/>
        <v>0</v>
      </c>
      <c r="H97" s="434">
        <f t="shared" si="13"/>
        <v>0</v>
      </c>
      <c r="I97" s="481">
        <f t="shared" si="13"/>
        <v>0</v>
      </c>
      <c r="J97" s="432">
        <f t="shared" si="13"/>
        <v>0</v>
      </c>
    </row>
    <row r="98" spans="1:12" ht="4.9000000000000004" customHeight="1">
      <c r="A98" s="758"/>
      <c r="C98" s="482"/>
      <c r="D98" s="482"/>
      <c r="E98" s="447"/>
      <c r="F98" s="447"/>
      <c r="G98" s="447"/>
      <c r="H98" s="447"/>
      <c r="I98" s="447"/>
      <c r="J98" s="447"/>
    </row>
    <row r="99" spans="1:12" ht="12" customHeight="1">
      <c r="A99" s="455">
        <v>2017</v>
      </c>
      <c r="C99" s="398" t="s">
        <v>616</v>
      </c>
      <c r="D99" s="502">
        <v>0</v>
      </c>
      <c r="E99" s="486">
        <v>0</v>
      </c>
      <c r="F99" s="487">
        <v>0</v>
      </c>
      <c r="G99" s="487">
        <v>0</v>
      </c>
      <c r="H99" s="487">
        <v>0</v>
      </c>
      <c r="I99" s="488">
        <v>0</v>
      </c>
      <c r="J99" s="399">
        <f t="shared" ref="J99:J107" si="14">D99-SUM(E99:I99)</f>
        <v>0</v>
      </c>
    </row>
    <row r="100" spans="1:12" ht="12" customHeight="1">
      <c r="A100" s="455">
        <v>2018</v>
      </c>
      <c r="C100" s="406" t="s">
        <v>617</v>
      </c>
      <c r="D100" s="917">
        <v>-3366</v>
      </c>
      <c r="E100" s="490">
        <v>-3366</v>
      </c>
      <c r="F100" s="491">
        <v>0</v>
      </c>
      <c r="G100" s="491">
        <v>0</v>
      </c>
      <c r="H100" s="491">
        <v>0</v>
      </c>
      <c r="I100" s="492">
        <v>0</v>
      </c>
      <c r="J100" s="407">
        <f t="shared" si="14"/>
        <v>0</v>
      </c>
      <c r="L100" s="386" t="s">
        <v>724</v>
      </c>
    </row>
    <row r="101" spans="1:12" ht="12" customHeight="1">
      <c r="A101" s="455">
        <v>2019</v>
      </c>
      <c r="C101" s="406" t="s">
        <v>618</v>
      </c>
      <c r="D101" s="503">
        <v>-3558.1829458164898</v>
      </c>
      <c r="E101" s="504"/>
      <c r="F101" s="491">
        <v>-3558.1829458164898</v>
      </c>
      <c r="G101" s="491">
        <v>0</v>
      </c>
      <c r="H101" s="491">
        <v>0</v>
      </c>
      <c r="I101" s="492">
        <v>0</v>
      </c>
      <c r="J101" s="407">
        <f t="shared" si="14"/>
        <v>0</v>
      </c>
      <c r="L101" s="386" t="s">
        <v>725</v>
      </c>
    </row>
    <row r="102" spans="1:12" ht="12" customHeight="1">
      <c r="A102" s="455" t="s">
        <v>493</v>
      </c>
      <c r="C102" s="413" t="s">
        <v>619</v>
      </c>
      <c r="D102" s="414">
        <f t="shared" ref="D102:J102" si="15">SUM(D99:D101)</f>
        <v>-6924.1829458164902</v>
      </c>
      <c r="E102" s="415">
        <f t="shared" si="15"/>
        <v>-3366</v>
      </c>
      <c r="F102" s="416">
        <f t="shared" si="15"/>
        <v>-3558.1829458164898</v>
      </c>
      <c r="G102" s="416">
        <f t="shared" si="15"/>
        <v>0</v>
      </c>
      <c r="H102" s="416">
        <f t="shared" si="15"/>
        <v>0</v>
      </c>
      <c r="I102" s="442">
        <f t="shared" si="15"/>
        <v>0</v>
      </c>
      <c r="J102" s="414">
        <f t="shared" si="15"/>
        <v>0</v>
      </c>
      <c r="L102" s="540"/>
    </row>
    <row r="103" spans="1:12" ht="12" customHeight="1">
      <c r="A103" s="455">
        <v>2020</v>
      </c>
      <c r="C103" s="398" t="s">
        <v>620</v>
      </c>
      <c r="D103" s="399">
        <f>(E11+E22+E75+E80+E91+E102+E108)*-'T2 MET'!C40</f>
        <v>-2373.0253109101909</v>
      </c>
      <c r="E103" s="506"/>
      <c r="F103" s="507"/>
      <c r="G103" s="538">
        <f>D103</f>
        <v>-2373.0253109101909</v>
      </c>
      <c r="H103" s="487"/>
      <c r="I103" s="488"/>
      <c r="J103" s="399">
        <f t="shared" si="14"/>
        <v>0</v>
      </c>
    </row>
    <row r="104" spans="1:12" ht="12" customHeight="1">
      <c r="A104" s="455">
        <v>2021</v>
      </c>
      <c r="C104" s="406" t="s">
        <v>621</v>
      </c>
      <c r="D104" s="407">
        <f>(F11+F22+F75+F80+F91+F102+F108)*-'T2 MET'!D40</f>
        <v>-2452.1092926615624</v>
      </c>
      <c r="E104" s="508"/>
      <c r="F104" s="509"/>
      <c r="G104" s="509"/>
      <c r="H104" s="512">
        <f>+D104</f>
        <v>-2452.1092926615624</v>
      </c>
      <c r="I104" s="492"/>
      <c r="J104" s="407">
        <f t="shared" si="14"/>
        <v>0</v>
      </c>
    </row>
    <row r="105" spans="1:12" ht="12" customHeight="1">
      <c r="A105" s="455">
        <v>2022</v>
      </c>
      <c r="C105" s="406" t="s">
        <v>622</v>
      </c>
      <c r="D105" s="407">
        <f>(G11+G22+G75+G80+G91+G102+G108)*-'T2 MET'!E40</f>
        <v>0</v>
      </c>
      <c r="E105" s="508"/>
      <c r="F105" s="509"/>
      <c r="G105" s="509"/>
      <c r="H105" s="509"/>
      <c r="I105" s="493">
        <f>+D105</f>
        <v>0</v>
      </c>
      <c r="J105" s="407">
        <f t="shared" si="14"/>
        <v>0</v>
      </c>
    </row>
    <row r="106" spans="1:12" ht="12" customHeight="1">
      <c r="A106" s="455">
        <v>2023</v>
      </c>
      <c r="C106" s="406" t="s">
        <v>624</v>
      </c>
      <c r="D106" s="407">
        <f>(H11+H22+H75+H80+H91+H102+H108)*-'T2 MET'!F40</f>
        <v>0</v>
      </c>
      <c r="E106" s="508"/>
      <c r="F106" s="509"/>
      <c r="G106" s="509"/>
      <c r="H106" s="509"/>
      <c r="I106" s="510"/>
      <c r="J106" s="407">
        <f t="shared" si="14"/>
        <v>0</v>
      </c>
    </row>
    <row r="107" spans="1:12" ht="12" customHeight="1">
      <c r="A107" s="455">
        <v>2024</v>
      </c>
      <c r="C107" s="426" t="s">
        <v>625</v>
      </c>
      <c r="D107" s="407">
        <f>(I11+I22+I75+I80+I91+I102+I108)*-'T2 MET'!G40</f>
        <v>0</v>
      </c>
      <c r="E107" s="508"/>
      <c r="F107" s="509"/>
      <c r="G107" s="509"/>
      <c r="H107" s="509"/>
      <c r="I107" s="510"/>
      <c r="J107" s="407">
        <f t="shared" si="14"/>
        <v>0</v>
      </c>
    </row>
    <row r="108" spans="1:12" ht="12" customHeight="1">
      <c r="A108" s="455" t="s">
        <v>493</v>
      </c>
      <c r="C108" s="413" t="s">
        <v>629</v>
      </c>
      <c r="D108" s="414">
        <f>SUM(D103:D107)</f>
        <v>-4825.1346035717534</v>
      </c>
      <c r="E108" s="415">
        <f>SUM(E103:E107)</f>
        <v>0</v>
      </c>
      <c r="F108" s="416">
        <f t="shared" ref="F108:I108" si="16">SUM(F103:F107)</f>
        <v>0</v>
      </c>
      <c r="G108" s="416">
        <f t="shared" si="16"/>
        <v>-2373.0253109101909</v>
      </c>
      <c r="H108" s="416">
        <f t="shared" si="16"/>
        <v>-2452.1092926615624</v>
      </c>
      <c r="I108" s="442">
        <f t="shared" si="16"/>
        <v>0</v>
      </c>
      <c r="J108" s="414">
        <f>SUM(J103:J107)</f>
        <v>0</v>
      </c>
    </row>
    <row r="109" spans="1:12" ht="12" customHeight="1">
      <c r="A109" s="455">
        <v>2020</v>
      </c>
      <c r="C109" s="398" t="s">
        <v>630</v>
      </c>
      <c r="D109" s="452">
        <f>'T2 MET'!C46</f>
        <v>18464.92709133905</v>
      </c>
      <c r="E109" s="420"/>
      <c r="F109" s="401"/>
      <c r="G109" s="458">
        <f>D109</f>
        <v>18464.92709133905</v>
      </c>
      <c r="H109" s="402"/>
      <c r="I109" s="476"/>
      <c r="J109" s="404"/>
    </row>
    <row r="110" spans="1:12" ht="12" customHeight="1">
      <c r="A110" s="455">
        <v>2021</v>
      </c>
      <c r="C110" s="406" t="s">
        <v>631</v>
      </c>
      <c r="D110" s="453">
        <f>'T2 MET'!D46</f>
        <v>17556.692917224002</v>
      </c>
      <c r="E110" s="408"/>
      <c r="F110" s="422"/>
      <c r="G110" s="422"/>
      <c r="H110" s="409">
        <f>D110</f>
        <v>17556.692917224002</v>
      </c>
      <c r="I110" s="478"/>
      <c r="J110" s="412"/>
    </row>
    <row r="111" spans="1:12" ht="12" customHeight="1">
      <c r="A111" s="455">
        <v>2022</v>
      </c>
      <c r="C111" s="406" t="s">
        <v>632</v>
      </c>
      <c r="D111" s="453">
        <f>'T2 MET'!E46</f>
        <v>0</v>
      </c>
      <c r="E111" s="408"/>
      <c r="F111" s="422"/>
      <c r="G111" s="422"/>
      <c r="H111" s="422"/>
      <c r="I111" s="459">
        <f>D111</f>
        <v>0</v>
      </c>
      <c r="J111" s="412"/>
    </row>
    <row r="112" spans="1:12" ht="12" customHeight="1">
      <c r="A112" s="455">
        <v>2023</v>
      </c>
      <c r="C112" s="406" t="s">
        <v>634</v>
      </c>
      <c r="D112" s="453">
        <f>'T2 MET'!F46</f>
        <v>0</v>
      </c>
      <c r="E112" s="408"/>
      <c r="F112" s="422"/>
      <c r="G112" s="422"/>
      <c r="H112" s="422"/>
      <c r="I112" s="511"/>
      <c r="J112" s="407">
        <f>D112</f>
        <v>0</v>
      </c>
    </row>
    <row r="113" spans="1:10" ht="12" customHeight="1">
      <c r="A113" s="455">
        <v>2024</v>
      </c>
      <c r="C113" s="426" t="s">
        <v>635</v>
      </c>
      <c r="D113" s="454">
        <f>'T2 MET'!G46</f>
        <v>0</v>
      </c>
      <c r="E113" s="428"/>
      <c r="F113" s="429"/>
      <c r="G113" s="429"/>
      <c r="H113" s="429"/>
      <c r="I113" s="479"/>
      <c r="J113" s="427">
        <f>D113</f>
        <v>0</v>
      </c>
    </row>
    <row r="114" spans="1:10" ht="12" customHeight="1">
      <c r="A114" s="455" t="s">
        <v>505</v>
      </c>
      <c r="C114" s="431" t="s">
        <v>639</v>
      </c>
      <c r="D114" s="432">
        <f>D102+SUM(D108:D113)</f>
        <v>24272.302459174807</v>
      </c>
      <c r="E114" s="480">
        <f t="shared" ref="E114:J114" si="17">E102+SUM(E108:E113)</f>
        <v>-3366</v>
      </c>
      <c r="F114" s="434">
        <f t="shared" si="17"/>
        <v>-3558.1829458164898</v>
      </c>
      <c r="G114" s="434">
        <f t="shared" si="17"/>
        <v>16091.90178042886</v>
      </c>
      <c r="H114" s="434">
        <f t="shared" si="17"/>
        <v>15104.58362456244</v>
      </c>
      <c r="I114" s="481">
        <f t="shared" si="17"/>
        <v>0</v>
      </c>
      <c r="J114" s="432">
        <f t="shared" si="17"/>
        <v>0</v>
      </c>
    </row>
    <row r="115" spans="1:10" ht="4.1500000000000004" customHeight="1">
      <c r="A115" s="758"/>
    </row>
    <row r="116" spans="1:10" ht="12" customHeight="1">
      <c r="A116" s="455">
        <v>2017</v>
      </c>
      <c r="C116" s="398" t="s">
        <v>640</v>
      </c>
      <c r="D116" s="475">
        <v>0</v>
      </c>
      <c r="E116" s="486">
        <v>0</v>
      </c>
      <c r="F116" s="487">
        <v>0</v>
      </c>
      <c r="G116" s="487">
        <v>0</v>
      </c>
      <c r="H116" s="487">
        <v>0</v>
      </c>
      <c r="I116" s="488">
        <v>0</v>
      </c>
      <c r="J116" s="399">
        <f t="shared" ref="J116:J124" si="18">D116-SUM(E116:I116)</f>
        <v>0</v>
      </c>
    </row>
    <row r="117" spans="1:10" ht="12" customHeight="1">
      <c r="A117" s="455">
        <v>2018</v>
      </c>
      <c r="C117" s="406" t="s">
        <v>641</v>
      </c>
      <c r="D117" s="477">
        <v>0</v>
      </c>
      <c r="E117" s="490">
        <f>+D117</f>
        <v>0</v>
      </c>
      <c r="F117" s="491">
        <v>0</v>
      </c>
      <c r="G117" s="491">
        <v>0</v>
      </c>
      <c r="H117" s="491">
        <v>0</v>
      </c>
      <c r="I117" s="492">
        <v>0</v>
      </c>
      <c r="J117" s="407">
        <f t="shared" si="18"/>
        <v>0</v>
      </c>
    </row>
    <row r="118" spans="1:10" ht="12" customHeight="1">
      <c r="A118" s="455">
        <v>2019</v>
      </c>
      <c r="C118" s="406" t="s">
        <v>642</v>
      </c>
      <c r="D118" s="477">
        <v>0</v>
      </c>
      <c r="E118" s="490">
        <v>0</v>
      </c>
      <c r="F118" s="491">
        <v>0</v>
      </c>
      <c r="G118" s="491">
        <v>0</v>
      </c>
      <c r="H118" s="491">
        <v>0</v>
      </c>
      <c r="I118" s="492">
        <v>0</v>
      </c>
      <c r="J118" s="407">
        <f t="shared" si="18"/>
        <v>0</v>
      </c>
    </row>
    <row r="119" spans="1:10" ht="12" customHeight="1">
      <c r="A119" s="455" t="s">
        <v>493</v>
      </c>
      <c r="C119" s="413" t="s">
        <v>643</v>
      </c>
      <c r="D119" s="414">
        <f>SUM(D116:D118)</f>
        <v>0</v>
      </c>
      <c r="E119" s="415">
        <f t="shared" ref="E119:J119" si="19">SUM(E116:E118)</f>
        <v>0</v>
      </c>
      <c r="F119" s="416">
        <f t="shared" si="19"/>
        <v>0</v>
      </c>
      <c r="G119" s="416">
        <f t="shared" si="19"/>
        <v>0</v>
      </c>
      <c r="H119" s="416">
        <f t="shared" si="19"/>
        <v>0</v>
      </c>
      <c r="I119" s="442">
        <f t="shared" si="19"/>
        <v>0</v>
      </c>
      <c r="J119" s="414">
        <f t="shared" si="19"/>
        <v>0</v>
      </c>
    </row>
    <row r="120" spans="1:10" ht="12" customHeight="1">
      <c r="A120" s="455">
        <v>2020</v>
      </c>
      <c r="C120" s="398" t="s">
        <v>644</v>
      </c>
      <c r="D120" s="452">
        <f>'T2 MET'!C69</f>
        <v>0</v>
      </c>
      <c r="E120" s="486">
        <f>D120</f>
        <v>0</v>
      </c>
      <c r="F120" s="487">
        <v>0</v>
      </c>
      <c r="G120" s="487">
        <v>0</v>
      </c>
      <c r="H120" s="487">
        <v>0</v>
      </c>
      <c r="I120" s="488">
        <v>0</v>
      </c>
      <c r="J120" s="399">
        <f t="shared" si="18"/>
        <v>0</v>
      </c>
    </row>
    <row r="121" spans="1:10" ht="12" customHeight="1">
      <c r="A121" s="455">
        <v>2021</v>
      </c>
      <c r="C121" s="406" t="s">
        <v>645</v>
      </c>
      <c r="D121" s="453">
        <f>'T2 MET'!D69</f>
        <v>0</v>
      </c>
      <c r="E121" s="508"/>
      <c r="F121" s="491">
        <v>0</v>
      </c>
      <c r="G121" s="491">
        <v>0</v>
      </c>
      <c r="H121" s="491">
        <f>D121</f>
        <v>0</v>
      </c>
      <c r="I121" s="492">
        <v>0</v>
      </c>
      <c r="J121" s="407">
        <f t="shared" si="18"/>
        <v>0</v>
      </c>
    </row>
    <row r="122" spans="1:10" ht="12" customHeight="1">
      <c r="A122" s="455">
        <v>2022</v>
      </c>
      <c r="C122" s="406" t="s">
        <v>646</v>
      </c>
      <c r="D122" s="453">
        <f>'T2 MET'!E69</f>
        <v>0</v>
      </c>
      <c r="E122" s="508"/>
      <c r="F122" s="509"/>
      <c r="G122" s="491">
        <v>0</v>
      </c>
      <c r="H122" s="491">
        <v>0</v>
      </c>
      <c r="I122" s="492">
        <f>D122</f>
        <v>0</v>
      </c>
      <c r="J122" s="407">
        <f t="shared" si="18"/>
        <v>0</v>
      </c>
    </row>
    <row r="123" spans="1:10" ht="12" customHeight="1">
      <c r="A123" s="455">
        <v>2023</v>
      </c>
      <c r="C123" s="406" t="s">
        <v>648</v>
      </c>
      <c r="D123" s="453">
        <f>'T2 MET'!F69</f>
        <v>0</v>
      </c>
      <c r="E123" s="508"/>
      <c r="F123" s="509"/>
      <c r="G123" s="509"/>
      <c r="H123" s="491">
        <v>0</v>
      </c>
      <c r="I123" s="492">
        <v>0</v>
      </c>
      <c r="J123" s="407">
        <f t="shared" si="18"/>
        <v>0</v>
      </c>
    </row>
    <row r="124" spans="1:10" ht="12" customHeight="1">
      <c r="A124" s="455">
        <v>2024</v>
      </c>
      <c r="C124" s="426" t="s">
        <v>649</v>
      </c>
      <c r="D124" s="454">
        <f>'T2 MET'!G69</f>
        <v>0</v>
      </c>
      <c r="E124" s="513"/>
      <c r="F124" s="514"/>
      <c r="G124" s="514"/>
      <c r="H124" s="514"/>
      <c r="I124" s="515">
        <v>0</v>
      </c>
      <c r="J124" s="427">
        <f t="shared" si="18"/>
        <v>0</v>
      </c>
    </row>
    <row r="125" spans="1:10" ht="12" customHeight="1">
      <c r="A125" s="455" t="s">
        <v>505</v>
      </c>
      <c r="C125" s="431" t="s">
        <v>653</v>
      </c>
      <c r="D125" s="432">
        <f>SUM(D119:D124)</f>
        <v>0</v>
      </c>
      <c r="E125" s="480">
        <f t="shared" ref="E125:J125" si="20">SUM(E119:E124)</f>
        <v>0</v>
      </c>
      <c r="F125" s="434">
        <f t="shared" si="20"/>
        <v>0</v>
      </c>
      <c r="G125" s="434">
        <f t="shared" si="20"/>
        <v>0</v>
      </c>
      <c r="H125" s="434">
        <f t="shared" si="20"/>
        <v>0</v>
      </c>
      <c r="I125" s="481">
        <f t="shared" si="20"/>
        <v>0</v>
      </c>
      <c r="J125" s="432">
        <f t="shared" si="20"/>
        <v>0</v>
      </c>
    </row>
    <row r="126" spans="1:10" ht="4.1500000000000004" customHeight="1">
      <c r="A126" s="758"/>
    </row>
    <row r="127" spans="1:10" ht="12" customHeight="1">
      <c r="A127" s="455">
        <v>2017</v>
      </c>
      <c r="C127" s="398" t="s">
        <v>654</v>
      </c>
      <c r="D127" s="475">
        <v>0</v>
      </c>
      <c r="E127" s="486">
        <v>0</v>
      </c>
      <c r="F127" s="487">
        <v>0</v>
      </c>
      <c r="G127" s="487">
        <v>0</v>
      </c>
      <c r="H127" s="487">
        <v>0</v>
      </c>
      <c r="I127" s="488">
        <v>0</v>
      </c>
      <c r="J127" s="399">
        <f t="shared" ref="J127:J129" si="21">D127-SUM(E127:I127)</f>
        <v>0</v>
      </c>
    </row>
    <row r="128" spans="1:10" ht="12" customHeight="1">
      <c r="A128" s="455">
        <v>2018</v>
      </c>
      <c r="C128" s="406" t="s">
        <v>655</v>
      </c>
      <c r="D128" s="477">
        <v>0</v>
      </c>
      <c r="E128" s="490">
        <v>0</v>
      </c>
      <c r="F128" s="491">
        <v>0</v>
      </c>
      <c r="G128" s="491">
        <v>0</v>
      </c>
      <c r="H128" s="491">
        <v>0</v>
      </c>
      <c r="I128" s="492">
        <v>0</v>
      </c>
      <c r="J128" s="407">
        <f t="shared" si="21"/>
        <v>0</v>
      </c>
    </row>
    <row r="129" spans="1:10" ht="12" customHeight="1">
      <c r="A129" s="455">
        <v>2019</v>
      </c>
      <c r="C129" s="406" t="s">
        <v>656</v>
      </c>
      <c r="D129" s="477"/>
      <c r="E129" s="490">
        <v>0</v>
      </c>
      <c r="F129" s="491">
        <v>0</v>
      </c>
      <c r="G129" s="491">
        <v>0</v>
      </c>
      <c r="H129" s="491">
        <v>0</v>
      </c>
      <c r="I129" s="492">
        <v>0</v>
      </c>
      <c r="J129" s="407">
        <f t="shared" si="21"/>
        <v>0</v>
      </c>
    </row>
    <row r="130" spans="1:10" ht="12" customHeight="1">
      <c r="A130" s="455" t="s">
        <v>493</v>
      </c>
      <c r="C130" s="413" t="s">
        <v>730</v>
      </c>
      <c r="D130" s="414">
        <f>SUM(D127:D129)</f>
        <v>0</v>
      </c>
      <c r="E130" s="415">
        <f t="shared" ref="E130:J130" si="22">SUM(E127:E129)</f>
        <v>0</v>
      </c>
      <c r="F130" s="416">
        <f t="shared" si="22"/>
        <v>0</v>
      </c>
      <c r="G130" s="416">
        <f t="shared" si="22"/>
        <v>0</v>
      </c>
      <c r="H130" s="416">
        <f t="shared" si="22"/>
        <v>0</v>
      </c>
      <c r="I130" s="442">
        <f t="shared" si="22"/>
        <v>0</v>
      </c>
      <c r="J130" s="414">
        <f t="shared" si="22"/>
        <v>0</v>
      </c>
    </row>
    <row r="131" spans="1:10" s="516" customFormat="1" ht="14.45" customHeight="1">
      <c r="A131" s="455">
        <v>2020</v>
      </c>
      <c r="B131" s="386"/>
      <c r="C131" s="398" t="s">
        <v>658</v>
      </c>
      <c r="D131" s="452">
        <f>'T2 MET'!C70</f>
        <v>0</v>
      </c>
      <c r="E131" s="486">
        <v>0</v>
      </c>
      <c r="F131" s="487">
        <v>0</v>
      </c>
      <c r="G131" s="487">
        <v>0</v>
      </c>
      <c r="H131" s="487">
        <v>0</v>
      </c>
      <c r="I131" s="488">
        <v>0</v>
      </c>
      <c r="J131" s="399">
        <f t="shared" ref="J131:J135" si="23">D131-SUM(E131:I131)</f>
        <v>0</v>
      </c>
    </row>
    <row r="132" spans="1:10" ht="12" customHeight="1">
      <c r="A132" s="455">
        <v>2021</v>
      </c>
      <c r="C132" s="406" t="s">
        <v>659</v>
      </c>
      <c r="D132" s="453">
        <f>'T2 MET'!D70</f>
        <v>0</v>
      </c>
      <c r="E132" s="508"/>
      <c r="F132" s="491">
        <v>0</v>
      </c>
      <c r="G132" s="491">
        <v>0</v>
      </c>
      <c r="H132" s="491">
        <v>0</v>
      </c>
      <c r="I132" s="492">
        <v>0</v>
      </c>
      <c r="J132" s="407">
        <f t="shared" si="23"/>
        <v>0</v>
      </c>
    </row>
    <row r="133" spans="1:10" ht="12" customHeight="1">
      <c r="A133" s="455">
        <v>2022</v>
      </c>
      <c r="C133" s="406" t="s">
        <v>660</v>
      </c>
      <c r="D133" s="453">
        <f>'T2 MET'!E70</f>
        <v>0</v>
      </c>
      <c r="E133" s="508"/>
      <c r="F133" s="509"/>
      <c r="G133" s="491">
        <v>0</v>
      </c>
      <c r="H133" s="491">
        <v>0</v>
      </c>
      <c r="I133" s="492">
        <v>0</v>
      </c>
      <c r="J133" s="407">
        <f t="shared" si="23"/>
        <v>0</v>
      </c>
    </row>
    <row r="134" spans="1:10" ht="12" customHeight="1">
      <c r="A134" s="455">
        <v>2023</v>
      </c>
      <c r="C134" s="406" t="s">
        <v>662</v>
      </c>
      <c r="D134" s="453">
        <f>'T2 MET'!F70</f>
        <v>0</v>
      </c>
      <c r="E134" s="508"/>
      <c r="F134" s="509"/>
      <c r="G134" s="509"/>
      <c r="H134" s="491">
        <v>0</v>
      </c>
      <c r="I134" s="492">
        <v>0</v>
      </c>
      <c r="J134" s="407">
        <f t="shared" si="23"/>
        <v>0</v>
      </c>
    </row>
    <row r="135" spans="1:10" ht="12" customHeight="1">
      <c r="A135" s="455">
        <v>2024</v>
      </c>
      <c r="C135" s="426" t="s">
        <v>663</v>
      </c>
      <c r="D135" s="454">
        <f>'T2 MET'!G70</f>
        <v>0</v>
      </c>
      <c r="E135" s="513"/>
      <c r="F135" s="514"/>
      <c r="G135" s="514"/>
      <c r="H135" s="514"/>
      <c r="I135" s="515">
        <v>0</v>
      </c>
      <c r="J135" s="427">
        <f t="shared" si="23"/>
        <v>0</v>
      </c>
    </row>
    <row r="136" spans="1:10" ht="12" customHeight="1">
      <c r="A136" s="455" t="s">
        <v>505</v>
      </c>
      <c r="C136" s="431" t="s">
        <v>667</v>
      </c>
      <c r="D136" s="432">
        <f>SUM(D130:D135)</f>
        <v>0</v>
      </c>
      <c r="E136" s="480">
        <f t="shared" ref="E136:J136" si="24">SUM(E130:E135)</f>
        <v>0</v>
      </c>
      <c r="F136" s="434">
        <f t="shared" si="24"/>
        <v>0</v>
      </c>
      <c r="G136" s="434">
        <f t="shared" si="24"/>
        <v>0</v>
      </c>
      <c r="H136" s="434">
        <f t="shared" si="24"/>
        <v>0</v>
      </c>
      <c r="I136" s="481">
        <f t="shared" si="24"/>
        <v>0</v>
      </c>
      <c r="J136" s="432">
        <f t="shared" si="24"/>
        <v>0</v>
      </c>
    </row>
    <row r="137" spans="1:10" ht="4.1500000000000004" customHeight="1">
      <c r="A137" s="758"/>
    </row>
    <row r="138" spans="1:10" ht="12" customHeight="1">
      <c r="A138" s="455">
        <v>2017</v>
      </c>
      <c r="C138" s="398" t="s">
        <v>668</v>
      </c>
      <c r="D138" s="517">
        <v>0</v>
      </c>
      <c r="E138" s="486">
        <v>0</v>
      </c>
      <c r="F138" s="487">
        <v>0</v>
      </c>
      <c r="G138" s="487">
        <v>0</v>
      </c>
      <c r="H138" s="487">
        <v>0</v>
      </c>
      <c r="I138" s="488">
        <v>0</v>
      </c>
      <c r="J138" s="399">
        <f t="shared" ref="J138:J140" si="25">D138-SUM(E138:I138)</f>
        <v>0</v>
      </c>
    </row>
    <row r="139" spans="1:10" ht="12" customHeight="1">
      <c r="A139" s="455">
        <v>2018</v>
      </c>
      <c r="C139" s="406" t="s">
        <v>669</v>
      </c>
      <c r="D139" s="518">
        <v>0</v>
      </c>
      <c r="E139" s="490">
        <v>0</v>
      </c>
      <c r="F139" s="491">
        <v>0</v>
      </c>
      <c r="G139" s="491">
        <v>0</v>
      </c>
      <c r="H139" s="491">
        <v>0</v>
      </c>
      <c r="I139" s="492">
        <v>0</v>
      </c>
      <c r="J139" s="407">
        <f t="shared" si="25"/>
        <v>0</v>
      </c>
    </row>
    <row r="140" spans="1:10" ht="12" customHeight="1">
      <c r="A140" s="455">
        <v>2019</v>
      </c>
      <c r="C140" s="406" t="s">
        <v>670</v>
      </c>
      <c r="D140" s="407"/>
      <c r="E140" s="490">
        <v>0</v>
      </c>
      <c r="F140" s="491">
        <v>0</v>
      </c>
      <c r="G140" s="491">
        <v>0</v>
      </c>
      <c r="H140" s="491">
        <v>0</v>
      </c>
      <c r="I140" s="492">
        <v>0</v>
      </c>
      <c r="J140" s="407">
        <f t="shared" si="25"/>
        <v>0</v>
      </c>
    </row>
    <row r="141" spans="1:10" ht="12" customHeight="1">
      <c r="A141" s="455" t="s">
        <v>493</v>
      </c>
      <c r="C141" s="413" t="s">
        <v>671</v>
      </c>
      <c r="D141" s="414">
        <f>SUM(D138:D140)</f>
        <v>0</v>
      </c>
      <c r="E141" s="415">
        <f t="shared" ref="E141:J141" si="26">SUM(E138:E140)</f>
        <v>0</v>
      </c>
      <c r="F141" s="416">
        <f t="shared" si="26"/>
        <v>0</v>
      </c>
      <c r="G141" s="416">
        <f t="shared" si="26"/>
        <v>0</v>
      </c>
      <c r="H141" s="416">
        <f t="shared" si="26"/>
        <v>0</v>
      </c>
      <c r="I141" s="442">
        <f t="shared" si="26"/>
        <v>0</v>
      </c>
      <c r="J141" s="414">
        <f t="shared" si="26"/>
        <v>0</v>
      </c>
    </row>
    <row r="142" spans="1:10" s="516" customFormat="1" ht="14.45" customHeight="1">
      <c r="A142" s="455">
        <v>2020</v>
      </c>
      <c r="B142" s="386"/>
      <c r="C142" s="398" t="s">
        <v>672</v>
      </c>
      <c r="D142" s="452">
        <f>'T2 MET'!C71</f>
        <v>0</v>
      </c>
      <c r="E142" s="486">
        <f>+D142</f>
        <v>0</v>
      </c>
      <c r="F142" s="487">
        <v>0</v>
      </c>
      <c r="G142" s="487">
        <v>0</v>
      </c>
      <c r="H142" s="507"/>
      <c r="I142" s="519"/>
      <c r="J142" s="404"/>
    </row>
    <row r="143" spans="1:10" ht="12" customHeight="1">
      <c r="A143" s="455">
        <v>2021</v>
      </c>
      <c r="C143" s="406" t="s">
        <v>673</v>
      </c>
      <c r="D143" s="453">
        <f>'T2 MET'!D71</f>
        <v>0</v>
      </c>
      <c r="E143" s="508"/>
      <c r="F143" s="491">
        <v>0</v>
      </c>
      <c r="G143" s="491">
        <v>0</v>
      </c>
      <c r="H143" s="520">
        <f>D143</f>
        <v>0</v>
      </c>
      <c r="I143" s="521"/>
      <c r="J143" s="412"/>
    </row>
    <row r="144" spans="1:10" ht="12" customHeight="1">
      <c r="A144" s="455">
        <v>2022</v>
      </c>
      <c r="C144" s="406" t="s">
        <v>674</v>
      </c>
      <c r="D144" s="453">
        <f>'T2 MET'!E71</f>
        <v>0</v>
      </c>
      <c r="E144" s="508"/>
      <c r="F144" s="509"/>
      <c r="G144" s="491">
        <v>0</v>
      </c>
      <c r="H144" s="491">
        <v>0</v>
      </c>
      <c r="I144" s="492">
        <f>D144</f>
        <v>0</v>
      </c>
      <c r="J144" s="412"/>
    </row>
    <row r="145" spans="1:10" ht="12" customHeight="1">
      <c r="A145" s="455">
        <v>2023</v>
      </c>
      <c r="C145" s="406" t="s">
        <v>676</v>
      </c>
      <c r="D145" s="453">
        <f>'T2 MET'!F71</f>
        <v>0</v>
      </c>
      <c r="E145" s="508"/>
      <c r="F145" s="509"/>
      <c r="G145" s="509"/>
      <c r="H145" s="491">
        <v>0</v>
      </c>
      <c r="I145" s="491">
        <v>0</v>
      </c>
      <c r="J145" s="407">
        <f>D145</f>
        <v>0</v>
      </c>
    </row>
    <row r="146" spans="1:10" ht="12" customHeight="1">
      <c r="A146" s="455">
        <v>2024</v>
      </c>
      <c r="C146" s="426" t="s">
        <v>677</v>
      </c>
      <c r="D146" s="454">
        <f>'T2 MET'!G71</f>
        <v>0</v>
      </c>
      <c r="E146" s="513"/>
      <c r="F146" s="514"/>
      <c r="G146" s="514"/>
      <c r="H146" s="514"/>
      <c r="I146" s="522">
        <v>0</v>
      </c>
      <c r="J146" s="427">
        <f>D146</f>
        <v>0</v>
      </c>
    </row>
    <row r="147" spans="1:10" ht="12" customHeight="1">
      <c r="A147" s="455" t="s">
        <v>505</v>
      </c>
      <c r="C147" s="431" t="s">
        <v>681</v>
      </c>
      <c r="D147" s="432">
        <f>SUM(D141:D146)</f>
        <v>0</v>
      </c>
      <c r="E147" s="480">
        <f t="shared" ref="E147:J147" si="27">SUM(E141:E146)</f>
        <v>0</v>
      </c>
      <c r="F147" s="434">
        <f t="shared" si="27"/>
        <v>0</v>
      </c>
      <c r="G147" s="434">
        <f t="shared" si="27"/>
        <v>0</v>
      </c>
      <c r="H147" s="434">
        <f t="shared" si="27"/>
        <v>0</v>
      </c>
      <c r="I147" s="481">
        <f t="shared" si="27"/>
        <v>0</v>
      </c>
      <c r="J147" s="432">
        <f t="shared" si="27"/>
        <v>0</v>
      </c>
    </row>
    <row r="148" spans="1:10" ht="4.1500000000000004" customHeight="1">
      <c r="A148" s="758"/>
    </row>
    <row r="149" spans="1:10" ht="12" customHeight="1">
      <c r="A149" s="455">
        <v>2017</v>
      </c>
      <c r="C149" s="398" t="s">
        <v>682</v>
      </c>
      <c r="D149" s="404"/>
      <c r="E149" s="456"/>
      <c r="F149" s="402"/>
      <c r="G149" s="402"/>
      <c r="H149" s="402"/>
      <c r="I149" s="476"/>
      <c r="J149" s="404"/>
    </row>
    <row r="150" spans="1:10" ht="12" customHeight="1">
      <c r="A150" s="455">
        <v>2018</v>
      </c>
      <c r="C150" s="406" t="s">
        <v>683</v>
      </c>
      <c r="D150" s="412"/>
      <c r="E150" s="457"/>
      <c r="F150" s="410"/>
      <c r="G150" s="410"/>
      <c r="H150" s="410"/>
      <c r="I150" s="478"/>
      <c r="J150" s="412"/>
    </row>
    <row r="151" spans="1:10" ht="12" customHeight="1">
      <c r="A151" s="455">
        <v>2019</v>
      </c>
      <c r="C151" s="406" t="s">
        <v>684</v>
      </c>
      <c r="D151" s="412"/>
      <c r="E151" s="457"/>
      <c r="F151" s="410"/>
      <c r="G151" s="410"/>
      <c r="H151" s="410"/>
      <c r="I151" s="411"/>
      <c r="J151" s="412"/>
    </row>
    <row r="152" spans="1:10" ht="12" customHeight="1">
      <c r="A152" s="455" t="s">
        <v>493</v>
      </c>
      <c r="C152" s="413" t="s">
        <v>685</v>
      </c>
      <c r="D152" s="419"/>
      <c r="E152" s="464"/>
      <c r="F152" s="417"/>
      <c r="G152" s="417"/>
      <c r="H152" s="417"/>
      <c r="I152" s="418"/>
      <c r="J152" s="419"/>
    </row>
    <row r="153" spans="1:10" s="516" customFormat="1" ht="14.45" customHeight="1">
      <c r="A153" s="455">
        <v>2020</v>
      </c>
      <c r="B153" s="386"/>
      <c r="C153" s="398" t="s">
        <v>686</v>
      </c>
      <c r="D153" s="465"/>
      <c r="E153" s="456"/>
      <c r="F153" s="402"/>
      <c r="G153" s="402"/>
      <c r="H153" s="402"/>
      <c r="I153" s="476"/>
      <c r="J153" s="404"/>
    </row>
    <row r="154" spans="1:10" ht="12" customHeight="1">
      <c r="A154" s="455">
        <v>2021</v>
      </c>
      <c r="C154" s="406" t="s">
        <v>687</v>
      </c>
      <c r="D154" s="466"/>
      <c r="E154" s="457"/>
      <c r="F154" s="410"/>
      <c r="G154" s="410"/>
      <c r="H154" s="410"/>
      <c r="I154" s="478"/>
      <c r="J154" s="412"/>
    </row>
    <row r="155" spans="1:10" ht="12" customHeight="1">
      <c r="A155" s="455">
        <v>2022</v>
      </c>
      <c r="C155" s="406" t="s">
        <v>688</v>
      </c>
      <c r="D155" s="466"/>
      <c r="E155" s="457"/>
      <c r="F155" s="410"/>
      <c r="G155" s="410"/>
      <c r="H155" s="410"/>
      <c r="I155" s="410"/>
      <c r="J155" s="412"/>
    </row>
    <row r="156" spans="1:10" ht="12" customHeight="1">
      <c r="A156" s="455">
        <v>2023</v>
      </c>
      <c r="C156" s="406" t="s">
        <v>690</v>
      </c>
      <c r="D156" s="466"/>
      <c r="E156" s="457"/>
      <c r="F156" s="410"/>
      <c r="G156" s="410"/>
      <c r="H156" s="410"/>
      <c r="I156" s="410"/>
      <c r="J156" s="412"/>
    </row>
    <row r="157" spans="1:10" ht="12" customHeight="1">
      <c r="A157" s="455">
        <v>2024</v>
      </c>
      <c r="C157" s="426" t="s">
        <v>691</v>
      </c>
      <c r="D157" s="467"/>
      <c r="E157" s="460"/>
      <c r="F157" s="461"/>
      <c r="G157" s="461"/>
      <c r="H157" s="461"/>
      <c r="I157" s="461"/>
      <c r="J157" s="468"/>
    </row>
    <row r="158" spans="1:10" ht="12" customHeight="1">
      <c r="A158" s="455" t="s">
        <v>505</v>
      </c>
      <c r="C158" s="526" t="s">
        <v>695</v>
      </c>
      <c r="D158" s="500"/>
      <c r="E158" s="534"/>
      <c r="F158" s="495"/>
      <c r="G158" s="495"/>
      <c r="H158" s="495"/>
      <c r="I158" s="535"/>
      <c r="J158" s="500"/>
    </row>
    <row r="159" spans="1:10" ht="4.1500000000000004" customHeight="1">
      <c r="A159" s="758"/>
    </row>
    <row r="160" spans="1:10" ht="12" customHeight="1">
      <c r="A160" s="455">
        <v>2020</v>
      </c>
      <c r="C160" s="469" t="s">
        <v>696</v>
      </c>
      <c r="D160" s="448">
        <f>'T2 MET'!C63</f>
        <v>0</v>
      </c>
      <c r="E160" s="486">
        <v>0</v>
      </c>
      <c r="F160" s="487">
        <v>0</v>
      </c>
      <c r="G160" s="487">
        <v>0</v>
      </c>
      <c r="H160" s="487">
        <v>0</v>
      </c>
      <c r="I160" s="488">
        <v>0</v>
      </c>
      <c r="J160" s="399">
        <f t="shared" ref="J160:J164" si="28">D160-SUM(E160:I160)</f>
        <v>0</v>
      </c>
    </row>
    <row r="161" spans="1:12" ht="12" customHeight="1">
      <c r="A161" s="455">
        <v>2021</v>
      </c>
      <c r="C161" s="470" t="s">
        <v>697</v>
      </c>
      <c r="D161" s="449">
        <f>'T2 MET'!D63</f>
        <v>0</v>
      </c>
      <c r="E161" s="504"/>
      <c r="F161" s="491">
        <v>0</v>
      </c>
      <c r="G161" s="491">
        <v>0</v>
      </c>
      <c r="H161" s="491">
        <v>0</v>
      </c>
      <c r="I161" s="492">
        <v>0</v>
      </c>
      <c r="J161" s="407">
        <f t="shared" si="28"/>
        <v>0</v>
      </c>
    </row>
    <row r="162" spans="1:12" ht="12" customHeight="1">
      <c r="A162" s="455">
        <v>2022</v>
      </c>
      <c r="C162" s="470" t="s">
        <v>698</v>
      </c>
      <c r="D162" s="449">
        <f>'T2 MET'!E63</f>
        <v>0</v>
      </c>
      <c r="E162" s="504"/>
      <c r="F162" s="523"/>
      <c r="G162" s="491">
        <v>0</v>
      </c>
      <c r="H162" s="491">
        <v>0</v>
      </c>
      <c r="I162" s="492">
        <v>0</v>
      </c>
      <c r="J162" s="407">
        <f t="shared" si="28"/>
        <v>0</v>
      </c>
    </row>
    <row r="163" spans="1:12" ht="12" customHeight="1">
      <c r="A163" s="455">
        <v>2023</v>
      </c>
      <c r="C163" s="470" t="s">
        <v>700</v>
      </c>
      <c r="D163" s="449">
        <f>'T2 MET'!F63</f>
        <v>0</v>
      </c>
      <c r="E163" s="504"/>
      <c r="F163" s="523"/>
      <c r="G163" s="523"/>
      <c r="H163" s="491">
        <v>0</v>
      </c>
      <c r="I163" s="492">
        <v>0</v>
      </c>
      <c r="J163" s="407">
        <f t="shared" si="28"/>
        <v>0</v>
      </c>
    </row>
    <row r="164" spans="1:12" ht="12" customHeight="1">
      <c r="A164" s="455">
        <v>2024</v>
      </c>
      <c r="C164" s="471" t="s">
        <v>701</v>
      </c>
      <c r="D164" s="450">
        <f>'T2 MET'!G63</f>
        <v>0</v>
      </c>
      <c r="E164" s="524"/>
      <c r="F164" s="525"/>
      <c r="G164" s="525"/>
      <c r="H164" s="525"/>
      <c r="I164" s="515">
        <v>0</v>
      </c>
      <c r="J164" s="427">
        <f t="shared" si="28"/>
        <v>0</v>
      </c>
    </row>
    <row r="165" spans="1:12" ht="12" customHeight="1">
      <c r="A165" s="455" t="s">
        <v>505</v>
      </c>
      <c r="C165" s="526" t="s">
        <v>705</v>
      </c>
      <c r="D165" s="432">
        <f>SUM(D160:D164)</f>
        <v>0</v>
      </c>
      <c r="E165" s="527">
        <f t="shared" ref="E165:J165" si="29">SUM(E160:E164)</f>
        <v>0</v>
      </c>
      <c r="F165" s="528">
        <f t="shared" si="29"/>
        <v>0</v>
      </c>
      <c r="G165" s="528">
        <f t="shared" si="29"/>
        <v>0</v>
      </c>
      <c r="H165" s="528">
        <f t="shared" si="29"/>
        <v>0</v>
      </c>
      <c r="I165" s="529">
        <f t="shared" si="29"/>
        <v>0</v>
      </c>
      <c r="J165" s="432">
        <f t="shared" si="29"/>
        <v>0</v>
      </c>
    </row>
    <row r="166" spans="1:12" ht="3" customHeight="1"/>
    <row r="167" spans="1:12" ht="12" customHeight="1">
      <c r="A167" s="455">
        <v>2020</v>
      </c>
      <c r="B167" s="396"/>
      <c r="C167" s="469" t="s">
        <v>706</v>
      </c>
      <c r="D167" s="541"/>
      <c r="E167" s="456"/>
      <c r="F167" s="402"/>
      <c r="G167" s="402"/>
      <c r="H167" s="402"/>
      <c r="I167" s="403"/>
      <c r="J167" s="404"/>
      <c r="L167" s="778"/>
    </row>
    <row r="168" spans="1:12" ht="12" customHeight="1">
      <c r="A168" s="455">
        <v>2021</v>
      </c>
      <c r="B168" s="396"/>
      <c r="C168" s="470" t="s">
        <v>707</v>
      </c>
      <c r="D168" s="542"/>
      <c r="E168" s="457"/>
      <c r="F168" s="410"/>
      <c r="G168" s="410"/>
      <c r="H168" s="410"/>
      <c r="I168" s="411"/>
      <c r="J168" s="412"/>
      <c r="L168" s="778"/>
    </row>
    <row r="169" spans="1:12" ht="12" customHeight="1">
      <c r="A169" s="455">
        <v>2022</v>
      </c>
      <c r="B169" s="396"/>
      <c r="C169" s="470" t="s">
        <v>708</v>
      </c>
      <c r="D169" s="542"/>
      <c r="E169" s="457"/>
      <c r="F169" s="410"/>
      <c r="G169" s="410"/>
      <c r="H169" s="410"/>
      <c r="I169" s="411"/>
      <c r="J169" s="412"/>
      <c r="L169" s="778"/>
    </row>
    <row r="170" spans="1:12" ht="12" customHeight="1">
      <c r="A170" s="455">
        <v>2023</v>
      </c>
      <c r="B170" s="396"/>
      <c r="C170" s="470" t="s">
        <v>710</v>
      </c>
      <c r="D170" s="542"/>
      <c r="E170" s="457"/>
      <c r="F170" s="410"/>
      <c r="G170" s="410"/>
      <c r="H170" s="410"/>
      <c r="I170" s="411"/>
      <c r="J170" s="412"/>
      <c r="L170" s="778"/>
    </row>
    <row r="171" spans="1:12" ht="12" customHeight="1">
      <c r="A171" s="455">
        <v>2024</v>
      </c>
      <c r="B171" s="396"/>
      <c r="C171" s="471" t="s">
        <v>711</v>
      </c>
      <c r="D171" s="543"/>
      <c r="E171" s="460"/>
      <c r="F171" s="461"/>
      <c r="G171" s="461"/>
      <c r="H171" s="461"/>
      <c r="I171" s="779"/>
      <c r="J171" s="468"/>
      <c r="L171" s="778"/>
    </row>
    <row r="172" spans="1:12" ht="12" customHeight="1">
      <c r="A172" s="455" t="s">
        <v>505</v>
      </c>
      <c r="B172" s="396"/>
      <c r="C172" s="431" t="s">
        <v>715</v>
      </c>
      <c r="D172" s="500"/>
      <c r="E172" s="534"/>
      <c r="F172" s="495"/>
      <c r="G172" s="495"/>
      <c r="H172" s="495"/>
      <c r="I172" s="535"/>
      <c r="J172" s="500"/>
      <c r="L172" s="778"/>
    </row>
    <row r="173" spans="1:12" ht="4.1500000000000004" customHeight="1">
      <c r="C173" s="472"/>
      <c r="D173" s="472"/>
      <c r="E173" s="472"/>
      <c r="F173" s="473"/>
      <c r="G173" s="472"/>
      <c r="H173" s="472"/>
      <c r="I173" s="472"/>
      <c r="J173" s="472"/>
    </row>
    <row r="174" spans="1:12" ht="3" customHeight="1"/>
    <row r="175" spans="1:12" ht="12" customHeight="1">
      <c r="B175" s="396"/>
      <c r="C175" s="431" t="s">
        <v>716</v>
      </c>
      <c r="D175" s="432">
        <f t="shared" ref="D175:J175" si="30">D17+D28+D35+D42+D49+D56+D63+D70+D75+D86+D97+D114+D125+D136+D147+D158+D165+D172</f>
        <v>22513.572162899796</v>
      </c>
      <c r="E175" s="432">
        <f t="shared" si="30"/>
        <v>-3976</v>
      </c>
      <c r="F175" s="432">
        <f t="shared" si="30"/>
        <v>-4217.126887552794</v>
      </c>
      <c r="G175" s="432">
        <f t="shared" si="30"/>
        <v>15755.052201209783</v>
      </c>
      <c r="H175" s="432">
        <f t="shared" si="30"/>
        <v>14951.512486823925</v>
      </c>
      <c r="I175" s="432">
        <f t="shared" si="30"/>
        <v>0</v>
      </c>
      <c r="J175" s="432">
        <f t="shared" si="30"/>
        <v>0</v>
      </c>
      <c r="L175" s="405"/>
    </row>
    <row r="176" spans="1:12" ht="3" customHeight="1"/>
    <row r="177" spans="3:10" ht="12" customHeight="1">
      <c r="C177" s="1" t="s">
        <v>717</v>
      </c>
    </row>
    <row r="178" spans="3:10" ht="12" customHeight="1">
      <c r="C178" s="1" t="s">
        <v>718</v>
      </c>
      <c r="D178" s="143"/>
      <c r="E178" s="474"/>
      <c r="F178" s="474"/>
      <c r="G178" s="474"/>
      <c r="H178" s="474"/>
      <c r="I178" s="474"/>
      <c r="J178" s="474"/>
    </row>
  </sheetData>
  <mergeCells count="1">
    <mergeCell ref="C1:J1"/>
  </mergeCells>
  <pageMargins left="0.7" right="0.7" top="0.75" bottom="0.75" header="0.3" footer="0.3"/>
  <pageSetup paperSize="9" scale="38"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C261"/>
  <sheetViews>
    <sheetView zoomScaleNormal="100" workbookViewId="0">
      <pane xSplit="4" ySplit="7" topLeftCell="E8" activePane="bottomRight" state="frozen"/>
      <selection pane="topRight" activeCell="E1" sqref="E1"/>
      <selection pane="bottomLeft" activeCell="A8" sqref="A8"/>
      <selection pane="bottomRight" activeCell="E8" sqref="E8"/>
    </sheetView>
  </sheetViews>
  <sheetFormatPr defaultColWidth="12.5703125" defaultRowHeight="15"/>
  <cols>
    <col min="1" max="1" width="12.5703125" style="455" customWidth="1"/>
    <col min="2" max="2" width="2.140625" style="386" customWidth="1"/>
    <col min="3" max="3" width="57.7109375" style="386" customWidth="1"/>
    <col min="4" max="4" width="10.5703125" style="386" bestFit="1" customWidth="1"/>
    <col min="5" max="5" width="10" style="386" customWidth="1"/>
    <col min="6" max="6" width="10" style="219" customWidth="1"/>
    <col min="7" max="12" width="10" style="386" customWidth="1"/>
    <col min="13" max="13" width="10.7109375" style="386" customWidth="1"/>
    <col min="14" max="14" width="3.42578125" style="386" customWidth="1"/>
    <col min="15" max="17" width="2.140625" style="386" customWidth="1"/>
    <col min="18" max="18" width="16.42578125" style="386" customWidth="1"/>
    <col min="19" max="26" width="7.7109375" style="386" customWidth="1"/>
    <col min="27" max="16384" width="12.5703125" style="386"/>
  </cols>
  <sheetData>
    <row r="1" spans="1:25" ht="12" customHeight="1">
      <c r="C1" s="1598" t="s">
        <v>486</v>
      </c>
      <c r="D1" s="1598"/>
      <c r="E1" s="1598"/>
      <c r="F1" s="1598"/>
      <c r="G1" s="1598"/>
      <c r="H1" s="1598"/>
      <c r="I1" s="1598"/>
      <c r="J1" s="1598"/>
      <c r="K1" s="1598"/>
      <c r="L1" s="1598"/>
      <c r="M1" s="1598"/>
      <c r="N1" s="387"/>
      <c r="O1" s="387"/>
      <c r="P1" s="387"/>
      <c r="Q1" s="387"/>
      <c r="R1" s="387"/>
      <c r="S1" s="387"/>
      <c r="T1" s="387"/>
      <c r="U1" s="387"/>
      <c r="V1" s="387"/>
      <c r="W1" s="387"/>
      <c r="X1" s="387"/>
      <c r="Y1" s="387"/>
    </row>
    <row r="2" spans="1:25" ht="12" customHeight="1">
      <c r="C2" s="793"/>
      <c r="D2" s="388"/>
      <c r="E2" s="388"/>
      <c r="G2" s="388"/>
      <c r="H2" s="388"/>
      <c r="I2" s="388"/>
      <c r="J2" s="388"/>
      <c r="K2" s="388"/>
      <c r="L2" s="388"/>
      <c r="M2" s="388"/>
      <c r="N2" s="388"/>
    </row>
    <row r="3" spans="1:25" ht="12" customHeight="1">
      <c r="C3" s="681" t="str">
        <f>'T2 ANSP'!A3</f>
        <v>United Kingdom</v>
      </c>
      <c r="D3" s="388"/>
      <c r="E3" s="388"/>
      <c r="G3" s="388"/>
      <c r="H3" s="388"/>
      <c r="I3" s="388"/>
      <c r="J3" s="388"/>
      <c r="K3" s="388"/>
      <c r="L3" s="388"/>
      <c r="M3" s="388"/>
      <c r="N3" s="388"/>
    </row>
    <row r="4" spans="1:25" ht="12" customHeight="1">
      <c r="C4" s="83" t="str">
        <f>'T2 ANSP'!A4</f>
        <v>Currency : GBP £</v>
      </c>
      <c r="D4" s="388"/>
      <c r="E4" s="388"/>
      <c r="G4" s="388"/>
      <c r="H4" s="388"/>
      <c r="I4" s="1000"/>
      <c r="J4" s="1000"/>
      <c r="K4" s="1000"/>
      <c r="L4" s="1000"/>
      <c r="M4" s="388"/>
      <c r="N4" s="388"/>
    </row>
    <row r="5" spans="1:25" ht="12" customHeight="1">
      <c r="C5" s="147" t="str">
        <f>'T2 ANSP'!A5</f>
        <v>NERL</v>
      </c>
      <c r="D5" s="388"/>
      <c r="E5" s="390"/>
      <c r="G5" s="390"/>
      <c r="H5" s="388"/>
      <c r="I5" s="388"/>
      <c r="J5" s="388"/>
      <c r="K5" s="388"/>
      <c r="L5" s="388"/>
      <c r="M5" s="388"/>
      <c r="N5" s="388"/>
    </row>
    <row r="6" spans="1:25" ht="12" customHeight="1">
      <c r="C6" s="390"/>
      <c r="D6" s="390"/>
      <c r="E6" s="390"/>
      <c r="F6" s="390"/>
      <c r="G6" s="390"/>
      <c r="H6" s="390"/>
      <c r="I6" s="390"/>
      <c r="J6" s="390"/>
      <c r="K6" s="390"/>
      <c r="L6" s="390"/>
      <c r="M6" s="390"/>
      <c r="N6" s="390"/>
    </row>
    <row r="7" spans="1:25" ht="12" customHeight="1">
      <c r="A7" s="455" t="s">
        <v>487</v>
      </c>
      <c r="C7" s="391" t="s">
        <v>488</v>
      </c>
      <c r="D7" s="392" t="s">
        <v>489</v>
      </c>
      <c r="E7" s="393">
        <v>2020</v>
      </c>
      <c r="F7" s="394">
        <v>2021</v>
      </c>
      <c r="G7" s="394">
        <v>2022</v>
      </c>
      <c r="H7" s="394">
        <v>2023</v>
      </c>
      <c r="I7" s="1057">
        <v>2024</v>
      </c>
      <c r="J7" s="394">
        <v>2025</v>
      </c>
      <c r="K7" s="1057">
        <v>2026</v>
      </c>
      <c r="L7" s="394">
        <v>2027</v>
      </c>
      <c r="M7" s="1048" t="s">
        <v>490</v>
      </c>
      <c r="N7" s="388"/>
    </row>
    <row r="8" spans="1:25" ht="11.1" customHeight="1">
      <c r="C8" s="397"/>
      <c r="D8" s="397"/>
      <c r="E8" s="397"/>
      <c r="F8" s="397"/>
      <c r="G8" s="397"/>
      <c r="H8" s="397"/>
      <c r="I8" s="397"/>
      <c r="M8" s="397"/>
      <c r="N8" s="388"/>
    </row>
    <row r="9" spans="1:25" ht="12" customHeight="1">
      <c r="A9" s="455">
        <v>2018</v>
      </c>
      <c r="C9" s="398" t="s">
        <v>491</v>
      </c>
      <c r="D9" s="502">
        <v>-1452.8342198263231</v>
      </c>
      <c r="E9" s="400">
        <v>-1453</v>
      </c>
      <c r="F9" s="401"/>
      <c r="G9" s="402"/>
      <c r="H9" s="402"/>
      <c r="I9" s="1058"/>
      <c r="J9" s="1058"/>
      <c r="K9" s="1058"/>
      <c r="L9" s="1058"/>
      <c r="M9" s="1058"/>
    </row>
    <row r="10" spans="1:25" ht="12" customHeight="1">
      <c r="A10" s="455">
        <v>2019</v>
      </c>
      <c r="C10" s="406" t="s">
        <v>492</v>
      </c>
      <c r="D10" s="477">
        <v>-1608.5000588783619</v>
      </c>
      <c r="E10" s="408"/>
      <c r="F10" s="409">
        <f>D10</f>
        <v>-1608.5000588783619</v>
      </c>
      <c r="G10" s="410"/>
      <c r="H10" s="410"/>
      <c r="I10" s="1059"/>
      <c r="J10" s="1059"/>
      <c r="K10" s="1059"/>
      <c r="L10" s="1059"/>
      <c r="M10" s="1059"/>
    </row>
    <row r="11" spans="1:25" ht="12" customHeight="1">
      <c r="A11" s="455" t="s">
        <v>493</v>
      </c>
      <c r="C11" s="413" t="s">
        <v>494</v>
      </c>
      <c r="D11" s="414">
        <f>SUM(D9:D10)</f>
        <v>-3061.3342787046849</v>
      </c>
      <c r="E11" s="414">
        <f t="shared" ref="E11:F11" si="0">SUM(E9:E10)</f>
        <v>-1453</v>
      </c>
      <c r="F11" s="414">
        <f t="shared" si="0"/>
        <v>-1608.5000588783619</v>
      </c>
      <c r="G11" s="417"/>
      <c r="H11" s="417"/>
      <c r="I11" s="1060"/>
      <c r="J11" s="1060"/>
      <c r="K11" s="1060"/>
      <c r="L11" s="1060"/>
      <c r="M11" s="1060"/>
    </row>
    <row r="12" spans="1:25" ht="12" customHeight="1">
      <c r="A12" s="455">
        <v>2020</v>
      </c>
      <c r="C12" s="398" t="s">
        <v>495</v>
      </c>
      <c r="D12" s="915">
        <f>'T2 NSA'!C19</f>
        <v>0</v>
      </c>
      <c r="E12" s="420"/>
      <c r="F12" s="401"/>
      <c r="G12" s="421">
        <f>D12</f>
        <v>0</v>
      </c>
      <c r="H12" s="402"/>
      <c r="I12" s="410"/>
      <c r="J12" s="410"/>
      <c r="K12" s="410"/>
      <c r="L12" s="410"/>
      <c r="M12" s="1054"/>
    </row>
    <row r="13" spans="1:25" ht="12" customHeight="1">
      <c r="A13" s="455">
        <v>2021</v>
      </c>
      <c r="C13" s="406" t="s">
        <v>496</v>
      </c>
      <c r="D13" s="407">
        <f>'T2 NSA'!D19</f>
        <v>0</v>
      </c>
      <c r="E13" s="408"/>
      <c r="F13" s="422"/>
      <c r="G13" s="410"/>
      <c r="H13" s="423">
        <f>D13</f>
        <v>0</v>
      </c>
      <c r="I13" s="410"/>
      <c r="J13" s="410"/>
      <c r="K13" s="410"/>
      <c r="L13" s="410"/>
      <c r="M13" s="1049"/>
    </row>
    <row r="14" spans="1:25" ht="12" customHeight="1">
      <c r="A14" s="455">
        <v>2022</v>
      </c>
      <c r="C14" s="406" t="s">
        <v>497</v>
      </c>
      <c r="D14" s="407">
        <f>'T2 NSA'!E19</f>
        <v>0</v>
      </c>
      <c r="E14" s="408"/>
      <c r="F14" s="422"/>
      <c r="G14" s="410"/>
      <c r="H14" s="410"/>
      <c r="I14" s="1061">
        <f>D14</f>
        <v>0</v>
      </c>
      <c r="J14" s="410"/>
      <c r="K14" s="410"/>
      <c r="L14" s="410"/>
      <c r="M14" s="1049"/>
    </row>
    <row r="15" spans="1:25" ht="12" customHeight="1">
      <c r="A15" s="455" t="s">
        <v>498</v>
      </c>
      <c r="C15" s="413" t="s">
        <v>499</v>
      </c>
      <c r="D15" s="414">
        <f>SUM(D12:D14)</f>
        <v>0</v>
      </c>
      <c r="E15" s="1083"/>
      <c r="F15" s="1084"/>
      <c r="G15" s="416">
        <f>SUM(G12:G14)</f>
        <v>0</v>
      </c>
      <c r="H15" s="416">
        <f>SUM(H12:H14)</f>
        <v>0</v>
      </c>
      <c r="I15" s="416">
        <f>SUM(I12:I14)</f>
        <v>0</v>
      </c>
      <c r="J15" s="417"/>
      <c r="K15" s="417"/>
      <c r="L15" s="417"/>
      <c r="M15" s="1050"/>
    </row>
    <row r="16" spans="1:25" ht="12" customHeight="1">
      <c r="A16" s="455">
        <v>2023</v>
      </c>
      <c r="C16" s="406" t="s">
        <v>500</v>
      </c>
      <c r="D16" s="407">
        <f>'T2 NSA'!F19</f>
        <v>0</v>
      </c>
      <c r="E16" s="408"/>
      <c r="F16" s="422"/>
      <c r="G16" s="410"/>
      <c r="H16" s="410"/>
      <c r="I16" s="410"/>
      <c r="J16" s="1061">
        <f>D16</f>
        <v>0</v>
      </c>
      <c r="K16" s="410"/>
      <c r="L16" s="410"/>
      <c r="M16" s="1049"/>
    </row>
    <row r="17" spans="1:13" ht="12" customHeight="1">
      <c r="A17" s="455">
        <v>2024</v>
      </c>
      <c r="C17" s="406" t="s">
        <v>501</v>
      </c>
      <c r="D17" s="407">
        <f>'T2 NSA'!G19</f>
        <v>0</v>
      </c>
      <c r="E17" s="408"/>
      <c r="F17" s="422"/>
      <c r="G17" s="410"/>
      <c r="H17" s="410"/>
      <c r="I17" s="410"/>
      <c r="J17" s="410"/>
      <c r="K17" s="1061">
        <f>D17</f>
        <v>0</v>
      </c>
      <c r="L17" s="410"/>
      <c r="M17" s="1049"/>
    </row>
    <row r="18" spans="1:13" ht="12" customHeight="1">
      <c r="A18" s="455">
        <v>2025</v>
      </c>
      <c r="C18" s="406" t="s">
        <v>502</v>
      </c>
      <c r="D18" s="407">
        <f>'T2 NSA'!H19</f>
        <v>0</v>
      </c>
      <c r="E18" s="408"/>
      <c r="F18" s="422"/>
      <c r="G18" s="410"/>
      <c r="H18" s="410"/>
      <c r="I18" s="410"/>
      <c r="J18" s="410"/>
      <c r="K18" s="410"/>
      <c r="L18" s="1061">
        <f>D18</f>
        <v>0</v>
      </c>
      <c r="M18" s="1049"/>
    </row>
    <row r="19" spans="1:13" ht="12" customHeight="1">
      <c r="A19" s="455">
        <v>2026</v>
      </c>
      <c r="C19" s="406" t="s">
        <v>503</v>
      </c>
      <c r="D19" s="407">
        <f>'T2 NSA'!I19</f>
        <v>0</v>
      </c>
      <c r="E19" s="408"/>
      <c r="F19" s="422"/>
      <c r="G19" s="410"/>
      <c r="H19" s="410"/>
      <c r="I19" s="410"/>
      <c r="J19" s="410"/>
      <c r="K19" s="410"/>
      <c r="L19" s="410"/>
      <c r="M19" s="1074">
        <f>D19</f>
        <v>0</v>
      </c>
    </row>
    <row r="20" spans="1:13" ht="12" customHeight="1">
      <c r="A20" s="455">
        <v>2027</v>
      </c>
      <c r="C20" s="426" t="s">
        <v>504</v>
      </c>
      <c r="D20" s="427">
        <f>'T2 NSA'!J19</f>
        <v>0</v>
      </c>
      <c r="E20" s="428"/>
      <c r="F20" s="429"/>
      <c r="G20" s="429"/>
      <c r="H20" s="429"/>
      <c r="I20" s="410"/>
      <c r="J20" s="410"/>
      <c r="K20" s="410"/>
      <c r="L20" s="410"/>
      <c r="M20" s="1075">
        <f>D20</f>
        <v>0</v>
      </c>
    </row>
    <row r="21" spans="1:13" ht="12" customHeight="1">
      <c r="A21" s="455" t="s">
        <v>505</v>
      </c>
      <c r="C21" s="431" t="s">
        <v>506</v>
      </c>
      <c r="D21" s="432">
        <f>SUM(D16:D20)+D11+D15</f>
        <v>-3061.3342787046849</v>
      </c>
      <c r="E21" s="480">
        <f t="shared" ref="E21:M21" si="1">SUM(E16:E20)+E11+E15</f>
        <v>-1453</v>
      </c>
      <c r="F21" s="434">
        <f t="shared" si="1"/>
        <v>-1608.5000588783619</v>
      </c>
      <c r="G21" s="434">
        <f t="shared" si="1"/>
        <v>0</v>
      </c>
      <c r="H21" s="434">
        <f t="shared" si="1"/>
        <v>0</v>
      </c>
      <c r="I21" s="481">
        <f t="shared" si="1"/>
        <v>0</v>
      </c>
      <c r="J21" s="481">
        <f t="shared" si="1"/>
        <v>0</v>
      </c>
      <c r="K21" s="481">
        <f t="shared" si="1"/>
        <v>0</v>
      </c>
      <c r="L21" s="481">
        <f t="shared" si="1"/>
        <v>0</v>
      </c>
      <c r="M21" s="1076">
        <f t="shared" si="1"/>
        <v>0</v>
      </c>
    </row>
    <row r="22" spans="1:13" ht="4.1500000000000004" customHeight="1">
      <c r="A22" s="758"/>
      <c r="C22" s="482"/>
      <c r="D22" s="483"/>
      <c r="E22" s="484"/>
      <c r="F22" s="484"/>
      <c r="G22" s="484"/>
      <c r="H22" s="484"/>
      <c r="I22" s="484"/>
      <c r="J22" s="447"/>
      <c r="K22" s="447"/>
      <c r="L22" s="447"/>
      <c r="M22" s="484"/>
    </row>
    <row r="23" spans="1:13" ht="12.6" customHeight="1">
      <c r="A23" s="455">
        <v>2017</v>
      </c>
      <c r="C23" s="398" t="s">
        <v>507</v>
      </c>
      <c r="D23" s="531"/>
      <c r="E23" s="506"/>
      <c r="F23" s="507"/>
      <c r="G23" s="507"/>
      <c r="H23" s="507"/>
      <c r="I23" s="1085"/>
      <c r="J23" s="1085"/>
      <c r="K23" s="1085"/>
      <c r="L23" s="1085"/>
      <c r="M23" s="1054"/>
    </row>
    <row r="24" spans="1:13" ht="12" customHeight="1">
      <c r="A24" s="455">
        <v>2018</v>
      </c>
      <c r="C24" s="406" t="s">
        <v>508</v>
      </c>
      <c r="D24" s="533"/>
      <c r="E24" s="508"/>
      <c r="F24" s="509"/>
      <c r="G24" s="509"/>
      <c r="H24" s="509"/>
      <c r="I24" s="1068"/>
      <c r="J24" s="1068"/>
      <c r="K24" s="1068"/>
      <c r="L24" s="1068"/>
      <c r="M24" s="1049"/>
    </row>
    <row r="25" spans="1:13" ht="12" customHeight="1">
      <c r="A25" s="455">
        <v>2019</v>
      </c>
      <c r="C25" s="406" t="s">
        <v>509</v>
      </c>
      <c r="D25" s="533"/>
      <c r="E25" s="457"/>
      <c r="F25" s="509"/>
      <c r="G25" s="509"/>
      <c r="H25" s="509"/>
      <c r="I25" s="1068"/>
      <c r="J25" s="1068"/>
      <c r="K25" s="1068"/>
      <c r="L25" s="1068"/>
      <c r="M25" s="1049"/>
    </row>
    <row r="26" spans="1:13" ht="12" customHeight="1">
      <c r="A26" s="455" t="s">
        <v>493</v>
      </c>
      <c r="C26" s="413" t="s">
        <v>510</v>
      </c>
      <c r="D26" s="419"/>
      <c r="E26" s="464"/>
      <c r="F26" s="417"/>
      <c r="G26" s="417"/>
      <c r="H26" s="417"/>
      <c r="I26" s="1060"/>
      <c r="J26" s="1060"/>
      <c r="K26" s="1060"/>
      <c r="L26" s="1060"/>
      <c r="M26" s="1050"/>
    </row>
    <row r="27" spans="1:13" ht="12" customHeight="1">
      <c r="A27" s="455">
        <v>2020</v>
      </c>
      <c r="C27" s="398" t="s">
        <v>511</v>
      </c>
      <c r="D27" s="412"/>
      <c r="E27" s="456"/>
      <c r="F27" s="402"/>
      <c r="G27" s="402"/>
      <c r="H27" s="402"/>
      <c r="I27" s="402"/>
      <c r="J27" s="402"/>
      <c r="K27" s="402"/>
      <c r="L27" s="402"/>
      <c r="M27" s="1054"/>
    </row>
    <row r="28" spans="1:13" ht="12" customHeight="1">
      <c r="A28" s="455">
        <v>2021</v>
      </c>
      <c r="C28" s="406" t="s">
        <v>512</v>
      </c>
      <c r="D28" s="412"/>
      <c r="E28" s="457"/>
      <c r="F28" s="410"/>
      <c r="G28" s="410"/>
      <c r="H28" s="410"/>
      <c r="I28" s="1068"/>
      <c r="J28" s="410"/>
      <c r="K28" s="410"/>
      <c r="L28" s="410"/>
      <c r="M28" s="1049"/>
    </row>
    <row r="29" spans="1:13" ht="12" customHeight="1">
      <c r="A29" s="455">
        <v>2022</v>
      </c>
      <c r="C29" s="406" t="s">
        <v>513</v>
      </c>
      <c r="D29" s="412"/>
      <c r="E29" s="457"/>
      <c r="F29" s="410"/>
      <c r="G29" s="410"/>
      <c r="H29" s="410"/>
      <c r="I29" s="410"/>
      <c r="J29" s="410"/>
      <c r="K29" s="410"/>
      <c r="L29" s="410"/>
      <c r="M29" s="1049"/>
    </row>
    <row r="30" spans="1:13" ht="12" customHeight="1">
      <c r="A30" s="455" t="s">
        <v>498</v>
      </c>
      <c r="C30" s="413" t="s">
        <v>514</v>
      </c>
      <c r="D30" s="419"/>
      <c r="E30" s="464"/>
      <c r="F30" s="417"/>
      <c r="G30" s="417"/>
      <c r="H30" s="417"/>
      <c r="I30" s="417"/>
      <c r="J30" s="417"/>
      <c r="K30" s="417"/>
      <c r="L30" s="417"/>
      <c r="M30" s="1050"/>
    </row>
    <row r="31" spans="1:13" ht="12" customHeight="1">
      <c r="A31" s="455">
        <v>2023</v>
      </c>
      <c r="C31" s="406" t="s">
        <v>515</v>
      </c>
      <c r="D31" s="412"/>
      <c r="E31" s="457"/>
      <c r="F31" s="410"/>
      <c r="G31" s="410"/>
      <c r="H31" s="410"/>
      <c r="I31" s="410"/>
      <c r="J31" s="410"/>
      <c r="K31" s="410"/>
      <c r="L31" s="410"/>
      <c r="M31" s="1049"/>
    </row>
    <row r="32" spans="1:13" ht="12" customHeight="1">
      <c r="A32" s="455">
        <v>2024</v>
      </c>
      <c r="C32" s="406" t="s">
        <v>516</v>
      </c>
      <c r="D32" s="412"/>
      <c r="E32" s="457"/>
      <c r="F32" s="410"/>
      <c r="G32" s="410"/>
      <c r="H32" s="410"/>
      <c r="I32" s="410"/>
      <c r="J32" s="410"/>
      <c r="K32" s="410"/>
      <c r="L32" s="410"/>
      <c r="M32" s="1049"/>
    </row>
    <row r="33" spans="1:13" ht="12" customHeight="1">
      <c r="A33" s="455">
        <v>2025</v>
      </c>
      <c r="C33" s="406" t="s">
        <v>517</v>
      </c>
      <c r="D33" s="412"/>
      <c r="E33" s="457"/>
      <c r="F33" s="410"/>
      <c r="G33" s="410"/>
      <c r="H33" s="410"/>
      <c r="I33" s="410"/>
      <c r="J33" s="410"/>
      <c r="K33" s="410"/>
      <c r="L33" s="410"/>
      <c r="M33" s="1049"/>
    </row>
    <row r="34" spans="1:13" ht="12" customHeight="1">
      <c r="A34" s="455">
        <v>2026</v>
      </c>
      <c r="C34" s="406" t="s">
        <v>518</v>
      </c>
      <c r="D34" s="412"/>
      <c r="E34" s="457"/>
      <c r="F34" s="410"/>
      <c r="G34" s="410"/>
      <c r="H34" s="410"/>
      <c r="I34" s="410"/>
      <c r="J34" s="410"/>
      <c r="K34" s="410"/>
      <c r="L34" s="410"/>
      <c r="M34" s="1049"/>
    </row>
    <row r="35" spans="1:13" ht="12" customHeight="1">
      <c r="A35" s="455">
        <v>2027</v>
      </c>
      <c r="C35" s="406" t="s">
        <v>519</v>
      </c>
      <c r="D35" s="468"/>
      <c r="E35" s="460"/>
      <c r="F35" s="461"/>
      <c r="G35" s="461"/>
      <c r="H35" s="461"/>
      <c r="I35" s="461"/>
      <c r="J35" s="461"/>
      <c r="K35" s="461"/>
      <c r="L35" s="461"/>
      <c r="M35" s="1055"/>
    </row>
    <row r="36" spans="1:13" ht="12" customHeight="1">
      <c r="A36" s="455" t="s">
        <v>505</v>
      </c>
      <c r="C36" s="431" t="s">
        <v>520</v>
      </c>
      <c r="D36" s="494"/>
      <c r="E36" s="494"/>
      <c r="F36" s="494"/>
      <c r="G36" s="494"/>
      <c r="H36" s="494"/>
      <c r="I36" s="494"/>
      <c r="J36" s="494"/>
      <c r="K36" s="494"/>
      <c r="L36" s="494"/>
      <c r="M36" s="1056"/>
    </row>
    <row r="37" spans="1:13" ht="4.1500000000000004" customHeight="1">
      <c r="A37" s="758"/>
      <c r="C37" s="482"/>
      <c r="D37" s="482"/>
      <c r="E37" s="447"/>
      <c r="F37" s="447"/>
      <c r="G37" s="447"/>
      <c r="H37" s="447"/>
      <c r="I37" s="447"/>
      <c r="J37" s="447"/>
      <c r="K37" s="447"/>
      <c r="L37" s="447"/>
      <c r="M37" s="447"/>
    </row>
    <row r="38" spans="1:13" ht="12" customHeight="1">
      <c r="A38" s="455">
        <v>2020</v>
      </c>
      <c r="C38" s="398" t="s">
        <v>521</v>
      </c>
      <c r="D38" s="496"/>
      <c r="E38" s="456"/>
      <c r="F38" s="402"/>
      <c r="G38" s="507"/>
      <c r="H38" s="402"/>
      <c r="I38" s="1058"/>
      <c r="J38" s="402"/>
      <c r="K38" s="402"/>
      <c r="L38" s="402"/>
      <c r="M38" s="1054"/>
    </row>
    <row r="39" spans="1:13" ht="12" customHeight="1">
      <c r="A39" s="455">
        <v>2021</v>
      </c>
      <c r="C39" s="406" t="s">
        <v>522</v>
      </c>
      <c r="D39" s="497"/>
      <c r="E39" s="457"/>
      <c r="F39" s="410"/>
      <c r="G39" s="410"/>
      <c r="H39" s="509"/>
      <c r="I39" s="1059"/>
      <c r="J39" s="410"/>
      <c r="K39" s="410"/>
      <c r="L39" s="410"/>
      <c r="M39" s="1049"/>
    </row>
    <row r="40" spans="1:13" ht="12" customHeight="1">
      <c r="A40" s="455">
        <v>2022</v>
      </c>
      <c r="C40" s="406" t="s">
        <v>523</v>
      </c>
      <c r="D40" s="497"/>
      <c r="E40" s="457"/>
      <c r="F40" s="410"/>
      <c r="G40" s="410"/>
      <c r="H40" s="410"/>
      <c r="I40" s="1087"/>
      <c r="J40" s="410"/>
      <c r="K40" s="410"/>
      <c r="L40" s="410"/>
      <c r="M40" s="1049"/>
    </row>
    <row r="41" spans="1:13" ht="12" customHeight="1">
      <c r="A41" s="455" t="s">
        <v>498</v>
      </c>
      <c r="C41" s="413" t="s">
        <v>524</v>
      </c>
      <c r="D41" s="419"/>
      <c r="E41" s="464"/>
      <c r="F41" s="417"/>
      <c r="G41" s="417"/>
      <c r="H41" s="417"/>
      <c r="I41" s="417"/>
      <c r="J41" s="417"/>
      <c r="K41" s="417"/>
      <c r="L41" s="417"/>
      <c r="M41" s="1050"/>
    </row>
    <row r="42" spans="1:13" ht="12" customHeight="1">
      <c r="A42" s="455">
        <v>2023</v>
      </c>
      <c r="C42" s="406" t="s">
        <v>525</v>
      </c>
      <c r="D42" s="497"/>
      <c r="E42" s="457"/>
      <c r="F42" s="410"/>
      <c r="G42" s="410"/>
      <c r="H42" s="410"/>
      <c r="I42" s="1062"/>
      <c r="J42" s="1081"/>
      <c r="K42" s="1081"/>
      <c r="L42" s="402"/>
      <c r="M42" s="1054"/>
    </row>
    <row r="43" spans="1:13" ht="12" customHeight="1">
      <c r="A43" s="455">
        <v>2024</v>
      </c>
      <c r="C43" s="406" t="s">
        <v>526</v>
      </c>
      <c r="D43" s="497"/>
      <c r="E43" s="457"/>
      <c r="F43" s="410"/>
      <c r="G43" s="410"/>
      <c r="H43" s="410"/>
      <c r="I43" s="1062"/>
      <c r="J43" s="1081"/>
      <c r="K43" s="1081"/>
      <c r="L43" s="410"/>
      <c r="M43" s="1049"/>
    </row>
    <row r="44" spans="1:13" ht="12" customHeight="1">
      <c r="A44" s="455">
        <v>2025</v>
      </c>
      <c r="C44" s="406" t="s">
        <v>527</v>
      </c>
      <c r="D44" s="497"/>
      <c r="E44" s="457"/>
      <c r="F44" s="410"/>
      <c r="G44" s="410"/>
      <c r="H44" s="410"/>
      <c r="I44" s="1062"/>
      <c r="J44" s="1081"/>
      <c r="K44" s="1081"/>
      <c r="L44" s="1081"/>
      <c r="M44" s="1049"/>
    </row>
    <row r="45" spans="1:13" ht="12" customHeight="1">
      <c r="A45" s="455">
        <v>2026</v>
      </c>
      <c r="C45" s="406" t="s">
        <v>528</v>
      </c>
      <c r="D45" s="497"/>
      <c r="E45" s="457"/>
      <c r="F45" s="410"/>
      <c r="G45" s="410"/>
      <c r="H45" s="410"/>
      <c r="I45" s="1062"/>
      <c r="J45" s="1081"/>
      <c r="K45" s="1081"/>
      <c r="L45" s="1081"/>
      <c r="M45" s="1049"/>
    </row>
    <row r="46" spans="1:13" ht="12" customHeight="1">
      <c r="A46" s="455">
        <v>2027</v>
      </c>
      <c r="C46" s="406" t="s">
        <v>529</v>
      </c>
      <c r="D46" s="498"/>
      <c r="E46" s="460"/>
      <c r="F46" s="461"/>
      <c r="G46" s="461"/>
      <c r="H46" s="461"/>
      <c r="I46" s="1409"/>
      <c r="J46" s="1081"/>
      <c r="K46" s="1081"/>
      <c r="L46" s="1081"/>
      <c r="M46" s="1055"/>
    </row>
    <row r="47" spans="1:13" ht="12" customHeight="1">
      <c r="A47" s="455" t="s">
        <v>505</v>
      </c>
      <c r="C47" s="431" t="s">
        <v>530</v>
      </c>
      <c r="D47" s="500"/>
      <c r="E47" s="494"/>
      <c r="F47" s="495"/>
      <c r="G47" s="494"/>
      <c r="H47" s="494"/>
      <c r="I47" s="494"/>
      <c r="J47" s="494"/>
      <c r="K47" s="494"/>
      <c r="L47" s="494"/>
      <c r="M47" s="1056"/>
    </row>
    <row r="48" spans="1:13" ht="4.1500000000000004" customHeight="1">
      <c r="A48" s="758"/>
      <c r="C48" s="482"/>
      <c r="D48" s="482"/>
      <c r="E48" s="447"/>
      <c r="F48" s="447"/>
      <c r="G48" s="447"/>
      <c r="H48" s="447"/>
      <c r="I48" s="447"/>
      <c r="J48" s="447"/>
      <c r="K48" s="447"/>
      <c r="L48" s="447"/>
      <c r="M48" s="447"/>
    </row>
    <row r="49" spans="1:13" ht="12" customHeight="1">
      <c r="A49" s="455">
        <v>2020</v>
      </c>
      <c r="C49" s="398" t="s">
        <v>531</v>
      </c>
      <c r="D49" s="443">
        <f>'T2 NSA'!C23</f>
        <v>-3711.3231999999698</v>
      </c>
      <c r="E49" s="420"/>
      <c r="F49" s="401"/>
      <c r="G49" s="487">
        <f>D49</f>
        <v>-3711.3231999999698</v>
      </c>
      <c r="H49" s="402"/>
      <c r="I49" s="1058"/>
      <c r="J49" s="402"/>
      <c r="K49" s="402"/>
      <c r="L49" s="402"/>
      <c r="M49" s="1054"/>
    </row>
    <row r="50" spans="1:13" ht="12" customHeight="1">
      <c r="A50" s="455">
        <v>2021</v>
      </c>
      <c r="C50" s="406" t="s">
        <v>532</v>
      </c>
      <c r="D50" s="444">
        <f>'T2 NSA'!D23</f>
        <v>0.26560000000608852</v>
      </c>
      <c r="E50" s="408"/>
      <c r="F50" s="422"/>
      <c r="G50" s="410"/>
      <c r="H50" s="491">
        <f>D50</f>
        <v>0.26560000000608852</v>
      </c>
      <c r="I50" s="1059"/>
      <c r="J50" s="410"/>
      <c r="K50" s="410"/>
      <c r="L50" s="410"/>
      <c r="M50" s="1049"/>
    </row>
    <row r="51" spans="1:13" ht="12" customHeight="1">
      <c r="A51" s="455">
        <v>2022</v>
      </c>
      <c r="C51" s="406" t="s">
        <v>533</v>
      </c>
      <c r="D51" s="444">
        <f>'T2 NSA'!E23</f>
        <v>0</v>
      </c>
      <c r="E51" s="408"/>
      <c r="F51" s="422"/>
      <c r="G51" s="410"/>
      <c r="H51" s="410"/>
      <c r="I51" s="1066">
        <f>D51</f>
        <v>0</v>
      </c>
      <c r="J51" s="410"/>
      <c r="K51" s="410"/>
      <c r="L51" s="410"/>
      <c r="M51" s="1049"/>
    </row>
    <row r="52" spans="1:13" ht="12" customHeight="1">
      <c r="A52" s="455" t="s">
        <v>498</v>
      </c>
      <c r="C52" s="413" t="s">
        <v>534</v>
      </c>
      <c r="D52" s="414">
        <f>SUM(D49:D51)</f>
        <v>-3711.0575999999637</v>
      </c>
      <c r="E52" s="1083"/>
      <c r="F52" s="1084"/>
      <c r="G52" s="416">
        <f>SUM(G49:G51)</f>
        <v>-3711.3231999999698</v>
      </c>
      <c r="H52" s="416">
        <f>SUM(H49:H51)</f>
        <v>0.26560000000608852</v>
      </c>
      <c r="I52" s="416">
        <f>SUM(I49:I51)</f>
        <v>0</v>
      </c>
      <c r="J52" s="417"/>
      <c r="K52" s="417"/>
      <c r="L52" s="417"/>
      <c r="M52" s="1050"/>
    </row>
    <row r="53" spans="1:13" ht="12" customHeight="1">
      <c r="A53" s="455">
        <v>2023</v>
      </c>
      <c r="C53" s="406" t="s">
        <v>535</v>
      </c>
      <c r="D53" s="444">
        <f>'T2 NSA'!F23</f>
        <v>0</v>
      </c>
      <c r="E53" s="408"/>
      <c r="F53" s="422"/>
      <c r="G53" s="410"/>
      <c r="H53" s="410"/>
      <c r="I53" s="1062"/>
      <c r="J53" s="1086">
        <f>D53</f>
        <v>0</v>
      </c>
      <c r="K53" s="1081"/>
      <c r="L53" s="402"/>
      <c r="M53" s="1054"/>
    </row>
    <row r="54" spans="1:13" ht="12" customHeight="1">
      <c r="A54" s="455">
        <v>2024</v>
      </c>
      <c r="C54" s="406" t="s">
        <v>536</v>
      </c>
      <c r="D54" s="444">
        <f>'T2 NSA'!G23</f>
        <v>0</v>
      </c>
      <c r="E54" s="408"/>
      <c r="F54" s="422"/>
      <c r="G54" s="410"/>
      <c r="H54" s="410"/>
      <c r="I54" s="1062"/>
      <c r="J54" s="1081"/>
      <c r="K54" s="1086">
        <f>D54</f>
        <v>0</v>
      </c>
      <c r="L54" s="410"/>
      <c r="M54" s="1049"/>
    </row>
    <row r="55" spans="1:13" ht="12" customHeight="1">
      <c r="A55" s="455">
        <v>2025</v>
      </c>
      <c r="C55" s="406" t="s">
        <v>537</v>
      </c>
      <c r="D55" s="444">
        <f>'T2 NSA'!H23</f>
        <v>0</v>
      </c>
      <c r="E55" s="408"/>
      <c r="F55" s="422"/>
      <c r="G55" s="410"/>
      <c r="H55" s="410"/>
      <c r="I55" s="1062"/>
      <c r="J55" s="1081"/>
      <c r="K55" s="1081"/>
      <c r="L55" s="1086">
        <f>D55</f>
        <v>0</v>
      </c>
      <c r="M55" s="1049"/>
    </row>
    <row r="56" spans="1:13" ht="12" customHeight="1">
      <c r="A56" s="455">
        <v>2026</v>
      </c>
      <c r="C56" s="406" t="s">
        <v>538</v>
      </c>
      <c r="D56" s="444">
        <f>'T2 NSA'!I23</f>
        <v>0</v>
      </c>
      <c r="E56" s="408"/>
      <c r="F56" s="422"/>
      <c r="G56" s="410"/>
      <c r="H56" s="410"/>
      <c r="I56" s="1062"/>
      <c r="J56" s="1081"/>
      <c r="K56" s="1081"/>
      <c r="L56" s="1081"/>
      <c r="M56" s="440">
        <f>D56</f>
        <v>0</v>
      </c>
    </row>
    <row r="57" spans="1:13" ht="12" customHeight="1">
      <c r="A57" s="455">
        <v>2027</v>
      </c>
      <c r="C57" s="406" t="s">
        <v>539</v>
      </c>
      <c r="D57" s="445">
        <f>'T2 NSA'!J23</f>
        <v>0</v>
      </c>
      <c r="E57" s="428"/>
      <c r="F57" s="429"/>
      <c r="G57" s="429"/>
      <c r="H57" s="429"/>
      <c r="I57" s="1063"/>
      <c r="J57" s="1082"/>
      <c r="K57" s="1082"/>
      <c r="L57" s="1082"/>
      <c r="M57" s="1075">
        <f>D57</f>
        <v>0</v>
      </c>
    </row>
    <row r="58" spans="1:13" ht="12" customHeight="1">
      <c r="A58" s="455" t="s">
        <v>505</v>
      </c>
      <c r="C58" s="431" t="s">
        <v>540</v>
      </c>
      <c r="D58" s="432">
        <f>SUM(D52:D57)</f>
        <v>-3711.0575999999637</v>
      </c>
      <c r="E58" s="494"/>
      <c r="F58" s="495"/>
      <c r="G58" s="480">
        <f t="shared" ref="G58:L58" si="2">SUM(G52:G57)</f>
        <v>-3711.3231999999698</v>
      </c>
      <c r="H58" s="480">
        <f t="shared" si="2"/>
        <v>0.26560000000608852</v>
      </c>
      <c r="I58" s="480">
        <f t="shared" si="2"/>
        <v>0</v>
      </c>
      <c r="J58" s="480">
        <f t="shared" si="2"/>
        <v>0</v>
      </c>
      <c r="K58" s="480">
        <f t="shared" si="2"/>
        <v>0</v>
      </c>
      <c r="L58" s="480">
        <f t="shared" si="2"/>
        <v>0</v>
      </c>
      <c r="M58" s="1076">
        <f>SUM(M52:M57)</f>
        <v>0</v>
      </c>
    </row>
    <row r="59" spans="1:13" ht="4.9000000000000004" customHeight="1">
      <c r="A59" s="758"/>
      <c r="C59" s="482"/>
      <c r="D59" s="447"/>
      <c r="E59" s="447"/>
      <c r="F59" s="447"/>
      <c r="G59" s="447"/>
      <c r="H59" s="447"/>
      <c r="I59" s="447"/>
      <c r="J59" s="447"/>
      <c r="K59" s="447"/>
      <c r="L59" s="447"/>
      <c r="M59" s="447"/>
    </row>
    <row r="60" spans="1:13" ht="12" customHeight="1">
      <c r="A60" s="455">
        <v>2020</v>
      </c>
      <c r="C60" s="398" t="s">
        <v>541</v>
      </c>
      <c r="D60" s="443">
        <f>'T2 NSA'!C24</f>
        <v>-3808.3130923808203</v>
      </c>
      <c r="E60" s="420"/>
      <c r="F60" s="401"/>
      <c r="G60" s="487">
        <f>D60</f>
        <v>-3808.3130923808203</v>
      </c>
      <c r="H60" s="402"/>
      <c r="I60" s="1058"/>
      <c r="J60" s="402"/>
      <c r="K60" s="402"/>
      <c r="L60" s="402"/>
      <c r="M60" s="1054"/>
    </row>
    <row r="61" spans="1:13" ht="12" customHeight="1">
      <c r="A61" s="455">
        <v>2021</v>
      </c>
      <c r="C61" s="406" t="s">
        <v>542</v>
      </c>
      <c r="D61" s="444">
        <f>'T2 NSA'!D24</f>
        <v>-6609.2647955020075</v>
      </c>
      <c r="E61" s="408"/>
      <c r="F61" s="422"/>
      <c r="G61" s="410"/>
      <c r="H61" s="491">
        <f>D61</f>
        <v>-6609.2647955020075</v>
      </c>
      <c r="I61" s="1059"/>
      <c r="J61" s="410"/>
      <c r="K61" s="410"/>
      <c r="L61" s="410"/>
      <c r="M61" s="1049"/>
    </row>
    <row r="62" spans="1:13" ht="12" customHeight="1">
      <c r="A62" s="455">
        <v>2022</v>
      </c>
      <c r="C62" s="406" t="s">
        <v>543</v>
      </c>
      <c r="D62" s="444">
        <f>'T2 NSA'!E24</f>
        <v>0</v>
      </c>
      <c r="E62" s="408"/>
      <c r="F62" s="422"/>
      <c r="G62" s="410"/>
      <c r="H62" s="410"/>
      <c r="I62" s="1066">
        <f>D62</f>
        <v>0</v>
      </c>
      <c r="J62" s="410"/>
      <c r="K62" s="410"/>
      <c r="L62" s="410"/>
      <c r="M62" s="1049"/>
    </row>
    <row r="63" spans="1:13" ht="12" customHeight="1">
      <c r="A63" s="455" t="s">
        <v>498</v>
      </c>
      <c r="C63" s="413" t="s">
        <v>544</v>
      </c>
      <c r="D63" s="414">
        <f>SUM(D60:D62)</f>
        <v>-10417.577887882828</v>
      </c>
      <c r="E63" s="1083"/>
      <c r="F63" s="1084"/>
      <c r="G63" s="416">
        <f>SUM(G60:G62)</f>
        <v>-3808.3130923808203</v>
      </c>
      <c r="H63" s="416">
        <f>SUM(H60:H62)</f>
        <v>-6609.2647955020075</v>
      </c>
      <c r="I63" s="416">
        <f>SUM(I60:I62)</f>
        <v>0</v>
      </c>
      <c r="J63" s="417"/>
      <c r="K63" s="417"/>
      <c r="L63" s="417"/>
      <c r="M63" s="1050"/>
    </row>
    <row r="64" spans="1:13" ht="12" customHeight="1">
      <c r="A64" s="455">
        <v>2023</v>
      </c>
      <c r="C64" s="406" t="s">
        <v>545</v>
      </c>
      <c r="D64" s="444">
        <f>'T2 NSA'!F24</f>
        <v>0</v>
      </c>
      <c r="E64" s="408"/>
      <c r="F64" s="422"/>
      <c r="G64" s="410"/>
      <c r="H64" s="410"/>
      <c r="I64" s="1062"/>
      <c r="J64" s="1086">
        <f>D64</f>
        <v>0</v>
      </c>
      <c r="K64" s="1081"/>
      <c r="L64" s="402"/>
      <c r="M64" s="1054"/>
    </row>
    <row r="65" spans="1:13" ht="12" customHeight="1">
      <c r="A65" s="455">
        <v>2024</v>
      </c>
      <c r="C65" s="406" t="s">
        <v>546</v>
      </c>
      <c r="D65" s="444">
        <f>'T2 NSA'!G24</f>
        <v>0</v>
      </c>
      <c r="E65" s="408"/>
      <c r="F65" s="422"/>
      <c r="G65" s="410"/>
      <c r="H65" s="410"/>
      <c r="I65" s="1062"/>
      <c r="J65" s="1081"/>
      <c r="K65" s="1086">
        <f>D65</f>
        <v>0</v>
      </c>
      <c r="L65" s="410"/>
      <c r="M65" s="1049"/>
    </row>
    <row r="66" spans="1:13" ht="12" customHeight="1">
      <c r="A66" s="455">
        <v>2025</v>
      </c>
      <c r="C66" s="406" t="s">
        <v>547</v>
      </c>
      <c r="D66" s="444">
        <f>'T2 NSA'!H24</f>
        <v>0</v>
      </c>
      <c r="E66" s="408"/>
      <c r="F66" s="422"/>
      <c r="G66" s="410"/>
      <c r="H66" s="410"/>
      <c r="I66" s="1062"/>
      <c r="J66" s="1081"/>
      <c r="K66" s="1081"/>
      <c r="L66" s="1086">
        <f>D66</f>
        <v>0</v>
      </c>
      <c r="M66" s="1049"/>
    </row>
    <row r="67" spans="1:13" ht="12" customHeight="1">
      <c r="A67" s="455">
        <v>2026</v>
      </c>
      <c r="C67" s="406" t="s">
        <v>548</v>
      </c>
      <c r="D67" s="444">
        <f>'T2 NSA'!I24</f>
        <v>0</v>
      </c>
      <c r="E67" s="408"/>
      <c r="F67" s="422"/>
      <c r="G67" s="410"/>
      <c r="H67" s="410"/>
      <c r="I67" s="1062"/>
      <c r="J67" s="1081"/>
      <c r="K67" s="1081"/>
      <c r="L67" s="1081"/>
      <c r="M67" s="440">
        <f>D67</f>
        <v>0</v>
      </c>
    </row>
    <row r="68" spans="1:13" ht="12" customHeight="1">
      <c r="A68" s="455">
        <v>2027</v>
      </c>
      <c r="C68" s="406" t="s">
        <v>549</v>
      </c>
      <c r="D68" s="445">
        <f>'T2 NSA'!J24</f>
        <v>0</v>
      </c>
      <c r="E68" s="428"/>
      <c r="F68" s="429"/>
      <c r="G68" s="429"/>
      <c r="H68" s="429"/>
      <c r="I68" s="1063"/>
      <c r="J68" s="1082"/>
      <c r="K68" s="1082"/>
      <c r="L68" s="1082"/>
      <c r="M68" s="1075">
        <f>D68</f>
        <v>0</v>
      </c>
    </row>
    <row r="69" spans="1:13" ht="12" customHeight="1">
      <c r="A69" s="455" t="s">
        <v>505</v>
      </c>
      <c r="C69" s="431" t="s">
        <v>550</v>
      </c>
      <c r="D69" s="432">
        <f>SUM(D63:D68)</f>
        <v>-10417.577887882828</v>
      </c>
      <c r="E69" s="494"/>
      <c r="F69" s="495"/>
      <c r="G69" s="480">
        <f t="shared" ref="G69:L69" si="3">SUM(G63:G68)</f>
        <v>-3808.3130923808203</v>
      </c>
      <c r="H69" s="480">
        <f t="shared" si="3"/>
        <v>-6609.2647955020075</v>
      </c>
      <c r="I69" s="480">
        <f t="shared" si="3"/>
        <v>0</v>
      </c>
      <c r="J69" s="480">
        <f t="shared" si="3"/>
        <v>0</v>
      </c>
      <c r="K69" s="480">
        <f t="shared" si="3"/>
        <v>0</v>
      </c>
      <c r="L69" s="480">
        <f t="shared" si="3"/>
        <v>0</v>
      </c>
      <c r="M69" s="1076">
        <f>SUM(M63:M68)</f>
        <v>0</v>
      </c>
    </row>
    <row r="70" spans="1:13" ht="4.9000000000000004" customHeight="1">
      <c r="A70" s="758"/>
      <c r="C70" s="482"/>
      <c r="D70" s="482"/>
      <c r="E70" s="447"/>
      <c r="F70" s="447"/>
      <c r="G70" s="447"/>
      <c r="H70" s="447"/>
      <c r="I70" s="447"/>
      <c r="J70" s="447"/>
      <c r="K70" s="447"/>
      <c r="L70" s="447"/>
      <c r="M70" s="447"/>
    </row>
    <row r="71" spans="1:13" ht="12" customHeight="1">
      <c r="A71" s="455">
        <v>2020</v>
      </c>
      <c r="C71" s="398" t="s">
        <v>551</v>
      </c>
      <c r="D71" s="496"/>
      <c r="E71" s="456"/>
      <c r="F71" s="402"/>
      <c r="G71" s="507"/>
      <c r="H71" s="402"/>
      <c r="I71" s="1058"/>
      <c r="J71" s="1058"/>
      <c r="K71" s="1058"/>
      <c r="L71" s="1058"/>
      <c r="M71" s="1054"/>
    </row>
    <row r="72" spans="1:13" ht="12" customHeight="1">
      <c r="A72" s="455">
        <v>2021</v>
      </c>
      <c r="C72" s="406" t="s">
        <v>552</v>
      </c>
      <c r="D72" s="497"/>
      <c r="E72" s="457"/>
      <c r="F72" s="410"/>
      <c r="G72" s="410"/>
      <c r="H72" s="509"/>
      <c r="I72" s="1059"/>
      <c r="J72" s="1059"/>
      <c r="K72" s="1059"/>
      <c r="L72" s="1059"/>
      <c r="M72" s="1049"/>
    </row>
    <row r="73" spans="1:13" ht="12" customHeight="1">
      <c r="A73" s="455">
        <v>2022</v>
      </c>
      <c r="C73" s="406" t="s">
        <v>553</v>
      </c>
      <c r="D73" s="497"/>
      <c r="E73" s="457"/>
      <c r="F73" s="410"/>
      <c r="G73" s="410"/>
      <c r="H73" s="410"/>
      <c r="I73" s="1087"/>
      <c r="J73" s="1087"/>
      <c r="K73" s="1087"/>
      <c r="L73" s="1087"/>
      <c r="M73" s="1049"/>
    </row>
    <row r="74" spans="1:13" ht="12" customHeight="1">
      <c r="A74" s="455" t="s">
        <v>498</v>
      </c>
      <c r="C74" s="413" t="s">
        <v>554</v>
      </c>
      <c r="D74" s="419"/>
      <c r="E74" s="464"/>
      <c r="F74" s="417"/>
      <c r="G74" s="417"/>
      <c r="H74" s="417"/>
      <c r="I74" s="417"/>
      <c r="J74" s="417"/>
      <c r="K74" s="417"/>
      <c r="L74" s="417"/>
      <c r="M74" s="1050"/>
    </row>
    <row r="75" spans="1:13" ht="12" customHeight="1">
      <c r="A75" s="455">
        <v>2023</v>
      </c>
      <c r="C75" s="406" t="s">
        <v>555</v>
      </c>
      <c r="D75" s="497"/>
      <c r="E75" s="457"/>
      <c r="F75" s="410"/>
      <c r="G75" s="410"/>
      <c r="H75" s="410"/>
      <c r="I75" s="1062"/>
      <c r="J75" s="410"/>
      <c r="K75" s="410"/>
      <c r="L75" s="410"/>
      <c r="M75" s="1049"/>
    </row>
    <row r="76" spans="1:13" ht="12" customHeight="1">
      <c r="A76" s="455">
        <v>2024</v>
      </c>
      <c r="C76" s="406" t="s">
        <v>556</v>
      </c>
      <c r="D76" s="497"/>
      <c r="E76" s="457"/>
      <c r="F76" s="410"/>
      <c r="G76" s="410"/>
      <c r="H76" s="410"/>
      <c r="I76" s="1062"/>
      <c r="J76" s="410"/>
      <c r="K76" s="410"/>
      <c r="L76" s="410"/>
      <c r="M76" s="1049"/>
    </row>
    <row r="77" spans="1:13" ht="12" customHeight="1">
      <c r="A77" s="455">
        <v>2025</v>
      </c>
      <c r="C77" s="406" t="s">
        <v>557</v>
      </c>
      <c r="D77" s="497"/>
      <c r="E77" s="457"/>
      <c r="F77" s="410"/>
      <c r="G77" s="410"/>
      <c r="H77" s="410"/>
      <c r="I77" s="1062"/>
      <c r="J77" s="410"/>
      <c r="K77" s="410"/>
      <c r="L77" s="410"/>
      <c r="M77" s="1049"/>
    </row>
    <row r="78" spans="1:13" ht="12" customHeight="1">
      <c r="A78" s="455">
        <v>2026</v>
      </c>
      <c r="C78" s="406" t="s">
        <v>558</v>
      </c>
      <c r="D78" s="497"/>
      <c r="E78" s="457"/>
      <c r="F78" s="410"/>
      <c r="G78" s="410"/>
      <c r="H78" s="410"/>
      <c r="I78" s="1062"/>
      <c r="J78" s="410"/>
      <c r="K78" s="410"/>
      <c r="L78" s="410"/>
      <c r="M78" s="1049"/>
    </row>
    <row r="79" spans="1:13" ht="12" customHeight="1">
      <c r="A79" s="455">
        <v>2027</v>
      </c>
      <c r="C79" s="406" t="s">
        <v>559</v>
      </c>
      <c r="D79" s="498"/>
      <c r="E79" s="460"/>
      <c r="F79" s="461"/>
      <c r="G79" s="461"/>
      <c r="H79" s="461"/>
      <c r="I79" s="1409"/>
      <c r="J79" s="461"/>
      <c r="K79" s="461"/>
      <c r="L79" s="461"/>
      <c r="M79" s="1055"/>
    </row>
    <row r="80" spans="1:13" ht="12" customHeight="1">
      <c r="A80" s="455" t="s">
        <v>505</v>
      </c>
      <c r="C80" s="431" t="s">
        <v>560</v>
      </c>
      <c r="D80" s="500"/>
      <c r="E80" s="494"/>
      <c r="F80" s="495"/>
      <c r="G80" s="495"/>
      <c r="H80" s="495"/>
      <c r="I80" s="495"/>
      <c r="J80" s="495"/>
      <c r="K80" s="495"/>
      <c r="L80" s="495"/>
      <c r="M80" s="1056"/>
    </row>
    <row r="81" spans="1:13" ht="3.6" customHeight="1">
      <c r="A81" s="758"/>
      <c r="C81" s="482"/>
      <c r="D81" s="1410"/>
      <c r="E81" s="1053"/>
      <c r="F81" s="1053"/>
      <c r="G81" s="1053"/>
      <c r="H81" s="1053"/>
      <c r="I81" s="1053"/>
      <c r="J81" s="1053"/>
      <c r="K81" s="1053"/>
      <c r="L81" s="1053"/>
      <c r="M81" s="1053"/>
    </row>
    <row r="82" spans="1:13" ht="12" customHeight="1">
      <c r="A82" s="455">
        <v>2020</v>
      </c>
      <c r="C82" s="398" t="s">
        <v>561</v>
      </c>
      <c r="D82" s="496"/>
      <c r="E82" s="456"/>
      <c r="F82" s="402"/>
      <c r="G82" s="507"/>
      <c r="H82" s="402"/>
      <c r="I82" s="1058"/>
      <c r="J82" s="1058"/>
      <c r="K82" s="1058"/>
      <c r="L82" s="1058"/>
      <c r="M82" s="1054"/>
    </row>
    <row r="83" spans="1:13" ht="12" customHeight="1">
      <c r="A83" s="455">
        <v>2021</v>
      </c>
      <c r="C83" s="406" t="s">
        <v>562</v>
      </c>
      <c r="D83" s="497"/>
      <c r="E83" s="457"/>
      <c r="F83" s="410"/>
      <c r="G83" s="410"/>
      <c r="H83" s="509"/>
      <c r="I83" s="1059"/>
      <c r="J83" s="410"/>
      <c r="K83" s="410"/>
      <c r="L83" s="410"/>
      <c r="M83" s="1049"/>
    </row>
    <row r="84" spans="1:13" ht="12" customHeight="1">
      <c r="A84" s="455">
        <v>2022</v>
      </c>
      <c r="C84" s="406" t="s">
        <v>563</v>
      </c>
      <c r="D84" s="497"/>
      <c r="E84" s="457"/>
      <c r="F84" s="410"/>
      <c r="G84" s="410"/>
      <c r="H84" s="410"/>
      <c r="I84" s="1087"/>
      <c r="J84" s="461"/>
      <c r="K84" s="461"/>
      <c r="L84" s="461"/>
      <c r="M84" s="1049"/>
    </row>
    <row r="85" spans="1:13" ht="12" customHeight="1">
      <c r="A85" s="455" t="s">
        <v>498</v>
      </c>
      <c r="C85" s="413" t="s">
        <v>564</v>
      </c>
      <c r="D85" s="419"/>
      <c r="E85" s="464"/>
      <c r="F85" s="417"/>
      <c r="G85" s="417"/>
      <c r="H85" s="417"/>
      <c r="I85" s="417"/>
      <c r="J85" s="417"/>
      <c r="K85" s="417"/>
      <c r="L85" s="417"/>
      <c r="M85" s="1050"/>
    </row>
    <row r="86" spans="1:13" ht="12" customHeight="1">
      <c r="A86" s="455">
        <v>2023</v>
      </c>
      <c r="C86" s="406" t="s">
        <v>565</v>
      </c>
      <c r="D86" s="496"/>
      <c r="E86" s="457"/>
      <c r="F86" s="410"/>
      <c r="G86" s="410"/>
      <c r="H86" s="410"/>
      <c r="I86" s="1062"/>
      <c r="J86" s="410"/>
      <c r="K86" s="410"/>
      <c r="L86" s="410"/>
      <c r="M86" s="1049"/>
    </row>
    <row r="87" spans="1:13" ht="12" customHeight="1">
      <c r="A87" s="455">
        <v>2024</v>
      </c>
      <c r="C87" s="406" t="s">
        <v>566</v>
      </c>
      <c r="D87" s="497"/>
      <c r="E87" s="457"/>
      <c r="F87" s="410"/>
      <c r="G87" s="410"/>
      <c r="H87" s="410"/>
      <c r="I87" s="1062"/>
      <c r="J87" s="410"/>
      <c r="K87" s="410"/>
      <c r="L87" s="410"/>
      <c r="M87" s="1049"/>
    </row>
    <row r="88" spans="1:13" ht="12" customHeight="1">
      <c r="A88" s="455">
        <v>2025</v>
      </c>
      <c r="C88" s="406" t="s">
        <v>567</v>
      </c>
      <c r="D88" s="497"/>
      <c r="E88" s="457"/>
      <c r="F88" s="410"/>
      <c r="G88" s="410"/>
      <c r="H88" s="410"/>
      <c r="I88" s="1062"/>
      <c r="J88" s="410"/>
      <c r="K88" s="410"/>
      <c r="L88" s="410"/>
      <c r="M88" s="1049"/>
    </row>
    <row r="89" spans="1:13" ht="12" customHeight="1">
      <c r="A89" s="455">
        <v>2026</v>
      </c>
      <c r="C89" s="406" t="s">
        <v>568</v>
      </c>
      <c r="D89" s="497"/>
      <c r="E89" s="457"/>
      <c r="F89" s="410"/>
      <c r="G89" s="410"/>
      <c r="H89" s="410"/>
      <c r="I89" s="1062"/>
      <c r="J89" s="410"/>
      <c r="K89" s="410"/>
      <c r="L89" s="410"/>
      <c r="M89" s="1049"/>
    </row>
    <row r="90" spans="1:13" ht="12" customHeight="1">
      <c r="A90" s="455">
        <v>2027</v>
      </c>
      <c r="C90" s="406" t="s">
        <v>569</v>
      </c>
      <c r="D90" s="498"/>
      <c r="E90" s="460"/>
      <c r="F90" s="461"/>
      <c r="G90" s="461"/>
      <c r="H90" s="461"/>
      <c r="I90" s="1409"/>
      <c r="J90" s="461"/>
      <c r="K90" s="461"/>
      <c r="L90" s="461"/>
      <c r="M90" s="1055"/>
    </row>
    <row r="91" spans="1:13" ht="12" customHeight="1">
      <c r="A91" s="455" t="s">
        <v>505</v>
      </c>
      <c r="C91" s="431" t="s">
        <v>570</v>
      </c>
      <c r="D91" s="500"/>
      <c r="E91" s="494"/>
      <c r="F91" s="495"/>
      <c r="G91" s="495"/>
      <c r="H91" s="495"/>
      <c r="I91" s="495"/>
      <c r="J91" s="495"/>
      <c r="K91" s="495"/>
      <c r="L91" s="495"/>
      <c r="M91" s="1056"/>
    </row>
    <row r="92" spans="1:13" ht="3.6" customHeight="1">
      <c r="A92" s="758"/>
      <c r="C92" s="482"/>
      <c r="D92" s="1410"/>
      <c r="E92" s="1053"/>
      <c r="F92" s="1053"/>
      <c r="G92" s="1053"/>
      <c r="H92" s="1053"/>
      <c r="I92" s="1053"/>
      <c r="J92" s="1053"/>
      <c r="K92" s="1053"/>
      <c r="L92" s="1053"/>
      <c r="M92" s="1053"/>
    </row>
    <row r="93" spans="1:13" ht="12" customHeight="1">
      <c r="A93" s="455">
        <v>2020</v>
      </c>
      <c r="C93" s="398" t="s">
        <v>571</v>
      </c>
      <c r="D93" s="496"/>
      <c r="E93" s="456"/>
      <c r="F93" s="402"/>
      <c r="G93" s="507"/>
      <c r="H93" s="402"/>
      <c r="I93" s="1058"/>
      <c r="J93" s="1058"/>
      <c r="K93" s="1058"/>
      <c r="L93" s="1058"/>
      <c r="M93" s="1054"/>
    </row>
    <row r="94" spans="1:13" ht="12" customHeight="1">
      <c r="A94" s="455">
        <v>2021</v>
      </c>
      <c r="C94" s="406" t="s">
        <v>572</v>
      </c>
      <c r="D94" s="497"/>
      <c r="E94" s="457"/>
      <c r="F94" s="410"/>
      <c r="G94" s="410"/>
      <c r="H94" s="509"/>
      <c r="I94" s="1059"/>
      <c r="J94" s="1059"/>
      <c r="K94" s="1059"/>
      <c r="L94" s="1059"/>
      <c r="M94" s="1049"/>
    </row>
    <row r="95" spans="1:13" ht="12" customHeight="1">
      <c r="A95" s="455">
        <v>2022</v>
      </c>
      <c r="C95" s="406" t="s">
        <v>573</v>
      </c>
      <c r="D95" s="497"/>
      <c r="E95" s="457"/>
      <c r="F95" s="410"/>
      <c r="G95" s="410"/>
      <c r="H95" s="410"/>
      <c r="I95" s="1087"/>
      <c r="J95" s="461"/>
      <c r="K95" s="461"/>
      <c r="L95" s="461"/>
      <c r="M95" s="1049"/>
    </row>
    <row r="96" spans="1:13" ht="12" customHeight="1">
      <c r="A96" s="455" t="s">
        <v>498</v>
      </c>
      <c r="C96" s="413" t="s">
        <v>514</v>
      </c>
      <c r="D96" s="419"/>
      <c r="E96" s="464"/>
      <c r="F96" s="417"/>
      <c r="G96" s="417"/>
      <c r="H96" s="417"/>
      <c r="I96" s="417"/>
      <c r="J96" s="417"/>
      <c r="K96" s="417"/>
      <c r="L96" s="417"/>
      <c r="M96" s="1050"/>
    </row>
    <row r="97" spans="1:29" ht="12" customHeight="1">
      <c r="A97" s="455">
        <v>2023</v>
      </c>
      <c r="C97" s="406" t="s">
        <v>574</v>
      </c>
      <c r="D97" s="497"/>
      <c r="E97" s="457"/>
      <c r="F97" s="410"/>
      <c r="G97" s="410"/>
      <c r="H97" s="410"/>
      <c r="I97" s="1062"/>
      <c r="J97" s="410"/>
      <c r="K97" s="410"/>
      <c r="L97" s="410"/>
      <c r="M97" s="1049"/>
    </row>
    <row r="98" spans="1:29" ht="12" customHeight="1">
      <c r="A98" s="455">
        <v>2024</v>
      </c>
      <c r="C98" s="406" t="s">
        <v>575</v>
      </c>
      <c r="D98" s="497"/>
      <c r="E98" s="457"/>
      <c r="F98" s="410"/>
      <c r="G98" s="410"/>
      <c r="H98" s="410"/>
      <c r="I98" s="1062"/>
      <c r="J98" s="410"/>
      <c r="K98" s="410"/>
      <c r="L98" s="410"/>
      <c r="M98" s="1049"/>
    </row>
    <row r="99" spans="1:29" ht="12" customHeight="1">
      <c r="A99" s="455">
        <v>2025</v>
      </c>
      <c r="C99" s="406" t="s">
        <v>576</v>
      </c>
      <c r="D99" s="497"/>
      <c r="E99" s="457"/>
      <c r="F99" s="410"/>
      <c r="G99" s="410"/>
      <c r="H99" s="410"/>
      <c r="I99" s="1062"/>
      <c r="J99" s="410"/>
      <c r="K99" s="410"/>
      <c r="L99" s="410"/>
      <c r="M99" s="1049"/>
    </row>
    <row r="100" spans="1:29" ht="12" customHeight="1">
      <c r="A100" s="455">
        <v>2026</v>
      </c>
      <c r="C100" s="406" t="s">
        <v>577</v>
      </c>
      <c r="D100" s="497"/>
      <c r="E100" s="457"/>
      <c r="F100" s="410"/>
      <c r="G100" s="410"/>
      <c r="H100" s="410"/>
      <c r="I100" s="1062"/>
      <c r="J100" s="410"/>
      <c r="K100" s="410"/>
      <c r="L100" s="410"/>
      <c r="M100" s="1049"/>
    </row>
    <row r="101" spans="1:29" ht="12" customHeight="1">
      <c r="A101" s="455">
        <v>2027</v>
      </c>
      <c r="C101" s="406" t="s">
        <v>578</v>
      </c>
      <c r="D101" s="498"/>
      <c r="E101" s="460"/>
      <c r="F101" s="461"/>
      <c r="G101" s="461"/>
      <c r="H101" s="461"/>
      <c r="I101" s="1409"/>
      <c r="J101" s="461"/>
      <c r="K101" s="461"/>
      <c r="L101" s="461"/>
      <c r="M101" s="1055"/>
    </row>
    <row r="102" spans="1:29" ht="12" customHeight="1">
      <c r="A102" s="455" t="s">
        <v>505</v>
      </c>
      <c r="C102" s="431" t="s">
        <v>579</v>
      </c>
      <c r="D102" s="500"/>
      <c r="E102" s="494"/>
      <c r="F102" s="495"/>
      <c r="G102" s="495"/>
      <c r="H102" s="495"/>
      <c r="I102" s="495"/>
      <c r="J102" s="495"/>
      <c r="K102" s="495"/>
      <c r="L102" s="495"/>
      <c r="M102" s="1056"/>
    </row>
    <row r="103" spans="1:29" ht="3.6" customHeight="1">
      <c r="A103" s="758"/>
      <c r="C103" s="482"/>
      <c r="D103" s="482"/>
      <c r="E103" s="447"/>
      <c r="F103" s="447"/>
      <c r="G103" s="447"/>
      <c r="H103" s="447"/>
      <c r="I103" s="447"/>
      <c r="J103" s="447"/>
      <c r="K103" s="447"/>
      <c r="L103" s="447"/>
      <c r="M103" s="447"/>
    </row>
    <row r="104" spans="1:29" ht="12" customHeight="1">
      <c r="A104" s="455">
        <v>2017</v>
      </c>
      <c r="C104" s="436" t="s">
        <v>580</v>
      </c>
      <c r="D104" s="502">
        <v>-1152.8989713724077</v>
      </c>
      <c r="E104" s="486">
        <v>0</v>
      </c>
      <c r="F104" s="487">
        <f>+D104</f>
        <v>-1152.8989713724077</v>
      </c>
      <c r="G104" s="1089"/>
      <c r="H104" s="1089"/>
      <c r="I104" s="1090"/>
      <c r="J104" s="1090"/>
      <c r="K104" s="1090"/>
      <c r="L104" s="1090"/>
      <c r="M104" s="399">
        <f t="shared" ref="M104:M106" si="4">G104-SUM(H104:L104)</f>
        <v>0</v>
      </c>
    </row>
    <row r="105" spans="1:29" ht="12" customHeight="1">
      <c r="A105" s="455">
        <v>2018</v>
      </c>
      <c r="C105" s="439" t="s">
        <v>581</v>
      </c>
      <c r="D105" s="503">
        <v>-369.83508810512302</v>
      </c>
      <c r="E105" s="490"/>
      <c r="F105" s="491">
        <f>+D105</f>
        <v>-369.83508810512302</v>
      </c>
      <c r="G105" s="1091"/>
      <c r="H105" s="1091"/>
      <c r="I105" s="1092"/>
      <c r="J105" s="1092"/>
      <c r="K105" s="1092"/>
      <c r="L105" s="1092"/>
      <c r="M105" s="407">
        <f t="shared" si="4"/>
        <v>0</v>
      </c>
    </row>
    <row r="106" spans="1:29" ht="12" customHeight="1">
      <c r="A106" s="455">
        <v>2019</v>
      </c>
      <c r="C106" s="439" t="s">
        <v>582</v>
      </c>
      <c r="D106" s="503">
        <v>-4006.19</v>
      </c>
      <c r="E106" s="504"/>
      <c r="F106" s="491">
        <f>+D106</f>
        <v>-4006.19</v>
      </c>
      <c r="G106" s="1091"/>
      <c r="H106" s="1091"/>
      <c r="I106" s="1092"/>
      <c r="J106" s="1092"/>
      <c r="K106" s="1092"/>
      <c r="L106" s="1092"/>
      <c r="M106" s="407">
        <f t="shared" si="4"/>
        <v>0</v>
      </c>
    </row>
    <row r="107" spans="1:29">
      <c r="A107" s="455" t="s">
        <v>493</v>
      </c>
      <c r="C107" s="431" t="s">
        <v>583</v>
      </c>
      <c r="D107" s="432">
        <f>SUM(D104:D106)</f>
        <v>-5528.924059477531</v>
      </c>
      <c r="E107" s="480">
        <f t="shared" ref="E107:F107" si="5">SUM(E104:E106)</f>
        <v>0</v>
      </c>
      <c r="F107" s="434">
        <f t="shared" si="5"/>
        <v>-5528.924059477531</v>
      </c>
      <c r="G107" s="494"/>
      <c r="H107" s="494"/>
      <c r="I107" s="1052"/>
      <c r="J107" s="1052"/>
      <c r="K107" s="1052"/>
      <c r="L107" s="1052"/>
      <c r="M107" s="432">
        <f t="shared" ref="M107" si="6">SUM(M104:M106)</f>
        <v>0</v>
      </c>
      <c r="T107" s="916"/>
      <c r="U107" s="916"/>
      <c r="V107" s="916"/>
      <c r="W107" s="916"/>
      <c r="X107" s="916"/>
      <c r="Y107" s="916"/>
      <c r="Z107" s="916"/>
      <c r="AA107" s="916"/>
      <c r="AB107" s="916"/>
      <c r="AC107" s="916"/>
    </row>
    <row r="108" spans="1:29">
      <c r="A108" s="455">
        <v>2020</v>
      </c>
      <c r="C108" s="436" t="s">
        <v>584</v>
      </c>
      <c r="D108" s="438"/>
      <c r="E108" s="1405"/>
      <c r="F108" s="1405"/>
      <c r="G108" s="1405"/>
      <c r="H108" s="1405"/>
      <c r="I108" s="1405"/>
      <c r="J108" s="1405"/>
      <c r="K108" s="1405"/>
      <c r="L108" s="1405"/>
      <c r="M108" s="437"/>
      <c r="T108" s="916"/>
      <c r="U108" s="916"/>
      <c r="V108" s="916"/>
      <c r="W108" s="916"/>
      <c r="X108" s="916"/>
      <c r="Y108" s="916"/>
      <c r="Z108" s="916"/>
      <c r="AA108" s="916"/>
      <c r="AB108" s="916"/>
      <c r="AC108" s="916"/>
    </row>
    <row r="109" spans="1:29">
      <c r="A109" s="455">
        <v>2021</v>
      </c>
      <c r="C109" s="439" t="s">
        <v>585</v>
      </c>
      <c r="D109" s="441"/>
      <c r="E109" s="1406"/>
      <c r="F109" s="1406"/>
      <c r="G109" s="1406"/>
      <c r="H109" s="1406"/>
      <c r="I109" s="1406"/>
      <c r="J109" s="1406"/>
      <c r="K109" s="1406"/>
      <c r="L109" s="1406"/>
      <c r="M109" s="440"/>
      <c r="T109" s="916"/>
      <c r="U109" s="916"/>
      <c r="V109" s="916"/>
      <c r="W109" s="916"/>
      <c r="X109" s="916"/>
      <c r="Y109" s="916"/>
      <c r="Z109" s="916"/>
      <c r="AA109" s="916"/>
      <c r="AB109" s="916"/>
      <c r="AC109" s="916"/>
    </row>
    <row r="110" spans="1:29">
      <c r="A110" s="455">
        <v>2022</v>
      </c>
      <c r="C110" s="439" t="s">
        <v>586</v>
      </c>
      <c r="D110" s="37"/>
      <c r="E110" s="1406"/>
      <c r="F110" s="1406"/>
      <c r="G110" s="1406"/>
      <c r="H110" s="1406"/>
      <c r="I110" s="1406"/>
      <c r="J110" s="1406"/>
      <c r="K110" s="1406"/>
      <c r="L110" s="1406"/>
      <c r="M110" s="440"/>
      <c r="T110" s="916"/>
      <c r="U110" s="916"/>
      <c r="V110" s="916"/>
      <c r="W110" s="916"/>
      <c r="X110" s="916"/>
      <c r="Y110" s="916"/>
      <c r="Z110" s="916"/>
      <c r="AA110" s="916"/>
      <c r="AB110" s="916"/>
      <c r="AC110" s="916"/>
    </row>
    <row r="111" spans="1:29">
      <c r="A111" s="455" t="s">
        <v>505</v>
      </c>
      <c r="C111" s="431" t="s">
        <v>587</v>
      </c>
      <c r="D111" s="432">
        <f>SUM(D108:D110)</f>
        <v>0</v>
      </c>
      <c r="E111" s="480">
        <f t="shared" ref="E111:M111" si="7">SUM(E108:E110)</f>
        <v>0</v>
      </c>
      <c r="F111" s="480">
        <f t="shared" si="7"/>
        <v>0</v>
      </c>
      <c r="G111" s="480">
        <f t="shared" si="7"/>
        <v>0</v>
      </c>
      <c r="H111" s="480">
        <f t="shared" si="7"/>
        <v>0</v>
      </c>
      <c r="I111" s="480">
        <f t="shared" si="7"/>
        <v>0</v>
      </c>
      <c r="J111" s="480">
        <f t="shared" si="7"/>
        <v>0</v>
      </c>
      <c r="K111" s="480">
        <f t="shared" si="7"/>
        <v>0</v>
      </c>
      <c r="L111" s="480">
        <f t="shared" si="7"/>
        <v>0</v>
      </c>
      <c r="M111" s="432">
        <f t="shared" si="7"/>
        <v>0</v>
      </c>
      <c r="T111" s="916"/>
      <c r="U111" s="916"/>
      <c r="V111" s="916"/>
      <c r="W111" s="916"/>
      <c r="X111" s="916"/>
      <c r="Y111" s="916"/>
      <c r="Z111" s="916"/>
      <c r="AA111" s="916"/>
      <c r="AB111" s="916"/>
      <c r="AC111" s="916"/>
    </row>
    <row r="112" spans="1:29" ht="3.6" customHeight="1">
      <c r="A112" s="758"/>
      <c r="C112" s="482"/>
      <c r="D112" s="482"/>
      <c r="E112" s="447"/>
      <c r="F112" s="447"/>
      <c r="G112" s="447"/>
      <c r="H112" s="447"/>
      <c r="I112" s="447"/>
      <c r="J112" s="447"/>
      <c r="K112" s="447"/>
      <c r="L112" s="447"/>
      <c r="M112" s="447"/>
    </row>
    <row r="113" spans="1:13" ht="12" customHeight="1">
      <c r="A113" s="455">
        <v>2017</v>
      </c>
      <c r="C113" s="436" t="s">
        <v>588</v>
      </c>
      <c r="D113" s="536"/>
      <c r="E113" s="1404"/>
      <c r="F113" s="507"/>
      <c r="G113" s="507"/>
      <c r="H113" s="507"/>
      <c r="I113" s="1085"/>
      <c r="J113" s="1085"/>
      <c r="K113" s="1085"/>
      <c r="L113" s="1085"/>
      <c r="M113" s="1054"/>
    </row>
    <row r="114" spans="1:13" ht="12" customHeight="1">
      <c r="A114" s="455">
        <v>2018</v>
      </c>
      <c r="C114" s="439" t="s">
        <v>589</v>
      </c>
      <c r="D114" s="537"/>
      <c r="E114" s="457"/>
      <c r="F114" s="410"/>
      <c r="G114" s="410"/>
      <c r="H114" s="410"/>
      <c r="I114" s="1062"/>
      <c r="J114" s="1062"/>
      <c r="K114" s="1062"/>
      <c r="L114" s="1062"/>
      <c r="M114" s="1049"/>
    </row>
    <row r="115" spans="1:13" ht="12" customHeight="1">
      <c r="A115" s="455">
        <v>2019</v>
      </c>
      <c r="C115" s="439" t="s">
        <v>590</v>
      </c>
      <c r="D115" s="537"/>
      <c r="E115" s="457"/>
      <c r="F115" s="410"/>
      <c r="G115" s="410"/>
      <c r="H115" s="410"/>
      <c r="I115" s="1059"/>
      <c r="J115" s="1059"/>
      <c r="K115" s="1059"/>
      <c r="L115" s="1059"/>
      <c r="M115" s="1049"/>
    </row>
    <row r="116" spans="1:13" ht="12" customHeight="1">
      <c r="A116" s="455" t="s">
        <v>493</v>
      </c>
      <c r="C116" s="413" t="s">
        <v>591</v>
      </c>
      <c r="D116" s="419"/>
      <c r="E116" s="464"/>
      <c r="F116" s="417"/>
      <c r="G116" s="417"/>
      <c r="H116" s="417"/>
      <c r="I116" s="1060"/>
      <c r="J116" s="1060"/>
      <c r="K116" s="1060"/>
      <c r="L116" s="1060"/>
      <c r="M116" s="1050"/>
    </row>
    <row r="117" spans="1:13" ht="12" customHeight="1">
      <c r="A117" s="455">
        <v>2020</v>
      </c>
      <c r="C117" s="398" t="s">
        <v>592</v>
      </c>
      <c r="D117" s="541"/>
      <c r="E117" s="456"/>
      <c r="F117" s="402"/>
      <c r="G117" s="402"/>
      <c r="H117" s="402"/>
      <c r="I117" s="1058"/>
      <c r="J117" s="1081"/>
      <c r="K117" s="1058"/>
      <c r="L117" s="410"/>
      <c r="M117" s="1049"/>
    </row>
    <row r="118" spans="1:13" ht="12" customHeight="1">
      <c r="A118" s="455">
        <v>2021</v>
      </c>
      <c r="C118" s="406" t="s">
        <v>593</v>
      </c>
      <c r="D118" s="542"/>
      <c r="E118" s="457"/>
      <c r="F118" s="410"/>
      <c r="G118" s="410"/>
      <c r="H118" s="410"/>
      <c r="I118" s="1059"/>
      <c r="J118" s="1053"/>
      <c r="K118" s="1059"/>
      <c r="L118" s="410"/>
      <c r="M118" s="1049"/>
    </row>
    <row r="119" spans="1:13" ht="12" customHeight="1">
      <c r="A119" s="455">
        <v>2022</v>
      </c>
      <c r="C119" s="406" t="s">
        <v>594</v>
      </c>
      <c r="D119" s="542"/>
      <c r="E119" s="457"/>
      <c r="F119" s="410"/>
      <c r="G119" s="410"/>
      <c r="H119" s="410"/>
      <c r="I119" s="1059"/>
      <c r="J119" s="461"/>
      <c r="K119" s="461"/>
      <c r="L119" s="461"/>
      <c r="M119" s="1049"/>
    </row>
    <row r="120" spans="1:13" ht="12" customHeight="1">
      <c r="A120" s="455" t="s">
        <v>498</v>
      </c>
      <c r="C120" s="413" t="s">
        <v>595</v>
      </c>
      <c r="D120" s="419"/>
      <c r="E120" s="464"/>
      <c r="F120" s="417"/>
      <c r="G120" s="417"/>
      <c r="H120" s="417"/>
      <c r="I120" s="417"/>
      <c r="J120" s="417"/>
      <c r="K120" s="417"/>
      <c r="L120" s="417"/>
      <c r="M120" s="1050"/>
    </row>
    <row r="121" spans="1:13" ht="12" customHeight="1">
      <c r="A121" s="455">
        <v>2023</v>
      </c>
      <c r="C121" s="406" t="s">
        <v>596</v>
      </c>
      <c r="D121" s="542"/>
      <c r="E121" s="457"/>
      <c r="F121" s="410"/>
      <c r="G121" s="410"/>
      <c r="H121" s="410"/>
      <c r="I121" s="410"/>
      <c r="J121" s="410"/>
      <c r="K121" s="410"/>
      <c r="L121" s="410"/>
      <c r="M121" s="1049"/>
    </row>
    <row r="122" spans="1:13" ht="12" customHeight="1">
      <c r="A122" s="455">
        <v>2024</v>
      </c>
      <c r="C122" s="406" t="s">
        <v>597</v>
      </c>
      <c r="D122" s="542"/>
      <c r="E122" s="457"/>
      <c r="F122" s="410"/>
      <c r="G122" s="410"/>
      <c r="H122" s="410"/>
      <c r="I122" s="410"/>
      <c r="J122" s="410"/>
      <c r="K122" s="410"/>
      <c r="L122" s="410"/>
      <c r="M122" s="1049"/>
    </row>
    <row r="123" spans="1:13" ht="12" customHeight="1">
      <c r="A123" s="455">
        <v>2025</v>
      </c>
      <c r="C123" s="406" t="s">
        <v>598</v>
      </c>
      <c r="D123" s="542"/>
      <c r="E123" s="457"/>
      <c r="F123" s="410"/>
      <c r="G123" s="410"/>
      <c r="H123" s="410"/>
      <c r="I123" s="410"/>
      <c r="J123" s="410"/>
      <c r="K123" s="410"/>
      <c r="L123" s="410"/>
      <c r="M123" s="1049"/>
    </row>
    <row r="124" spans="1:13" ht="12" customHeight="1">
      <c r="A124" s="455">
        <v>2026</v>
      </c>
      <c r="C124" s="406" t="s">
        <v>599</v>
      </c>
      <c r="D124" s="542"/>
      <c r="E124" s="457"/>
      <c r="F124" s="410"/>
      <c r="G124" s="410"/>
      <c r="H124" s="410"/>
      <c r="I124" s="410"/>
      <c r="J124" s="410"/>
      <c r="K124" s="410"/>
      <c r="L124" s="410"/>
      <c r="M124" s="1049"/>
    </row>
    <row r="125" spans="1:13" ht="12" customHeight="1">
      <c r="A125" s="455">
        <v>2027</v>
      </c>
      <c r="C125" s="406" t="s">
        <v>600</v>
      </c>
      <c r="D125" s="543"/>
      <c r="E125" s="460"/>
      <c r="F125" s="461"/>
      <c r="G125" s="461"/>
      <c r="H125" s="461"/>
      <c r="I125" s="461"/>
      <c r="J125" s="461"/>
      <c r="K125" s="461"/>
      <c r="L125" s="461"/>
      <c r="M125" s="1055"/>
    </row>
    <row r="126" spans="1:13" ht="12" customHeight="1">
      <c r="A126" s="455" t="s">
        <v>505</v>
      </c>
      <c r="C126" s="431" t="s">
        <v>601</v>
      </c>
      <c r="D126" s="500"/>
      <c r="E126" s="494"/>
      <c r="F126" s="494"/>
      <c r="G126" s="494"/>
      <c r="H126" s="494"/>
      <c r="I126" s="494"/>
      <c r="J126" s="494"/>
      <c r="K126" s="494"/>
      <c r="L126" s="494"/>
      <c r="M126" s="1056"/>
    </row>
    <row r="127" spans="1:13" ht="4.1500000000000004" customHeight="1">
      <c r="A127" s="758"/>
      <c r="C127" s="482"/>
      <c r="D127" s="482"/>
      <c r="E127" s="482"/>
      <c r="F127" s="482"/>
      <c r="G127" s="482"/>
      <c r="H127" s="482"/>
      <c r="I127" s="505"/>
      <c r="J127" s="505"/>
      <c r="K127" s="505"/>
      <c r="L127" s="505"/>
      <c r="M127" s="482"/>
    </row>
    <row r="128" spans="1:13" ht="12" customHeight="1">
      <c r="A128" s="455">
        <v>2017</v>
      </c>
      <c r="C128" s="398" t="s">
        <v>602</v>
      </c>
      <c r="D128" s="475">
        <v>0</v>
      </c>
      <c r="E128" s="486">
        <v>0</v>
      </c>
      <c r="F128" s="487">
        <v>0</v>
      </c>
      <c r="G128" s="487">
        <v>0</v>
      </c>
      <c r="H128" s="487">
        <v>0</v>
      </c>
      <c r="I128" s="1064">
        <v>0</v>
      </c>
      <c r="J128" s="1064">
        <v>0</v>
      </c>
      <c r="K128" s="1064">
        <v>0</v>
      </c>
      <c r="L128" s="1064">
        <v>0</v>
      </c>
      <c r="M128" s="1054"/>
    </row>
    <row r="129" spans="1:13" ht="12" customHeight="1">
      <c r="A129" s="455">
        <v>2018</v>
      </c>
      <c r="C129" s="406" t="s">
        <v>603</v>
      </c>
      <c r="D129" s="477">
        <v>0</v>
      </c>
      <c r="E129" s="490">
        <v>0</v>
      </c>
      <c r="F129" s="491">
        <v>0</v>
      </c>
      <c r="G129" s="491">
        <v>0</v>
      </c>
      <c r="H129" s="491">
        <v>0</v>
      </c>
      <c r="I129" s="1065">
        <v>0</v>
      </c>
      <c r="J129" s="1065">
        <v>0</v>
      </c>
      <c r="K129" s="1065">
        <v>0</v>
      </c>
      <c r="L129" s="1065">
        <v>0</v>
      </c>
      <c r="M129" s="1049"/>
    </row>
    <row r="130" spans="1:13" ht="12" customHeight="1">
      <c r="A130" s="455">
        <v>2019</v>
      </c>
      <c r="C130" s="406" t="s">
        <v>604</v>
      </c>
      <c r="D130" s="477">
        <v>0</v>
      </c>
      <c r="E130" s="491">
        <v>0</v>
      </c>
      <c r="F130" s="491">
        <v>0</v>
      </c>
      <c r="G130" s="491">
        <v>0</v>
      </c>
      <c r="H130" s="491">
        <v>0</v>
      </c>
      <c r="I130" s="1065">
        <v>0</v>
      </c>
      <c r="J130" s="1065">
        <v>0</v>
      </c>
      <c r="K130" s="1065">
        <v>0</v>
      </c>
      <c r="L130" s="1065">
        <v>0</v>
      </c>
      <c r="M130" s="1049"/>
    </row>
    <row r="131" spans="1:13" ht="12" customHeight="1">
      <c r="A131" s="455" t="s">
        <v>493</v>
      </c>
      <c r="C131" s="413" t="s">
        <v>605</v>
      </c>
      <c r="D131" s="414">
        <f>SUM(D128:D130)</f>
        <v>0</v>
      </c>
      <c r="E131" s="415">
        <f t="shared" ref="E131:L131" si="8">SUM(E128:E130)</f>
        <v>0</v>
      </c>
      <c r="F131" s="416">
        <f t="shared" si="8"/>
        <v>0</v>
      </c>
      <c r="G131" s="416">
        <f t="shared" si="8"/>
        <v>0</v>
      </c>
      <c r="H131" s="416">
        <f t="shared" si="8"/>
        <v>0</v>
      </c>
      <c r="I131" s="451">
        <f t="shared" si="8"/>
        <v>0</v>
      </c>
      <c r="J131" s="451">
        <f t="shared" si="8"/>
        <v>0</v>
      </c>
      <c r="K131" s="451">
        <f t="shared" si="8"/>
        <v>0</v>
      </c>
      <c r="L131" s="451">
        <f t="shared" si="8"/>
        <v>0</v>
      </c>
      <c r="M131" s="1050"/>
    </row>
    <row r="132" spans="1:13" ht="12" customHeight="1">
      <c r="A132" s="455">
        <v>2020</v>
      </c>
      <c r="C132" s="398" t="s">
        <v>606</v>
      </c>
      <c r="D132" s="452">
        <f>'T2 NSA'!C59</f>
        <v>0</v>
      </c>
      <c r="E132" s="420"/>
      <c r="F132" s="401"/>
      <c r="G132" s="421">
        <f>+D132</f>
        <v>0</v>
      </c>
      <c r="H132" s="402"/>
      <c r="I132" s="1058"/>
      <c r="J132" s="1081"/>
      <c r="K132" s="1081"/>
      <c r="L132" s="1081"/>
      <c r="M132" s="1054"/>
    </row>
    <row r="133" spans="1:13" ht="12" customHeight="1">
      <c r="A133" s="455">
        <v>2021</v>
      </c>
      <c r="C133" s="406" t="s">
        <v>607</v>
      </c>
      <c r="D133" s="453">
        <f>'T2 NSA'!D59</f>
        <v>0</v>
      </c>
      <c r="E133" s="408"/>
      <c r="F133" s="422"/>
      <c r="G133" s="410"/>
      <c r="H133" s="423">
        <f>+D133</f>
        <v>0</v>
      </c>
      <c r="I133" s="1059"/>
      <c r="J133" s="1053"/>
      <c r="K133" s="1053"/>
      <c r="L133" s="1053"/>
      <c r="M133" s="1049"/>
    </row>
    <row r="134" spans="1:13" ht="12" customHeight="1">
      <c r="A134" s="455">
        <v>2022</v>
      </c>
      <c r="C134" s="406" t="s">
        <v>608</v>
      </c>
      <c r="D134" s="453">
        <f>'T2 NSA'!E59</f>
        <v>0</v>
      </c>
      <c r="E134" s="408"/>
      <c r="F134" s="422"/>
      <c r="G134" s="410"/>
      <c r="H134" s="410"/>
      <c r="I134" s="1061">
        <f>+D134</f>
        <v>0</v>
      </c>
      <c r="J134" s="447"/>
      <c r="K134" s="447"/>
      <c r="L134" s="447"/>
      <c r="M134" s="1049"/>
    </row>
    <row r="135" spans="1:13" ht="12" customHeight="1">
      <c r="A135" s="455" t="s">
        <v>498</v>
      </c>
      <c r="C135" s="413" t="s">
        <v>609</v>
      </c>
      <c r="D135" s="414">
        <f>SUM(D132:D134)</f>
        <v>0</v>
      </c>
      <c r="E135" s="1083"/>
      <c r="F135" s="1084"/>
      <c r="G135" s="416">
        <f>SUM(G132:G134)</f>
        <v>0</v>
      </c>
      <c r="H135" s="416">
        <f>SUM(H132:H134)</f>
        <v>0</v>
      </c>
      <c r="I135" s="416">
        <f>SUM(I132:I134)</f>
        <v>0</v>
      </c>
      <c r="J135" s="417"/>
      <c r="K135" s="417"/>
      <c r="L135" s="417"/>
      <c r="M135" s="1050"/>
    </row>
    <row r="136" spans="1:13" ht="12" customHeight="1">
      <c r="A136" s="455">
        <v>2023</v>
      </c>
      <c r="C136" s="406" t="s">
        <v>610</v>
      </c>
      <c r="D136" s="453">
        <f>'T2 NSA'!F59</f>
        <v>0</v>
      </c>
      <c r="E136" s="408"/>
      <c r="F136" s="422"/>
      <c r="G136" s="410"/>
      <c r="H136" s="410"/>
      <c r="I136" s="410"/>
      <c r="J136" s="423">
        <f>D136</f>
        <v>0</v>
      </c>
      <c r="K136" s="410"/>
      <c r="L136" s="410"/>
      <c r="M136" s="1049"/>
    </row>
    <row r="137" spans="1:13" ht="12" customHeight="1">
      <c r="A137" s="455">
        <v>2024</v>
      </c>
      <c r="C137" s="406" t="s">
        <v>611</v>
      </c>
      <c r="D137" s="453">
        <f>'T2 NSA'!G59</f>
        <v>0</v>
      </c>
      <c r="E137" s="408"/>
      <c r="F137" s="422"/>
      <c r="G137" s="410"/>
      <c r="H137" s="410"/>
      <c r="I137" s="410"/>
      <c r="J137" s="410"/>
      <c r="K137" s="423">
        <f>D137</f>
        <v>0</v>
      </c>
      <c r="L137" s="410"/>
      <c r="M137" s="1049"/>
    </row>
    <row r="138" spans="1:13" ht="12" customHeight="1">
      <c r="A138" s="455">
        <v>2025</v>
      </c>
      <c r="C138" s="406" t="s">
        <v>612</v>
      </c>
      <c r="D138" s="453">
        <f>'T2 NSA'!H59</f>
        <v>0</v>
      </c>
      <c r="E138" s="408"/>
      <c r="F138" s="422"/>
      <c r="G138" s="410"/>
      <c r="H138" s="410"/>
      <c r="I138" s="410"/>
      <c r="J138" s="410"/>
      <c r="K138" s="410"/>
      <c r="L138" s="423">
        <f>D138</f>
        <v>0</v>
      </c>
      <c r="M138" s="1049"/>
    </row>
    <row r="139" spans="1:13" ht="12" customHeight="1">
      <c r="A139" s="455">
        <v>2026</v>
      </c>
      <c r="C139" s="406" t="s">
        <v>613</v>
      </c>
      <c r="D139" s="453">
        <f>'T2 NSA'!I59</f>
        <v>0</v>
      </c>
      <c r="E139" s="408"/>
      <c r="F139" s="422"/>
      <c r="G139" s="410"/>
      <c r="H139" s="410"/>
      <c r="I139" s="410"/>
      <c r="J139" s="410"/>
      <c r="K139" s="410"/>
      <c r="L139" s="410"/>
      <c r="M139" s="440">
        <f>D139</f>
        <v>0</v>
      </c>
    </row>
    <row r="140" spans="1:13" ht="12" customHeight="1">
      <c r="A140" s="455">
        <v>2027</v>
      </c>
      <c r="C140" s="406" t="s">
        <v>614</v>
      </c>
      <c r="D140" s="454">
        <f>'T2 NSA'!J59</f>
        <v>0</v>
      </c>
      <c r="E140" s="428"/>
      <c r="F140" s="429"/>
      <c r="G140" s="429"/>
      <c r="H140" s="429"/>
      <c r="I140" s="429"/>
      <c r="J140" s="429"/>
      <c r="K140" s="429"/>
      <c r="L140" s="429"/>
      <c r="M140" s="1077">
        <f>D140</f>
        <v>0</v>
      </c>
    </row>
    <row r="141" spans="1:13" ht="12" customHeight="1">
      <c r="A141" s="455" t="s">
        <v>505</v>
      </c>
      <c r="C141" s="431" t="s">
        <v>615</v>
      </c>
      <c r="D141" s="432">
        <f>SUM(D136:D140)+D131+D135</f>
        <v>0</v>
      </c>
      <c r="E141" s="480">
        <f t="shared" ref="E141:M141" si="9">SUM(E136:E140)+E131+E135</f>
        <v>0</v>
      </c>
      <c r="F141" s="434">
        <f t="shared" si="9"/>
        <v>0</v>
      </c>
      <c r="G141" s="434">
        <f t="shared" si="9"/>
        <v>0</v>
      </c>
      <c r="H141" s="434">
        <f t="shared" si="9"/>
        <v>0</v>
      </c>
      <c r="I141" s="481">
        <f t="shared" si="9"/>
        <v>0</v>
      </c>
      <c r="J141" s="481">
        <f t="shared" si="9"/>
        <v>0</v>
      </c>
      <c r="K141" s="481">
        <f t="shared" si="9"/>
        <v>0</v>
      </c>
      <c r="L141" s="481">
        <f t="shared" si="9"/>
        <v>0</v>
      </c>
      <c r="M141" s="1076">
        <f t="shared" si="9"/>
        <v>0</v>
      </c>
    </row>
    <row r="142" spans="1:13" ht="4.9000000000000004" customHeight="1">
      <c r="A142" s="758"/>
      <c r="C142" s="482"/>
      <c r="D142" s="482"/>
      <c r="E142" s="447"/>
      <c r="F142" s="447"/>
      <c r="G142" s="447"/>
      <c r="H142" s="447"/>
      <c r="I142" s="447"/>
      <c r="J142" s="447"/>
      <c r="K142" s="447"/>
      <c r="L142" s="447"/>
      <c r="M142" s="447"/>
    </row>
    <row r="143" spans="1:13" ht="12" customHeight="1">
      <c r="A143" s="455">
        <v>2017</v>
      </c>
      <c r="C143" s="398" t="s">
        <v>616</v>
      </c>
      <c r="D143" s="475">
        <v>0</v>
      </c>
      <c r="E143" s="486">
        <v>0</v>
      </c>
      <c r="F143" s="487">
        <v>0</v>
      </c>
      <c r="G143" s="487">
        <v>0</v>
      </c>
      <c r="H143" s="487">
        <v>0</v>
      </c>
      <c r="I143" s="1064">
        <v>0</v>
      </c>
      <c r="J143" s="1064">
        <v>0</v>
      </c>
      <c r="K143" s="1064">
        <v>0</v>
      </c>
      <c r="L143" s="1064">
        <v>0</v>
      </c>
      <c r="M143" s="437">
        <f t="shared" ref="M143:M155" si="10">D143-SUM(E143:I143)</f>
        <v>0</v>
      </c>
    </row>
    <row r="144" spans="1:13" ht="14.25" customHeight="1">
      <c r="A144" s="455">
        <v>2018</v>
      </c>
      <c r="C144" s="406" t="s">
        <v>617</v>
      </c>
      <c r="D144" s="917">
        <v>-8107.9232333506698</v>
      </c>
      <c r="E144" s="490">
        <f>D144</f>
        <v>-8107.9232333506698</v>
      </c>
      <c r="F144" s="491">
        <v>0</v>
      </c>
      <c r="G144" s="491">
        <v>0</v>
      </c>
      <c r="H144" s="491">
        <v>0</v>
      </c>
      <c r="I144" s="1065">
        <v>0</v>
      </c>
      <c r="J144" s="1065">
        <v>0</v>
      </c>
      <c r="K144" s="1065">
        <v>0</v>
      </c>
      <c r="L144" s="1065">
        <v>0</v>
      </c>
      <c r="M144" s="440">
        <f t="shared" si="10"/>
        <v>0</v>
      </c>
    </row>
    <row r="145" spans="1:13" ht="12" customHeight="1">
      <c r="A145" s="455">
        <v>2019</v>
      </c>
      <c r="C145" s="406" t="s">
        <v>618</v>
      </c>
      <c r="D145" s="503">
        <v>-8764.7680110260899</v>
      </c>
      <c r="E145" s="504"/>
      <c r="F145" s="491">
        <f>+D145</f>
        <v>-8764.7680110260899</v>
      </c>
      <c r="G145" s="491">
        <v>0</v>
      </c>
      <c r="H145" s="491">
        <v>0</v>
      </c>
      <c r="I145" s="1065">
        <v>0</v>
      </c>
      <c r="J145" s="1065">
        <v>0</v>
      </c>
      <c r="K145" s="1065">
        <v>0</v>
      </c>
      <c r="L145" s="1065">
        <v>0</v>
      </c>
      <c r="M145" s="440">
        <f t="shared" si="10"/>
        <v>0</v>
      </c>
    </row>
    <row r="146" spans="1:13" ht="12" customHeight="1">
      <c r="A146" s="455" t="s">
        <v>493</v>
      </c>
      <c r="C146" s="413" t="s">
        <v>619</v>
      </c>
      <c r="D146" s="414">
        <f t="shared" ref="D146:F146" si="11">SUM(D143:D145)</f>
        <v>-16872.691244376758</v>
      </c>
      <c r="E146" s="414">
        <f t="shared" si="11"/>
        <v>-8107.9232333506698</v>
      </c>
      <c r="F146" s="414">
        <f t="shared" si="11"/>
        <v>-8764.7680110260899</v>
      </c>
      <c r="G146" s="416">
        <f t="shared" ref="G146:I146" si="12">SUM(G143:G145)</f>
        <v>0</v>
      </c>
      <c r="H146" s="416">
        <f t="shared" si="12"/>
        <v>0</v>
      </c>
      <c r="I146" s="451">
        <f t="shared" si="12"/>
        <v>0</v>
      </c>
      <c r="J146" s="451">
        <f t="shared" ref="J146:L146" si="13">SUM(J143:J145)</f>
        <v>0</v>
      </c>
      <c r="K146" s="451">
        <f t="shared" si="13"/>
        <v>0</v>
      </c>
      <c r="L146" s="451">
        <f t="shared" si="13"/>
        <v>0</v>
      </c>
      <c r="M146" s="1051">
        <f>SUM(M143:M145)</f>
        <v>0</v>
      </c>
    </row>
    <row r="147" spans="1:13" ht="12" customHeight="1">
      <c r="A147" s="455">
        <v>2020</v>
      </c>
      <c r="C147" s="398" t="s">
        <v>620</v>
      </c>
      <c r="D147" s="399">
        <f>(E21+E36+E107+E126+E141+E166)*-'T2 NSA'!C40</f>
        <v>-5706.3161037249602</v>
      </c>
      <c r="E147" s="506"/>
      <c r="F147" s="507"/>
      <c r="G147" s="487">
        <f>D147</f>
        <v>-5706.3161037249602</v>
      </c>
      <c r="H147" s="507"/>
      <c r="I147" s="507"/>
      <c r="J147" s="507"/>
      <c r="K147" s="507"/>
      <c r="L147" s="507"/>
      <c r="M147" s="437">
        <f>D147-SUM(E147:L147)</f>
        <v>0</v>
      </c>
    </row>
    <row r="148" spans="1:13" ht="12" customHeight="1">
      <c r="A148" s="455">
        <v>2021</v>
      </c>
      <c r="C148" s="406" t="s">
        <v>621</v>
      </c>
      <c r="D148" s="407">
        <f>(F21+F36+F107+F126+F141+F166)*-'T2 NSA'!D40</f>
        <v>-9246.5591228096437</v>
      </c>
      <c r="E148" s="508"/>
      <c r="F148" s="509"/>
      <c r="G148" s="509"/>
      <c r="H148" s="491">
        <f>+D148</f>
        <v>-9246.5591228096437</v>
      </c>
      <c r="I148" s="509"/>
      <c r="J148" s="509"/>
      <c r="K148" s="509"/>
      <c r="L148" s="509"/>
      <c r="M148" s="440">
        <f>D148-SUM(E148:L148)</f>
        <v>0</v>
      </c>
    </row>
    <row r="149" spans="1:13" ht="12" customHeight="1">
      <c r="A149" s="455">
        <v>2022</v>
      </c>
      <c r="C149" s="406" t="s">
        <v>622</v>
      </c>
      <c r="D149" s="407">
        <f>(G21+G36+G107+G126+G141+G166)*-'T2 NSA'!E40</f>
        <v>0</v>
      </c>
      <c r="E149" s="508"/>
      <c r="F149" s="509"/>
      <c r="G149" s="509"/>
      <c r="H149" s="509"/>
      <c r="I149" s="491">
        <f>D149</f>
        <v>0</v>
      </c>
      <c r="J149" s="509"/>
      <c r="K149" s="509"/>
      <c r="L149" s="509"/>
      <c r="M149" s="440">
        <f>D149-SUM(E149:L149)</f>
        <v>0</v>
      </c>
    </row>
    <row r="150" spans="1:13" ht="12" customHeight="1">
      <c r="A150" s="455" t="s">
        <v>498</v>
      </c>
      <c r="C150" s="413" t="s">
        <v>623</v>
      </c>
      <c r="D150" s="414">
        <f>SUM(D147:D149)</f>
        <v>-14952.875226534605</v>
      </c>
      <c r="E150" s="1083"/>
      <c r="F150" s="1084"/>
      <c r="G150" s="416">
        <f>SUM(G147:G149)</f>
        <v>-5706.3161037249602</v>
      </c>
      <c r="H150" s="416">
        <f>SUM(H147:H149)</f>
        <v>-9246.5591228096437</v>
      </c>
      <c r="I150" s="416">
        <f>SUM(I147:I149)</f>
        <v>0</v>
      </c>
      <c r="J150" s="417"/>
      <c r="K150" s="417"/>
      <c r="L150" s="417"/>
      <c r="M150" s="1050"/>
    </row>
    <row r="151" spans="1:13" ht="12" customHeight="1">
      <c r="A151" s="455">
        <v>2023</v>
      </c>
      <c r="C151" s="406" t="s">
        <v>624</v>
      </c>
      <c r="D151" s="407">
        <f>(H21+H36+H111+H126+H141+H166)*-'T2 NSA'!F40</f>
        <v>0</v>
      </c>
      <c r="E151" s="508"/>
      <c r="F151" s="509"/>
      <c r="G151" s="509"/>
      <c r="H151" s="509"/>
      <c r="I151" s="509"/>
      <c r="J151" s="423">
        <f>D151</f>
        <v>0</v>
      </c>
      <c r="K151" s="410"/>
      <c r="L151" s="410"/>
      <c r="M151" s="1049"/>
    </row>
    <row r="152" spans="1:13" ht="12" customHeight="1">
      <c r="A152" s="455">
        <v>2024</v>
      </c>
      <c r="C152" s="406" t="s">
        <v>625</v>
      </c>
      <c r="D152" s="407">
        <f>(I21+I36+I111+I126+I141+I166)*-'T2 NSA'!G40</f>
        <v>0</v>
      </c>
      <c r="E152" s="508"/>
      <c r="F152" s="509"/>
      <c r="G152" s="509"/>
      <c r="H152" s="509"/>
      <c r="I152" s="509"/>
      <c r="J152" s="410"/>
      <c r="K152" s="423">
        <f>D152</f>
        <v>0</v>
      </c>
      <c r="L152" s="410"/>
      <c r="M152" s="1049"/>
    </row>
    <row r="153" spans="1:13" ht="12" customHeight="1">
      <c r="A153" s="455">
        <v>2025</v>
      </c>
      <c r="C153" s="406" t="s">
        <v>626</v>
      </c>
      <c r="D153" s="407">
        <f>(J21+J36+J111+J126+J141+J166)*-'T2 NSA'!H40</f>
        <v>0</v>
      </c>
      <c r="E153" s="508"/>
      <c r="F153" s="509"/>
      <c r="G153" s="509"/>
      <c r="H153" s="509"/>
      <c r="I153" s="509"/>
      <c r="J153" s="410"/>
      <c r="K153" s="410"/>
      <c r="L153" s="423">
        <f>D153</f>
        <v>0</v>
      </c>
      <c r="M153" s="1049"/>
    </row>
    <row r="154" spans="1:13" ht="12" customHeight="1">
      <c r="A154" s="455">
        <v>2026</v>
      </c>
      <c r="C154" s="406" t="s">
        <v>627</v>
      </c>
      <c r="D154" s="407">
        <f>(K21+K36+K111+K126+K141+K166)*-'T2 NSA'!I40</f>
        <v>0</v>
      </c>
      <c r="E154" s="508"/>
      <c r="F154" s="509"/>
      <c r="G154" s="509"/>
      <c r="H154" s="509"/>
      <c r="I154" s="509"/>
      <c r="J154" s="509"/>
      <c r="K154" s="509"/>
      <c r="L154" s="509"/>
      <c r="M154" s="440">
        <f t="shared" si="10"/>
        <v>0</v>
      </c>
    </row>
    <row r="155" spans="1:13" ht="12" customHeight="1">
      <c r="A155" s="455">
        <v>2027</v>
      </c>
      <c r="C155" s="406" t="s">
        <v>628</v>
      </c>
      <c r="D155" s="407">
        <f>(J21+J36+J111+J126+J141+J166)*-'T2 NSA'!L40</f>
        <v>0</v>
      </c>
      <c r="E155" s="508"/>
      <c r="F155" s="509"/>
      <c r="G155" s="509"/>
      <c r="H155" s="509"/>
      <c r="I155" s="509"/>
      <c r="J155" s="509"/>
      <c r="K155" s="509"/>
      <c r="L155" s="509"/>
      <c r="M155" s="440">
        <f t="shared" si="10"/>
        <v>0</v>
      </c>
    </row>
    <row r="156" spans="1:13" ht="12" customHeight="1">
      <c r="A156" s="455" t="s">
        <v>493</v>
      </c>
      <c r="C156" s="413" t="s">
        <v>629</v>
      </c>
      <c r="D156" s="414">
        <f>SUM(D151:D155)+D146+D150</f>
        <v>-31825.566470911363</v>
      </c>
      <c r="E156" s="415">
        <f t="shared" ref="E156:M156" si="14">SUM(E151:E155)+E146+E150</f>
        <v>-8107.9232333506698</v>
      </c>
      <c r="F156" s="416">
        <f t="shared" si="14"/>
        <v>-8764.7680110260899</v>
      </c>
      <c r="G156" s="416">
        <f t="shared" si="14"/>
        <v>-5706.3161037249602</v>
      </c>
      <c r="H156" s="416">
        <f t="shared" si="14"/>
        <v>-9246.5591228096437</v>
      </c>
      <c r="I156" s="451">
        <f t="shared" si="14"/>
        <v>0</v>
      </c>
      <c r="J156" s="451">
        <f t="shared" si="14"/>
        <v>0</v>
      </c>
      <c r="K156" s="451">
        <f t="shared" si="14"/>
        <v>0</v>
      </c>
      <c r="L156" s="451">
        <f t="shared" si="14"/>
        <v>0</v>
      </c>
      <c r="M156" s="1051">
        <f t="shared" si="14"/>
        <v>0</v>
      </c>
    </row>
    <row r="157" spans="1:13" ht="12" customHeight="1">
      <c r="A157" s="455">
        <v>2020</v>
      </c>
      <c r="C157" s="398" t="s">
        <v>630</v>
      </c>
      <c r="D157" s="452">
        <f>'T2 NSA'!C46</f>
        <v>41495.455190986162</v>
      </c>
      <c r="E157" s="420"/>
      <c r="F157" s="401"/>
      <c r="G157" s="1036">
        <f>D157</f>
        <v>41495.455190986162</v>
      </c>
      <c r="H157" s="402"/>
      <c r="I157" s="1058"/>
      <c r="J157" s="1081"/>
      <c r="K157" s="1081"/>
      <c r="L157" s="1081"/>
      <c r="M157" s="1054"/>
    </row>
    <row r="158" spans="1:13" ht="12" customHeight="1">
      <c r="A158" s="455">
        <v>2021</v>
      </c>
      <c r="C158" s="406" t="s">
        <v>631</v>
      </c>
      <c r="D158" s="453">
        <f>'T2 NSA'!D46</f>
        <v>41029.454750225465</v>
      </c>
      <c r="E158" s="408"/>
      <c r="F158" s="422"/>
      <c r="G158" s="422"/>
      <c r="H158" s="409">
        <f>D158</f>
        <v>41029.454750225465</v>
      </c>
      <c r="I158" s="1062"/>
      <c r="J158" s="1081"/>
      <c r="K158" s="1081"/>
      <c r="L158" s="1081"/>
      <c r="M158" s="1049"/>
    </row>
    <row r="159" spans="1:13" ht="12" customHeight="1">
      <c r="A159" s="455">
        <v>2022</v>
      </c>
      <c r="C159" s="406" t="s">
        <v>632</v>
      </c>
      <c r="D159" s="453">
        <f>'T2 NSA'!E46</f>
        <v>0</v>
      </c>
      <c r="E159" s="408"/>
      <c r="F159" s="422"/>
      <c r="G159" s="422"/>
      <c r="H159" s="422"/>
      <c r="I159" s="1069">
        <f>D159</f>
        <v>0</v>
      </c>
      <c r="J159" s="1053"/>
      <c r="K159" s="1053"/>
      <c r="L159" s="1053"/>
      <c r="M159" s="1049"/>
    </row>
    <row r="160" spans="1:13" ht="12" customHeight="1">
      <c r="A160" s="455" t="s">
        <v>498</v>
      </c>
      <c r="C160" s="413" t="s">
        <v>633</v>
      </c>
      <c r="D160" s="414">
        <f>SUM(D157:D159)</f>
        <v>82524.909941211634</v>
      </c>
      <c r="E160" s="1083"/>
      <c r="F160" s="1084"/>
      <c r="G160" s="416">
        <f>SUM(G157:G159)</f>
        <v>41495.455190986162</v>
      </c>
      <c r="H160" s="416">
        <f>SUM(H157:H159)</f>
        <v>41029.454750225465</v>
      </c>
      <c r="I160" s="416">
        <f>SUM(I157:I159)</f>
        <v>0</v>
      </c>
      <c r="J160" s="417"/>
      <c r="K160" s="417"/>
      <c r="L160" s="417"/>
      <c r="M160" s="1050"/>
    </row>
    <row r="161" spans="1:14" ht="12" customHeight="1">
      <c r="A161" s="455">
        <v>2023</v>
      </c>
      <c r="C161" s="406" t="s">
        <v>634</v>
      </c>
      <c r="D161" s="453">
        <f>'T2 NSA'!F46</f>
        <v>0</v>
      </c>
      <c r="E161" s="408"/>
      <c r="F161" s="422"/>
      <c r="G161" s="422"/>
      <c r="H161" s="422"/>
      <c r="I161" s="422"/>
      <c r="J161" s="423">
        <f>D161</f>
        <v>0</v>
      </c>
      <c r="K161" s="422"/>
      <c r="L161" s="422"/>
      <c r="M161" s="1049"/>
    </row>
    <row r="162" spans="1:14" ht="12" customHeight="1">
      <c r="A162" s="455">
        <v>2024</v>
      </c>
      <c r="C162" s="406" t="s">
        <v>635</v>
      </c>
      <c r="D162" s="453">
        <f>'T2 NSA'!G46</f>
        <v>0</v>
      </c>
      <c r="E162" s="408"/>
      <c r="F162" s="422"/>
      <c r="G162" s="422"/>
      <c r="H162" s="422"/>
      <c r="I162" s="422"/>
      <c r="J162" s="422"/>
      <c r="K162" s="423">
        <f>D162</f>
        <v>0</v>
      </c>
      <c r="L162" s="422"/>
      <c r="M162" s="1049"/>
    </row>
    <row r="163" spans="1:14" ht="12" customHeight="1">
      <c r="A163" s="455">
        <v>2025</v>
      </c>
      <c r="C163" s="406" t="s">
        <v>636</v>
      </c>
      <c r="D163" s="453">
        <f>'T2 NSA'!H46</f>
        <v>0</v>
      </c>
      <c r="E163" s="408"/>
      <c r="F163" s="422"/>
      <c r="G163" s="422"/>
      <c r="H163" s="422"/>
      <c r="I163" s="422"/>
      <c r="J163" s="422"/>
      <c r="K163" s="422"/>
      <c r="L163" s="423">
        <f>D163</f>
        <v>0</v>
      </c>
      <c r="M163" s="1049"/>
    </row>
    <row r="164" spans="1:14" ht="12" customHeight="1">
      <c r="A164" s="455">
        <v>2026</v>
      </c>
      <c r="C164" s="406" t="s">
        <v>637</v>
      </c>
      <c r="D164" s="453">
        <f>'T2 NSA'!I46</f>
        <v>0</v>
      </c>
      <c r="E164" s="408"/>
      <c r="F164" s="422"/>
      <c r="G164" s="422"/>
      <c r="H164" s="422"/>
      <c r="I164" s="422"/>
      <c r="J164" s="422"/>
      <c r="K164" s="422"/>
      <c r="L164" s="422"/>
      <c r="M164" s="440">
        <f>D164</f>
        <v>0</v>
      </c>
    </row>
    <row r="165" spans="1:14" ht="12" customHeight="1">
      <c r="A165" s="455">
        <v>2027</v>
      </c>
      <c r="C165" s="406" t="s">
        <v>638</v>
      </c>
      <c r="D165" s="454">
        <f>'T2 NSA'!J46</f>
        <v>0</v>
      </c>
      <c r="E165" s="428"/>
      <c r="F165" s="429"/>
      <c r="G165" s="429"/>
      <c r="H165" s="429"/>
      <c r="I165" s="429"/>
      <c r="J165" s="429"/>
      <c r="K165" s="429"/>
      <c r="L165" s="429"/>
      <c r="M165" s="1077">
        <f>D165</f>
        <v>0</v>
      </c>
    </row>
    <row r="166" spans="1:14" ht="12" customHeight="1">
      <c r="A166" s="455" t="s">
        <v>505</v>
      </c>
      <c r="C166" s="431" t="s">
        <v>639</v>
      </c>
      <c r="D166" s="432">
        <f>SUM(D161:D165)+D156+D160</f>
        <v>50699.343470300271</v>
      </c>
      <c r="E166" s="480">
        <f t="shared" ref="E166:M166" si="15">SUM(E161:E165)+E156+E160</f>
        <v>-8107.9232333506698</v>
      </c>
      <c r="F166" s="434">
        <f t="shared" si="15"/>
        <v>-8764.7680110260899</v>
      </c>
      <c r="G166" s="434">
        <f t="shared" si="15"/>
        <v>35789.139087261203</v>
      </c>
      <c r="H166" s="434">
        <f t="shared" si="15"/>
        <v>31782.895627415819</v>
      </c>
      <c r="I166" s="434">
        <f t="shared" si="15"/>
        <v>0</v>
      </c>
      <c r="J166" s="434">
        <f t="shared" si="15"/>
        <v>0</v>
      </c>
      <c r="K166" s="434">
        <f t="shared" si="15"/>
        <v>0</v>
      </c>
      <c r="L166" s="434">
        <f t="shared" si="15"/>
        <v>0</v>
      </c>
      <c r="M166" s="1076">
        <f t="shared" si="15"/>
        <v>0</v>
      </c>
    </row>
    <row r="167" spans="1:14" ht="4.1500000000000004" customHeight="1">
      <c r="A167" s="758"/>
    </row>
    <row r="168" spans="1:14" ht="12" customHeight="1">
      <c r="A168" s="455">
        <v>2017</v>
      </c>
      <c r="C168" s="398" t="s">
        <v>640</v>
      </c>
      <c r="D168" s="475">
        <v>0</v>
      </c>
      <c r="E168" s="486">
        <v>0</v>
      </c>
      <c r="F168" s="487">
        <v>0</v>
      </c>
      <c r="G168" s="487">
        <v>0</v>
      </c>
      <c r="H168" s="487">
        <v>0</v>
      </c>
      <c r="I168" s="487">
        <v>0</v>
      </c>
      <c r="J168" s="487"/>
      <c r="K168" s="487"/>
      <c r="L168" s="487"/>
      <c r="M168" s="437">
        <f t="shared" ref="M168:M169" si="16">D168-SUM(E168:I168)</f>
        <v>0</v>
      </c>
    </row>
    <row r="169" spans="1:14" ht="12" customHeight="1">
      <c r="A169" s="455">
        <v>2018</v>
      </c>
      <c r="C169" s="406" t="s">
        <v>641</v>
      </c>
      <c r="D169" s="477">
        <v>0</v>
      </c>
      <c r="E169" s="490">
        <f>+D169</f>
        <v>0</v>
      </c>
      <c r="F169" s="491">
        <v>0</v>
      </c>
      <c r="G169" s="491">
        <v>0</v>
      </c>
      <c r="H169" s="491">
        <v>0</v>
      </c>
      <c r="I169" s="491">
        <v>0</v>
      </c>
      <c r="J169" s="491"/>
      <c r="K169" s="491"/>
      <c r="L169" s="491"/>
      <c r="M169" s="440">
        <f t="shared" si="16"/>
        <v>0</v>
      </c>
    </row>
    <row r="170" spans="1:14" ht="12" customHeight="1">
      <c r="A170" s="455">
        <v>2019</v>
      </c>
      <c r="C170" s="406" t="s">
        <v>642</v>
      </c>
      <c r="D170" s="477">
        <v>0</v>
      </c>
      <c r="E170" s="490">
        <v>0</v>
      </c>
      <c r="F170" s="491">
        <v>0</v>
      </c>
      <c r="G170" s="491">
        <v>0</v>
      </c>
      <c r="H170" s="491">
        <v>0</v>
      </c>
      <c r="I170" s="491">
        <v>0</v>
      </c>
      <c r="J170" s="491"/>
      <c r="K170" s="491"/>
      <c r="L170" s="491"/>
      <c r="M170" s="440">
        <v>0</v>
      </c>
    </row>
    <row r="171" spans="1:14" ht="12" customHeight="1">
      <c r="A171" s="455" t="s">
        <v>493</v>
      </c>
      <c r="C171" s="413" t="s">
        <v>643</v>
      </c>
      <c r="D171" s="414">
        <f>SUM(D168:D170)</f>
        <v>0</v>
      </c>
      <c r="E171" s="415">
        <f t="shared" ref="E171:M171" si="17">SUM(E168:E170)</f>
        <v>0</v>
      </c>
      <c r="F171" s="416">
        <f t="shared" si="17"/>
        <v>0</v>
      </c>
      <c r="G171" s="416">
        <f t="shared" si="17"/>
        <v>0</v>
      </c>
      <c r="H171" s="416">
        <f t="shared" si="17"/>
        <v>0</v>
      </c>
      <c r="I171" s="416">
        <f t="shared" si="17"/>
        <v>0</v>
      </c>
      <c r="J171" s="416"/>
      <c r="K171" s="416"/>
      <c r="L171" s="416"/>
      <c r="M171" s="1051">
        <f t="shared" si="17"/>
        <v>0</v>
      </c>
    </row>
    <row r="172" spans="1:14" s="540" customFormat="1" ht="12" customHeight="1">
      <c r="A172" s="982">
        <v>2020</v>
      </c>
      <c r="B172" s="386"/>
      <c r="C172" s="436" t="s">
        <v>644</v>
      </c>
      <c r="D172" s="452">
        <f>'T2 NSA'!C69</f>
        <v>0</v>
      </c>
      <c r="E172" s="486">
        <f>D172</f>
        <v>0</v>
      </c>
      <c r="F172" s="507"/>
      <c r="G172" s="507"/>
      <c r="H172" s="507"/>
      <c r="I172" s="1085"/>
      <c r="J172" s="507"/>
      <c r="K172" s="507"/>
      <c r="L172" s="507"/>
      <c r="M172" s="437">
        <f>D172-SUM(E172:L172)</f>
        <v>0</v>
      </c>
    </row>
    <row r="173" spans="1:14" ht="12" customHeight="1">
      <c r="A173" s="455">
        <v>2021</v>
      </c>
      <c r="C173" s="406" t="s">
        <v>645</v>
      </c>
      <c r="D173" s="453">
        <f>'T2 NSA'!G65</f>
        <v>0</v>
      </c>
      <c r="E173" s="508"/>
      <c r="F173" s="491">
        <f>D173</f>
        <v>0</v>
      </c>
      <c r="G173" s="509"/>
      <c r="H173" s="509"/>
      <c r="I173" s="1068"/>
      <c r="J173" s="509"/>
      <c r="K173" s="509"/>
      <c r="L173" s="509"/>
      <c r="M173" s="440">
        <f t="shared" ref="M173:M174" si="18">D173-SUM(E173:L173)</f>
        <v>0</v>
      </c>
      <c r="N173" s="540"/>
    </row>
    <row r="174" spans="1:14" ht="12" customHeight="1">
      <c r="A174" s="455">
        <v>2022</v>
      </c>
      <c r="C174" s="406" t="s">
        <v>646</v>
      </c>
      <c r="D174" s="453">
        <f>'T2 NSA'!E69</f>
        <v>0</v>
      </c>
      <c r="E174" s="508"/>
      <c r="F174" s="509"/>
      <c r="G174" s="512">
        <f>D174</f>
        <v>0</v>
      </c>
      <c r="H174" s="1094"/>
      <c r="I174" s="1087"/>
      <c r="J174" s="509"/>
      <c r="K174" s="509"/>
      <c r="L174" s="509"/>
      <c r="M174" s="440">
        <f t="shared" si="18"/>
        <v>0</v>
      </c>
      <c r="N174" s="540"/>
    </row>
    <row r="175" spans="1:14" ht="12" customHeight="1">
      <c r="A175" s="455" t="s">
        <v>498</v>
      </c>
      <c r="C175" s="413" t="s">
        <v>647</v>
      </c>
      <c r="D175" s="414">
        <f t="shared" ref="D175:I175" si="19">SUM(D172:D174)</f>
        <v>0</v>
      </c>
      <c r="E175" s="414">
        <f t="shared" si="19"/>
        <v>0</v>
      </c>
      <c r="F175" s="414">
        <f t="shared" si="19"/>
        <v>0</v>
      </c>
      <c r="G175" s="416">
        <f t="shared" si="19"/>
        <v>0</v>
      </c>
      <c r="H175" s="416">
        <f t="shared" si="19"/>
        <v>0</v>
      </c>
      <c r="I175" s="416">
        <f t="shared" si="19"/>
        <v>0</v>
      </c>
      <c r="J175" s="417"/>
      <c r="K175" s="417"/>
      <c r="L175" s="417"/>
      <c r="M175" s="1050"/>
      <c r="N175" s="540"/>
    </row>
    <row r="176" spans="1:14" ht="12" customHeight="1">
      <c r="A176" s="455">
        <v>2023</v>
      </c>
      <c r="C176" s="406" t="s">
        <v>648</v>
      </c>
      <c r="D176" s="453">
        <f>'T2 NSA'!F69</f>
        <v>0</v>
      </c>
      <c r="E176" s="508"/>
      <c r="F176" s="509"/>
      <c r="G176" s="509"/>
      <c r="H176" s="491">
        <f>D176</f>
        <v>0</v>
      </c>
      <c r="I176" s="1068"/>
      <c r="J176" s="509"/>
      <c r="K176" s="509"/>
      <c r="L176" s="509"/>
      <c r="M176" s="440">
        <f t="shared" ref="M176:M180" si="20">D176-SUM(E176:L176)</f>
        <v>0</v>
      </c>
      <c r="N176" s="540"/>
    </row>
    <row r="177" spans="1:14" ht="12" customHeight="1">
      <c r="A177" s="455">
        <v>2024</v>
      </c>
      <c r="C177" s="406" t="s">
        <v>649</v>
      </c>
      <c r="D177" s="453">
        <f>'T2 NSA'!G69</f>
        <v>0</v>
      </c>
      <c r="E177" s="508"/>
      <c r="F177" s="509"/>
      <c r="G177" s="509"/>
      <c r="H177" s="509"/>
      <c r="I177" s="1065">
        <f>D177</f>
        <v>0</v>
      </c>
      <c r="J177" s="509"/>
      <c r="K177" s="509"/>
      <c r="L177" s="509"/>
      <c r="M177" s="440">
        <f t="shared" si="20"/>
        <v>0</v>
      </c>
      <c r="N177" s="540"/>
    </row>
    <row r="178" spans="1:14" ht="12" customHeight="1">
      <c r="A178" s="455">
        <v>2025</v>
      </c>
      <c r="C178" s="406" t="s">
        <v>650</v>
      </c>
      <c r="D178" s="453">
        <f>'T2 NSA'!H69</f>
        <v>0</v>
      </c>
      <c r="E178" s="508"/>
      <c r="F178" s="509"/>
      <c r="G178" s="509"/>
      <c r="H178" s="509"/>
      <c r="I178" s="1068"/>
      <c r="J178" s="491">
        <f>D178</f>
        <v>0</v>
      </c>
      <c r="K178" s="509"/>
      <c r="L178" s="509"/>
      <c r="M178" s="440">
        <f t="shared" si="20"/>
        <v>0</v>
      </c>
      <c r="N178" s="540"/>
    </row>
    <row r="179" spans="1:14" ht="12" customHeight="1">
      <c r="A179" s="455">
        <v>2026</v>
      </c>
      <c r="C179" s="406" t="s">
        <v>651</v>
      </c>
      <c r="D179" s="453">
        <f>'T2 NSA'!I69</f>
        <v>0</v>
      </c>
      <c r="E179" s="508"/>
      <c r="F179" s="509"/>
      <c r="G179" s="509"/>
      <c r="H179" s="509"/>
      <c r="I179" s="1068"/>
      <c r="J179" s="509"/>
      <c r="K179" s="491">
        <f>D179</f>
        <v>0</v>
      </c>
      <c r="L179" s="509"/>
      <c r="M179" s="440">
        <f t="shared" si="20"/>
        <v>0</v>
      </c>
      <c r="N179" s="540"/>
    </row>
    <row r="180" spans="1:14" ht="12" customHeight="1">
      <c r="A180" s="455">
        <v>2027</v>
      </c>
      <c r="C180" s="406" t="s">
        <v>652</v>
      </c>
      <c r="D180" s="453">
        <f>'T2 NSA'!J69</f>
        <v>0</v>
      </c>
      <c r="E180" s="513"/>
      <c r="F180" s="514"/>
      <c r="G180" s="514"/>
      <c r="H180" s="514"/>
      <c r="I180" s="1095"/>
      <c r="J180" s="509"/>
      <c r="K180" s="509"/>
      <c r="L180" s="491">
        <f>D180</f>
        <v>0</v>
      </c>
      <c r="M180" s="1077">
        <f t="shared" si="20"/>
        <v>0</v>
      </c>
      <c r="N180" s="540"/>
    </row>
    <row r="181" spans="1:14" ht="12" customHeight="1">
      <c r="A181" s="455" t="s">
        <v>505</v>
      </c>
      <c r="C181" s="431" t="s">
        <v>653</v>
      </c>
      <c r="D181" s="432">
        <f>SUM(D176:D180)+D171+D175</f>
        <v>0</v>
      </c>
      <c r="E181" s="480">
        <f t="shared" ref="E181:M181" si="21">SUM(E176:E180)+E171+E175</f>
        <v>0</v>
      </c>
      <c r="F181" s="434">
        <f t="shared" si="21"/>
        <v>0</v>
      </c>
      <c r="G181" s="434">
        <f t="shared" si="21"/>
        <v>0</v>
      </c>
      <c r="H181" s="434">
        <f t="shared" si="21"/>
        <v>0</v>
      </c>
      <c r="I181" s="434">
        <f t="shared" si="21"/>
        <v>0</v>
      </c>
      <c r="J181" s="434">
        <f t="shared" si="21"/>
        <v>0</v>
      </c>
      <c r="K181" s="434">
        <f t="shared" si="21"/>
        <v>0</v>
      </c>
      <c r="L181" s="434">
        <f t="shared" si="21"/>
        <v>0</v>
      </c>
      <c r="M181" s="1076">
        <f t="shared" si="21"/>
        <v>0</v>
      </c>
      <c r="N181" s="540"/>
    </row>
    <row r="182" spans="1:14" ht="4.1500000000000004" customHeight="1">
      <c r="A182" s="758"/>
    </row>
    <row r="183" spans="1:14" ht="12" customHeight="1">
      <c r="A183" s="455">
        <v>2017</v>
      </c>
      <c r="C183" s="398" t="s">
        <v>654</v>
      </c>
      <c r="D183" s="475">
        <v>0</v>
      </c>
      <c r="E183" s="486">
        <v>0</v>
      </c>
      <c r="F183" s="487">
        <v>0</v>
      </c>
      <c r="G183" s="487">
        <v>0</v>
      </c>
      <c r="H183" s="487">
        <v>0</v>
      </c>
      <c r="I183" s="1064">
        <v>0</v>
      </c>
      <c r="J183" s="1064">
        <v>0</v>
      </c>
      <c r="K183" s="1064">
        <v>0</v>
      </c>
      <c r="L183" s="1064">
        <v>0</v>
      </c>
      <c r="M183" s="437">
        <f>D183-SUM(E183:L183)</f>
        <v>0</v>
      </c>
    </row>
    <row r="184" spans="1:14" ht="12" customHeight="1">
      <c r="A184" s="455">
        <v>2018</v>
      </c>
      <c r="C184" s="406" t="s">
        <v>655</v>
      </c>
      <c r="D184" s="477">
        <v>0</v>
      </c>
      <c r="E184" s="490">
        <v>0</v>
      </c>
      <c r="F184" s="491">
        <v>0</v>
      </c>
      <c r="G184" s="491">
        <v>0</v>
      </c>
      <c r="H184" s="491">
        <v>0</v>
      </c>
      <c r="I184" s="1065">
        <v>0</v>
      </c>
      <c r="J184" s="1065">
        <v>0</v>
      </c>
      <c r="K184" s="1065">
        <v>0</v>
      </c>
      <c r="L184" s="1065">
        <v>0</v>
      </c>
      <c r="M184" s="440">
        <f t="shared" ref="M184:M185" si="22">D184-SUM(E184:L184)</f>
        <v>0</v>
      </c>
    </row>
    <row r="185" spans="1:14" ht="12" customHeight="1">
      <c r="A185" s="455">
        <v>2019</v>
      </c>
      <c r="C185" s="406" t="s">
        <v>656</v>
      </c>
      <c r="D185" s="477"/>
      <c r="E185" s="490">
        <v>0</v>
      </c>
      <c r="F185" s="491">
        <v>0</v>
      </c>
      <c r="G185" s="491">
        <v>0</v>
      </c>
      <c r="H185" s="491">
        <v>0</v>
      </c>
      <c r="I185" s="1065">
        <v>0</v>
      </c>
      <c r="J185" s="1065">
        <v>0</v>
      </c>
      <c r="K185" s="1065">
        <v>0</v>
      </c>
      <c r="L185" s="1065">
        <v>0</v>
      </c>
      <c r="M185" s="440">
        <f t="shared" si="22"/>
        <v>0</v>
      </c>
    </row>
    <row r="186" spans="1:14" ht="12" customHeight="1">
      <c r="A186" s="455" t="s">
        <v>493</v>
      </c>
      <c r="C186" s="413" t="s">
        <v>657</v>
      </c>
      <c r="D186" s="414">
        <f>SUM(D183:D185)</f>
        <v>0</v>
      </c>
      <c r="E186" s="415">
        <f t="shared" ref="E186:M186" si="23">SUM(E183:E185)</f>
        <v>0</v>
      </c>
      <c r="F186" s="416">
        <f t="shared" si="23"/>
        <v>0</v>
      </c>
      <c r="G186" s="416">
        <f t="shared" si="23"/>
        <v>0</v>
      </c>
      <c r="H186" s="416">
        <f t="shared" si="23"/>
        <v>0</v>
      </c>
      <c r="I186" s="416">
        <f t="shared" si="23"/>
        <v>0</v>
      </c>
      <c r="J186" s="416">
        <f t="shared" si="23"/>
        <v>0</v>
      </c>
      <c r="K186" s="416">
        <f t="shared" si="23"/>
        <v>0</v>
      </c>
      <c r="L186" s="416">
        <f t="shared" si="23"/>
        <v>0</v>
      </c>
      <c r="M186" s="1051">
        <f t="shared" si="23"/>
        <v>0</v>
      </c>
    </row>
    <row r="187" spans="1:14" s="516" customFormat="1">
      <c r="A187" s="455">
        <v>2020</v>
      </c>
      <c r="B187" s="386"/>
      <c r="C187" s="398" t="s">
        <v>658</v>
      </c>
      <c r="D187" s="452">
        <f>'T2 NSA'!C70</f>
        <v>0</v>
      </c>
      <c r="E187" s="486">
        <v>0</v>
      </c>
      <c r="F187" s="487">
        <v>0</v>
      </c>
      <c r="G187" s="487">
        <v>0</v>
      </c>
      <c r="H187" s="487">
        <v>0</v>
      </c>
      <c r="I187" s="487">
        <v>0</v>
      </c>
      <c r="J187" s="487">
        <v>0</v>
      </c>
      <c r="K187" s="487">
        <v>0</v>
      </c>
      <c r="L187" s="487">
        <v>0</v>
      </c>
      <c r="M187" s="437">
        <f>D187-SUM(E187:L187)</f>
        <v>0</v>
      </c>
    </row>
    <row r="188" spans="1:14" ht="12" customHeight="1">
      <c r="A188" s="455">
        <v>2021</v>
      </c>
      <c r="C188" s="406" t="s">
        <v>659</v>
      </c>
      <c r="D188" s="453">
        <f>'T2 NSA'!D70</f>
        <v>0</v>
      </c>
      <c r="E188" s="508"/>
      <c r="F188" s="491">
        <v>0</v>
      </c>
      <c r="G188" s="491">
        <v>0</v>
      </c>
      <c r="H188" s="491">
        <v>0</v>
      </c>
      <c r="I188" s="491">
        <v>0</v>
      </c>
      <c r="J188" s="491">
        <v>0</v>
      </c>
      <c r="K188" s="491">
        <v>0</v>
      </c>
      <c r="L188" s="491">
        <v>0</v>
      </c>
      <c r="M188" s="440">
        <f t="shared" ref="M188:M189" si="24">D188-SUM(E188:L188)</f>
        <v>0</v>
      </c>
    </row>
    <row r="189" spans="1:14" ht="12" customHeight="1">
      <c r="A189" s="455">
        <v>2022</v>
      </c>
      <c r="C189" s="406" t="s">
        <v>660</v>
      </c>
      <c r="D189" s="453">
        <f>'T2 NSA'!E70</f>
        <v>0</v>
      </c>
      <c r="E189" s="508"/>
      <c r="F189" s="509"/>
      <c r="G189" s="512">
        <v>0</v>
      </c>
      <c r="H189" s="512">
        <v>0</v>
      </c>
      <c r="I189" s="512">
        <v>0</v>
      </c>
      <c r="J189" s="512">
        <v>0</v>
      </c>
      <c r="K189" s="512">
        <v>0</v>
      </c>
      <c r="L189" s="512">
        <v>0</v>
      </c>
      <c r="M189" s="440">
        <f t="shared" si="24"/>
        <v>0</v>
      </c>
    </row>
    <row r="190" spans="1:14" ht="12" customHeight="1">
      <c r="A190" s="455" t="s">
        <v>498</v>
      </c>
      <c r="C190" s="413" t="s">
        <v>661</v>
      </c>
      <c r="D190" s="414">
        <f t="shared" ref="D190:L190" si="25">SUM(D187:D189)</f>
        <v>0</v>
      </c>
      <c r="E190" s="416">
        <f t="shared" si="25"/>
        <v>0</v>
      </c>
      <c r="F190" s="416">
        <f t="shared" si="25"/>
        <v>0</v>
      </c>
      <c r="G190" s="416">
        <f t="shared" si="25"/>
        <v>0</v>
      </c>
      <c r="H190" s="416">
        <f t="shared" si="25"/>
        <v>0</v>
      </c>
      <c r="I190" s="416">
        <f t="shared" si="25"/>
        <v>0</v>
      </c>
      <c r="J190" s="416">
        <f t="shared" si="25"/>
        <v>0</v>
      </c>
      <c r="K190" s="416">
        <f t="shared" si="25"/>
        <v>0</v>
      </c>
      <c r="L190" s="416">
        <f t="shared" si="25"/>
        <v>0</v>
      </c>
      <c r="M190" s="1051">
        <f t="shared" ref="M190" si="26">SUM(M187:M189)</f>
        <v>0</v>
      </c>
    </row>
    <row r="191" spans="1:14" ht="12" customHeight="1">
      <c r="A191" s="455">
        <v>2023</v>
      </c>
      <c r="C191" s="406" t="s">
        <v>662</v>
      </c>
      <c r="D191" s="453">
        <f>'T2 NSA'!F70</f>
        <v>0</v>
      </c>
      <c r="E191" s="508"/>
      <c r="F191" s="509"/>
      <c r="G191" s="509"/>
      <c r="H191" s="512">
        <v>0</v>
      </c>
      <c r="I191" s="512">
        <v>0</v>
      </c>
      <c r="J191" s="1066">
        <v>0</v>
      </c>
      <c r="K191" s="491">
        <v>0</v>
      </c>
      <c r="L191" s="491">
        <v>0</v>
      </c>
      <c r="M191" s="440">
        <f>D191-SUM(E191:L191)</f>
        <v>0</v>
      </c>
    </row>
    <row r="192" spans="1:14" ht="12" customHeight="1">
      <c r="A192" s="455">
        <v>2024</v>
      </c>
      <c r="C192" s="406" t="s">
        <v>663</v>
      </c>
      <c r="D192" s="453">
        <f>'T2 NSA'!G70</f>
        <v>0</v>
      </c>
      <c r="E192" s="508"/>
      <c r="F192" s="509"/>
      <c r="G192" s="509"/>
      <c r="H192" s="509"/>
      <c r="I192" s="512">
        <v>0</v>
      </c>
      <c r="J192" s="1066">
        <v>0</v>
      </c>
      <c r="K192" s="491">
        <v>0</v>
      </c>
      <c r="L192" s="491">
        <v>0</v>
      </c>
      <c r="M192" s="440">
        <f t="shared" ref="M192:M195" si="27">D192-SUM(E192:L192)</f>
        <v>0</v>
      </c>
    </row>
    <row r="193" spans="1:13" ht="12" customHeight="1">
      <c r="A193" s="455">
        <v>2025</v>
      </c>
      <c r="C193" s="406" t="s">
        <v>664</v>
      </c>
      <c r="D193" s="453">
        <f>'T2 NSA'!H70</f>
        <v>0</v>
      </c>
      <c r="E193" s="508"/>
      <c r="F193" s="509"/>
      <c r="G193" s="509"/>
      <c r="H193" s="509"/>
      <c r="I193" s="509"/>
      <c r="J193" s="512">
        <v>0</v>
      </c>
      <c r="K193" s="491">
        <v>0</v>
      </c>
      <c r="L193" s="491">
        <v>0</v>
      </c>
      <c r="M193" s="440">
        <f t="shared" si="27"/>
        <v>0</v>
      </c>
    </row>
    <row r="194" spans="1:13" ht="12" customHeight="1">
      <c r="A194" s="455">
        <v>2026</v>
      </c>
      <c r="C194" s="406" t="s">
        <v>665</v>
      </c>
      <c r="D194" s="453">
        <f>'T2 NSA'!I70</f>
        <v>0</v>
      </c>
      <c r="E194" s="508"/>
      <c r="F194" s="509"/>
      <c r="G194" s="509"/>
      <c r="H194" s="509"/>
      <c r="I194" s="509"/>
      <c r="J194" s="509"/>
      <c r="K194" s="491">
        <v>0</v>
      </c>
      <c r="L194" s="491">
        <v>0</v>
      </c>
      <c r="M194" s="440">
        <f t="shared" si="27"/>
        <v>0</v>
      </c>
    </row>
    <row r="195" spans="1:13" ht="12" customHeight="1">
      <c r="A195" s="455">
        <v>2027</v>
      </c>
      <c r="C195" s="406" t="s">
        <v>666</v>
      </c>
      <c r="D195" s="454">
        <f>'T2 NSA'!J70</f>
        <v>0</v>
      </c>
      <c r="E195" s="513"/>
      <c r="F195" s="514"/>
      <c r="G195" s="514"/>
      <c r="H195" s="514"/>
      <c r="I195" s="514"/>
      <c r="J195" s="514"/>
      <c r="K195" s="514"/>
      <c r="L195" s="491">
        <v>0</v>
      </c>
      <c r="M195" s="1077">
        <f t="shared" si="27"/>
        <v>0</v>
      </c>
    </row>
    <row r="196" spans="1:13" ht="12" customHeight="1">
      <c r="A196" s="455" t="s">
        <v>505</v>
      </c>
      <c r="C196" s="431" t="s">
        <v>667</v>
      </c>
      <c r="D196" s="432">
        <f>SUM(D191:D195)+D186+D190</f>
        <v>0</v>
      </c>
      <c r="E196" s="480">
        <f t="shared" ref="E196:M196" si="28">SUM(E191:E195)+E186+E190</f>
        <v>0</v>
      </c>
      <c r="F196" s="434">
        <f t="shared" si="28"/>
        <v>0</v>
      </c>
      <c r="G196" s="434">
        <f t="shared" si="28"/>
        <v>0</v>
      </c>
      <c r="H196" s="434">
        <f t="shared" si="28"/>
        <v>0</v>
      </c>
      <c r="I196" s="434">
        <f t="shared" si="28"/>
        <v>0</v>
      </c>
      <c r="J196" s="434">
        <f t="shared" si="28"/>
        <v>0</v>
      </c>
      <c r="K196" s="434">
        <f t="shared" si="28"/>
        <v>0</v>
      </c>
      <c r="L196" s="434">
        <f t="shared" si="28"/>
        <v>0</v>
      </c>
      <c r="M196" s="1076">
        <f t="shared" si="28"/>
        <v>0</v>
      </c>
    </row>
    <row r="197" spans="1:13" ht="4.1500000000000004" customHeight="1">
      <c r="A197" s="758"/>
    </row>
    <row r="198" spans="1:13" ht="12" customHeight="1">
      <c r="A198" s="455">
        <v>2017</v>
      </c>
      <c r="C198" s="398" t="s">
        <v>668</v>
      </c>
      <c r="D198" s="517">
        <v>0</v>
      </c>
      <c r="E198" s="486">
        <v>0</v>
      </c>
      <c r="F198" s="487">
        <v>0</v>
      </c>
      <c r="G198" s="487">
        <v>0</v>
      </c>
      <c r="H198" s="487">
        <v>0</v>
      </c>
      <c r="I198" s="487">
        <v>0</v>
      </c>
      <c r="J198" s="487"/>
      <c r="K198" s="487"/>
      <c r="L198" s="487"/>
      <c r="M198" s="437">
        <f>D198-SUM(E198:L198)</f>
        <v>0</v>
      </c>
    </row>
    <row r="199" spans="1:13" ht="12" customHeight="1">
      <c r="A199" s="455">
        <v>2018</v>
      </c>
      <c r="C199" s="406" t="s">
        <v>669</v>
      </c>
      <c r="D199" s="518">
        <v>0</v>
      </c>
      <c r="E199" s="490">
        <v>0</v>
      </c>
      <c r="F199" s="491">
        <v>0</v>
      </c>
      <c r="G199" s="491">
        <v>0</v>
      </c>
      <c r="H199" s="491">
        <v>0</v>
      </c>
      <c r="I199" s="491">
        <v>0</v>
      </c>
      <c r="J199" s="491"/>
      <c r="K199" s="491"/>
      <c r="L199" s="491"/>
      <c r="M199" s="440">
        <f t="shared" ref="M199:M200" si="29">D199-SUM(E199:L199)</f>
        <v>0</v>
      </c>
    </row>
    <row r="200" spans="1:13" ht="12" customHeight="1">
      <c r="A200" s="455">
        <v>2019</v>
      </c>
      <c r="C200" s="406" t="s">
        <v>670</v>
      </c>
      <c r="D200" s="407">
        <v>0</v>
      </c>
      <c r="E200" s="490">
        <v>0</v>
      </c>
      <c r="F200" s="491">
        <v>0</v>
      </c>
      <c r="G200" s="491">
        <v>0</v>
      </c>
      <c r="H200" s="491">
        <v>0</v>
      </c>
      <c r="I200" s="491">
        <v>0</v>
      </c>
      <c r="J200" s="491"/>
      <c r="K200" s="491"/>
      <c r="L200" s="491"/>
      <c r="M200" s="440">
        <f t="shared" si="29"/>
        <v>0</v>
      </c>
    </row>
    <row r="201" spans="1:13" ht="12" customHeight="1">
      <c r="A201" s="455" t="s">
        <v>493</v>
      </c>
      <c r="C201" s="413" t="s">
        <v>671</v>
      </c>
      <c r="D201" s="414">
        <f>SUM(D198:D200)</f>
        <v>0</v>
      </c>
      <c r="E201" s="415">
        <f t="shared" ref="E201:M201" si="30">SUM(E198:E200)</f>
        <v>0</v>
      </c>
      <c r="F201" s="416">
        <f t="shared" si="30"/>
        <v>0</v>
      </c>
      <c r="G201" s="416">
        <f t="shared" si="30"/>
        <v>0</v>
      </c>
      <c r="H201" s="416">
        <f t="shared" si="30"/>
        <v>0</v>
      </c>
      <c r="I201" s="416">
        <f t="shared" si="30"/>
        <v>0</v>
      </c>
      <c r="J201" s="416"/>
      <c r="K201" s="416"/>
      <c r="L201" s="416"/>
      <c r="M201" s="1051">
        <f t="shared" si="30"/>
        <v>0</v>
      </c>
    </row>
    <row r="202" spans="1:13" s="986" customFormat="1">
      <c r="A202" s="982">
        <v>2020</v>
      </c>
      <c r="B202" s="540"/>
      <c r="C202" s="436" t="s">
        <v>672</v>
      </c>
      <c r="D202" s="983">
        <f>'T2 NSA'!C71</f>
        <v>0</v>
      </c>
      <c r="E202" s="984">
        <f>+D202</f>
        <v>0</v>
      </c>
      <c r="F202" s="985">
        <v>0</v>
      </c>
      <c r="G202" s="985">
        <v>0</v>
      </c>
      <c r="H202" s="985">
        <v>0</v>
      </c>
      <c r="I202" s="985">
        <v>0</v>
      </c>
      <c r="J202" s="985">
        <v>0</v>
      </c>
      <c r="K202" s="985">
        <v>0</v>
      </c>
      <c r="L202" s="985">
        <v>0</v>
      </c>
      <c r="M202" s="437">
        <f>D202-SUM(E202:L202)</f>
        <v>0</v>
      </c>
    </row>
    <row r="203" spans="1:13" ht="12" customHeight="1">
      <c r="A203" s="455">
        <v>2021</v>
      </c>
      <c r="C203" s="406" t="s">
        <v>673</v>
      </c>
      <c r="D203" s="453">
        <f>'T2 NSA'!D71</f>
        <v>0</v>
      </c>
      <c r="E203" s="508"/>
      <c r="F203" s="491">
        <f>D203</f>
        <v>0</v>
      </c>
      <c r="G203" s="491">
        <v>0</v>
      </c>
      <c r="H203" s="491">
        <v>0</v>
      </c>
      <c r="I203" s="491">
        <v>0</v>
      </c>
      <c r="J203" s="491">
        <v>0</v>
      </c>
      <c r="K203" s="491">
        <v>0</v>
      </c>
      <c r="L203" s="491">
        <v>0</v>
      </c>
      <c r="M203" s="440">
        <f t="shared" ref="M203:M204" si="31">D203-SUM(E203:L203)</f>
        <v>0</v>
      </c>
    </row>
    <row r="204" spans="1:13" ht="12" customHeight="1">
      <c r="A204" s="455">
        <v>2022</v>
      </c>
      <c r="C204" s="406" t="s">
        <v>674</v>
      </c>
      <c r="D204" s="453">
        <f>'T2 NSA'!E71</f>
        <v>0</v>
      </c>
      <c r="E204" s="508"/>
      <c r="F204" s="508"/>
      <c r="G204" s="491">
        <v>0</v>
      </c>
      <c r="H204" s="491">
        <v>0</v>
      </c>
      <c r="I204" s="491">
        <v>0</v>
      </c>
      <c r="J204" s="491">
        <v>0</v>
      </c>
      <c r="K204" s="491">
        <v>0</v>
      </c>
      <c r="L204" s="491">
        <v>0</v>
      </c>
      <c r="M204" s="440">
        <f t="shared" si="31"/>
        <v>0</v>
      </c>
    </row>
    <row r="205" spans="1:13" ht="12" customHeight="1">
      <c r="A205" s="455" t="s">
        <v>498</v>
      </c>
      <c r="C205" s="413" t="s">
        <v>675</v>
      </c>
      <c r="D205" s="414">
        <f t="shared" ref="D205:L205" si="32">SUM(D202:D204)</f>
        <v>0</v>
      </c>
      <c r="E205" s="416">
        <f t="shared" si="32"/>
        <v>0</v>
      </c>
      <c r="F205" s="416">
        <f t="shared" si="32"/>
        <v>0</v>
      </c>
      <c r="G205" s="416">
        <f t="shared" si="32"/>
        <v>0</v>
      </c>
      <c r="H205" s="416">
        <f t="shared" si="32"/>
        <v>0</v>
      </c>
      <c r="I205" s="416">
        <f t="shared" si="32"/>
        <v>0</v>
      </c>
      <c r="J205" s="416">
        <f t="shared" si="32"/>
        <v>0</v>
      </c>
      <c r="K205" s="416">
        <f t="shared" si="32"/>
        <v>0</v>
      </c>
      <c r="L205" s="416">
        <f t="shared" si="32"/>
        <v>0</v>
      </c>
      <c r="M205" s="1051">
        <f t="shared" ref="M205" si="33">SUM(M202:M204)</f>
        <v>0</v>
      </c>
    </row>
    <row r="206" spans="1:13" ht="12" customHeight="1">
      <c r="A206" s="455">
        <v>2023</v>
      </c>
      <c r="C206" s="406" t="s">
        <v>676</v>
      </c>
      <c r="D206" s="453">
        <f>'T2 NSA'!F71</f>
        <v>0</v>
      </c>
      <c r="E206" s="508"/>
      <c r="F206" s="509"/>
      <c r="G206" s="509"/>
      <c r="H206" s="491">
        <v>0</v>
      </c>
      <c r="I206" s="491">
        <v>0</v>
      </c>
      <c r="J206" s="491">
        <v>0</v>
      </c>
      <c r="K206" s="491">
        <v>0</v>
      </c>
      <c r="L206" s="491">
        <v>0</v>
      </c>
      <c r="M206" s="440">
        <f>D206-SUM(E206:L206)</f>
        <v>0</v>
      </c>
    </row>
    <row r="207" spans="1:13" ht="12" customHeight="1">
      <c r="A207" s="455">
        <v>2024</v>
      </c>
      <c r="C207" s="406" t="s">
        <v>677</v>
      </c>
      <c r="D207" s="453">
        <f>'T2 NSA'!G71</f>
        <v>0</v>
      </c>
      <c r="E207" s="508"/>
      <c r="F207" s="509"/>
      <c r="G207" s="509"/>
      <c r="H207" s="509"/>
      <c r="I207" s="491">
        <v>0</v>
      </c>
      <c r="J207" s="491">
        <v>0</v>
      </c>
      <c r="K207" s="491">
        <v>0</v>
      </c>
      <c r="L207" s="491">
        <v>0</v>
      </c>
      <c r="M207" s="440">
        <f t="shared" ref="M207:M210" si="34">D207-SUM(E207:L207)</f>
        <v>0</v>
      </c>
    </row>
    <row r="208" spans="1:13" ht="12" customHeight="1">
      <c r="A208" s="455">
        <v>2025</v>
      </c>
      <c r="C208" s="406" t="s">
        <v>678</v>
      </c>
      <c r="D208" s="453">
        <f>'T2 NSA'!H71</f>
        <v>0</v>
      </c>
      <c r="E208" s="508"/>
      <c r="F208" s="509"/>
      <c r="G208" s="509"/>
      <c r="H208" s="509"/>
      <c r="I208" s="509"/>
      <c r="J208" s="491">
        <v>0</v>
      </c>
      <c r="K208" s="491">
        <v>0</v>
      </c>
      <c r="L208" s="491">
        <v>0</v>
      </c>
      <c r="M208" s="440">
        <f t="shared" si="34"/>
        <v>0</v>
      </c>
    </row>
    <row r="209" spans="1:13" ht="12" customHeight="1">
      <c r="A209" s="455">
        <v>2026</v>
      </c>
      <c r="C209" s="406" t="s">
        <v>679</v>
      </c>
      <c r="D209" s="453">
        <f>'T2 NSA'!I71</f>
        <v>0</v>
      </c>
      <c r="E209" s="508"/>
      <c r="F209" s="509"/>
      <c r="G209" s="509"/>
      <c r="H209" s="509"/>
      <c r="I209" s="509"/>
      <c r="J209" s="509"/>
      <c r="K209" s="491">
        <v>0</v>
      </c>
      <c r="L209" s="491">
        <v>0</v>
      </c>
      <c r="M209" s="440">
        <f t="shared" si="34"/>
        <v>0</v>
      </c>
    </row>
    <row r="210" spans="1:13" ht="12" customHeight="1">
      <c r="A210" s="455">
        <v>2027</v>
      </c>
      <c r="C210" s="406" t="s">
        <v>680</v>
      </c>
      <c r="D210" s="454">
        <f>'T2 NSA'!J71</f>
        <v>0</v>
      </c>
      <c r="E210" s="513"/>
      <c r="F210" s="514"/>
      <c r="G210" s="514"/>
      <c r="H210" s="514"/>
      <c r="I210" s="514"/>
      <c r="J210" s="514"/>
      <c r="K210" s="514"/>
      <c r="L210" s="522">
        <v>0</v>
      </c>
      <c r="M210" s="1077">
        <f t="shared" si="34"/>
        <v>0</v>
      </c>
    </row>
    <row r="211" spans="1:13" ht="12" customHeight="1">
      <c r="A211" s="455" t="s">
        <v>505</v>
      </c>
      <c r="C211" s="431" t="s">
        <v>681</v>
      </c>
      <c r="D211" s="432">
        <f>SUM(D206:D210)+D201+D205</f>
        <v>0</v>
      </c>
      <c r="E211" s="480">
        <f t="shared" ref="E211:M211" si="35">SUM(E206:E210)+E201+E205</f>
        <v>0</v>
      </c>
      <c r="F211" s="434">
        <f t="shared" si="35"/>
        <v>0</v>
      </c>
      <c r="G211" s="434">
        <f t="shared" si="35"/>
        <v>0</v>
      </c>
      <c r="H211" s="434">
        <f t="shared" si="35"/>
        <v>0</v>
      </c>
      <c r="I211" s="481">
        <f t="shared" si="35"/>
        <v>0</v>
      </c>
      <c r="J211" s="481">
        <f t="shared" si="35"/>
        <v>0</v>
      </c>
      <c r="K211" s="481">
        <f t="shared" si="35"/>
        <v>0</v>
      </c>
      <c r="L211" s="481">
        <f t="shared" si="35"/>
        <v>0</v>
      </c>
      <c r="M211" s="1076">
        <f t="shared" si="35"/>
        <v>0</v>
      </c>
    </row>
    <row r="212" spans="1:13" ht="4.1500000000000004" customHeight="1">
      <c r="A212" s="758"/>
    </row>
    <row r="213" spans="1:13" ht="12" customHeight="1">
      <c r="A213" s="455">
        <v>2017</v>
      </c>
      <c r="C213" s="398" t="s">
        <v>682</v>
      </c>
      <c r="D213" s="404"/>
      <c r="E213" s="456"/>
      <c r="F213" s="402"/>
      <c r="G213" s="402"/>
      <c r="H213" s="402"/>
      <c r="I213" s="1058"/>
      <c r="J213" s="1058"/>
      <c r="K213" s="1058"/>
      <c r="L213" s="1058"/>
      <c r="M213" s="1054"/>
    </row>
    <row r="214" spans="1:13" ht="12" customHeight="1">
      <c r="A214" s="455">
        <v>2018</v>
      </c>
      <c r="C214" s="406" t="s">
        <v>683</v>
      </c>
      <c r="D214" s="412"/>
      <c r="E214" s="457"/>
      <c r="F214" s="410"/>
      <c r="G214" s="410"/>
      <c r="H214" s="410"/>
      <c r="I214" s="1062"/>
      <c r="J214" s="1062"/>
      <c r="K214" s="1062"/>
      <c r="L214" s="1062"/>
      <c r="M214" s="1049"/>
    </row>
    <row r="215" spans="1:13" ht="12" customHeight="1">
      <c r="A215" s="455">
        <v>2019</v>
      </c>
      <c r="C215" s="406" t="s">
        <v>684</v>
      </c>
      <c r="D215" s="412"/>
      <c r="E215" s="457"/>
      <c r="F215" s="410"/>
      <c r="G215" s="410"/>
      <c r="H215" s="410"/>
      <c r="I215" s="1059"/>
      <c r="J215" s="1059"/>
      <c r="K215" s="1059"/>
      <c r="L215" s="1059"/>
      <c r="M215" s="1049"/>
    </row>
    <row r="216" spans="1:13" ht="12" customHeight="1">
      <c r="A216" s="455" t="s">
        <v>493</v>
      </c>
      <c r="C216" s="413" t="s">
        <v>685</v>
      </c>
      <c r="D216" s="419"/>
      <c r="E216" s="464"/>
      <c r="F216" s="417"/>
      <c r="G216" s="417"/>
      <c r="H216" s="417"/>
      <c r="I216" s="1060"/>
      <c r="J216" s="1060"/>
      <c r="K216" s="1060"/>
      <c r="L216" s="1060"/>
      <c r="M216" s="1050"/>
    </row>
    <row r="217" spans="1:13" s="516" customFormat="1">
      <c r="A217" s="455">
        <v>2020</v>
      </c>
      <c r="B217" s="386"/>
      <c r="C217" s="398" t="s">
        <v>686</v>
      </c>
      <c r="D217" s="465"/>
      <c r="E217" s="456"/>
      <c r="F217" s="402"/>
      <c r="G217" s="402"/>
      <c r="H217" s="402"/>
      <c r="I217" s="1058"/>
      <c r="J217" s="1058"/>
      <c r="K217" s="1058"/>
      <c r="L217" s="1058"/>
      <c r="M217" s="1054"/>
    </row>
    <row r="218" spans="1:13" ht="12" customHeight="1">
      <c r="A218" s="455">
        <v>2021</v>
      </c>
      <c r="C218" s="406" t="s">
        <v>687</v>
      </c>
      <c r="D218" s="466"/>
      <c r="E218" s="457"/>
      <c r="F218" s="410"/>
      <c r="G218" s="410"/>
      <c r="H218" s="410"/>
      <c r="I218" s="1062"/>
      <c r="J218" s="1062"/>
      <c r="K218" s="1062"/>
      <c r="L218" s="1062"/>
      <c r="M218" s="1049"/>
    </row>
    <row r="219" spans="1:13" ht="12" customHeight="1">
      <c r="A219" s="455">
        <v>2022</v>
      </c>
      <c r="C219" s="406" t="s">
        <v>688</v>
      </c>
      <c r="D219" s="466"/>
      <c r="E219" s="457"/>
      <c r="F219" s="410"/>
      <c r="G219" s="410"/>
      <c r="H219" s="410"/>
      <c r="I219" s="1062"/>
      <c r="J219" s="1062"/>
      <c r="K219" s="1062"/>
      <c r="L219" s="1062"/>
      <c r="M219" s="1049"/>
    </row>
    <row r="220" spans="1:13" ht="12" customHeight="1">
      <c r="A220" s="455" t="s">
        <v>498</v>
      </c>
      <c r="C220" s="413" t="s">
        <v>689</v>
      </c>
      <c r="D220" s="419"/>
      <c r="E220" s="464"/>
      <c r="F220" s="417"/>
      <c r="G220" s="417"/>
      <c r="H220" s="417"/>
      <c r="I220" s="1060"/>
      <c r="J220" s="1060"/>
      <c r="K220" s="1060"/>
      <c r="L220" s="1060"/>
      <c r="M220" s="1050"/>
    </row>
    <row r="221" spans="1:13" ht="12" customHeight="1">
      <c r="A221" s="455">
        <v>2023</v>
      </c>
      <c r="C221" s="406" t="s">
        <v>690</v>
      </c>
      <c r="D221" s="466"/>
      <c r="E221" s="457"/>
      <c r="F221" s="410"/>
      <c r="G221" s="410"/>
      <c r="H221" s="410"/>
      <c r="I221" s="1062"/>
      <c r="J221" s="1062"/>
      <c r="K221" s="1062"/>
      <c r="L221" s="1062"/>
      <c r="M221" s="1049"/>
    </row>
    <row r="222" spans="1:13" ht="12" customHeight="1">
      <c r="A222" s="455">
        <v>2024</v>
      </c>
      <c r="C222" s="406" t="s">
        <v>691</v>
      </c>
      <c r="D222" s="466"/>
      <c r="E222" s="457"/>
      <c r="F222" s="410"/>
      <c r="G222" s="410"/>
      <c r="H222" s="410"/>
      <c r="I222" s="1062"/>
      <c r="J222" s="1062"/>
      <c r="K222" s="1062"/>
      <c r="L222" s="1062"/>
      <c r="M222" s="1049"/>
    </row>
    <row r="223" spans="1:13" ht="12" customHeight="1">
      <c r="A223" s="455">
        <v>2025</v>
      </c>
      <c r="C223" s="406" t="s">
        <v>692</v>
      </c>
      <c r="D223" s="466"/>
      <c r="E223" s="457"/>
      <c r="F223" s="410"/>
      <c r="G223" s="410"/>
      <c r="H223" s="410"/>
      <c r="I223" s="1059"/>
      <c r="J223" s="1059"/>
      <c r="K223" s="1059"/>
      <c r="L223" s="1059"/>
      <c r="M223" s="1049"/>
    </row>
    <row r="224" spans="1:13" ht="12" customHeight="1">
      <c r="A224" s="455">
        <v>2026</v>
      </c>
      <c r="C224" s="406" t="s">
        <v>693</v>
      </c>
      <c r="D224" s="466"/>
      <c r="E224" s="457"/>
      <c r="F224" s="410"/>
      <c r="G224" s="410"/>
      <c r="H224" s="410"/>
      <c r="I224" s="1059"/>
      <c r="J224" s="1059"/>
      <c r="K224" s="1059"/>
      <c r="L224" s="1059"/>
      <c r="M224" s="1049"/>
    </row>
    <row r="225" spans="1:13" ht="12" customHeight="1">
      <c r="A225" s="455">
        <v>2027</v>
      </c>
      <c r="C225" s="406" t="s">
        <v>694</v>
      </c>
      <c r="D225" s="467"/>
      <c r="E225" s="460"/>
      <c r="F225" s="461"/>
      <c r="G225" s="461"/>
      <c r="H225" s="461"/>
      <c r="I225" s="1070"/>
      <c r="J225" s="1070"/>
      <c r="K225" s="1070"/>
      <c r="L225" s="1070"/>
      <c r="M225" s="1055"/>
    </row>
    <row r="226" spans="1:13" ht="12" customHeight="1">
      <c r="A226" s="455" t="s">
        <v>505</v>
      </c>
      <c r="C226" s="431" t="s">
        <v>695</v>
      </c>
      <c r="D226" s="500"/>
      <c r="E226" s="494"/>
      <c r="F226" s="495"/>
      <c r="G226" s="495"/>
      <c r="H226" s="495"/>
      <c r="I226" s="501"/>
      <c r="J226" s="501"/>
      <c r="K226" s="501"/>
      <c r="L226" s="501"/>
      <c r="M226" s="1056"/>
    </row>
    <row r="227" spans="1:13" ht="4.1500000000000004" customHeight="1">
      <c r="A227" s="758"/>
    </row>
    <row r="228" spans="1:13" ht="12" customHeight="1">
      <c r="A228" s="455">
        <v>2020</v>
      </c>
      <c r="C228" s="469" t="s">
        <v>696</v>
      </c>
      <c r="D228" s="448">
        <f>'T2 NSA'!C63</f>
        <v>0</v>
      </c>
      <c r="E228" s="457"/>
      <c r="F228" s="410"/>
      <c r="G228" s="487"/>
      <c r="H228" s="507"/>
      <c r="I228" s="507"/>
      <c r="J228" s="507"/>
      <c r="K228" s="507"/>
      <c r="L228" s="507"/>
      <c r="M228" s="437">
        <f>D228-SUM(E228:L228)</f>
        <v>0</v>
      </c>
    </row>
    <row r="229" spans="1:13" ht="12" customHeight="1">
      <c r="A229" s="455">
        <v>2021</v>
      </c>
      <c r="C229" s="470" t="s">
        <v>697</v>
      </c>
      <c r="D229" s="449">
        <f>'T2 NSA'!D63</f>
        <v>0</v>
      </c>
      <c r="E229" s="457"/>
      <c r="F229" s="410"/>
      <c r="G229" s="410"/>
      <c r="H229" s="423"/>
      <c r="I229" s="410"/>
      <c r="J229" s="410"/>
      <c r="K229" s="410"/>
      <c r="L229" s="410"/>
      <c r="M229" s="440">
        <f>D229-SUM(E229:L229)</f>
        <v>0</v>
      </c>
    </row>
    <row r="230" spans="1:13" ht="12" customHeight="1">
      <c r="A230" s="455">
        <v>2022</v>
      </c>
      <c r="C230" s="470" t="s">
        <v>698</v>
      </c>
      <c r="D230" s="449">
        <f>'T2 NSA'!E63</f>
        <v>0</v>
      </c>
      <c r="E230" s="504"/>
      <c r="F230" s="523"/>
      <c r="G230" s="523"/>
      <c r="H230" s="523"/>
      <c r="I230" s="491"/>
      <c r="J230" s="523"/>
      <c r="K230" s="523"/>
      <c r="L230" s="523"/>
      <c r="M230" s="440">
        <f>D230-SUM(E230:L230)</f>
        <v>0</v>
      </c>
    </row>
    <row r="231" spans="1:13" ht="12" customHeight="1">
      <c r="A231" s="455" t="s">
        <v>498</v>
      </c>
      <c r="C231" s="413" t="s">
        <v>699</v>
      </c>
      <c r="D231" s="414">
        <f>SUM(D228:D230)</f>
        <v>0</v>
      </c>
      <c r="E231" s="415">
        <f t="shared" ref="E231:I231" si="36">SUM(E228:E230)</f>
        <v>0</v>
      </c>
      <c r="F231" s="416">
        <f t="shared" si="36"/>
        <v>0</v>
      </c>
      <c r="G231" s="416">
        <f t="shared" si="36"/>
        <v>0</v>
      </c>
      <c r="H231" s="416">
        <f t="shared" si="36"/>
        <v>0</v>
      </c>
      <c r="I231" s="451">
        <f t="shared" si="36"/>
        <v>0</v>
      </c>
      <c r="J231" s="1060"/>
      <c r="K231" s="1060"/>
      <c r="L231" s="1060"/>
      <c r="M231" s="1050"/>
    </row>
    <row r="232" spans="1:13" ht="12" customHeight="1">
      <c r="A232" s="455">
        <v>2023</v>
      </c>
      <c r="C232" s="470" t="s">
        <v>700</v>
      </c>
      <c r="D232" s="449">
        <f>'T2 NSA'!F63</f>
        <v>0</v>
      </c>
      <c r="E232" s="504"/>
      <c r="F232" s="523"/>
      <c r="G232" s="523"/>
      <c r="H232" s="523"/>
      <c r="I232" s="523"/>
      <c r="J232" s="491"/>
      <c r="K232" s="523"/>
      <c r="L232" s="523"/>
      <c r="M232" s="437">
        <f>D232-SUM(E232:L232)</f>
        <v>0</v>
      </c>
    </row>
    <row r="233" spans="1:13" ht="12" customHeight="1">
      <c r="A233" s="455">
        <v>2024</v>
      </c>
      <c r="C233" s="470" t="s">
        <v>701</v>
      </c>
      <c r="D233" s="449">
        <f>'T2 NSA'!G63</f>
        <v>0</v>
      </c>
      <c r="E233" s="504"/>
      <c r="F233" s="523"/>
      <c r="G233" s="523"/>
      <c r="H233" s="523"/>
      <c r="I233" s="523"/>
      <c r="J233" s="523"/>
      <c r="K233" s="491"/>
      <c r="L233" s="523"/>
      <c r="M233" s="440">
        <f>D233-SUM(E233:L233)</f>
        <v>0</v>
      </c>
    </row>
    <row r="234" spans="1:13" ht="12" customHeight="1">
      <c r="A234" s="455">
        <v>2025</v>
      </c>
      <c r="C234" s="470" t="s">
        <v>702</v>
      </c>
      <c r="D234" s="449">
        <f>'T2 NSA'!H63</f>
        <v>0</v>
      </c>
      <c r="E234" s="504"/>
      <c r="F234" s="523"/>
      <c r="G234" s="523"/>
      <c r="H234" s="523"/>
      <c r="I234" s="523"/>
      <c r="J234" s="523"/>
      <c r="K234" s="523"/>
      <c r="L234" s="491"/>
      <c r="M234" s="440">
        <f>D234-SUM(E234:L234)</f>
        <v>0</v>
      </c>
    </row>
    <row r="235" spans="1:13" ht="12" customHeight="1">
      <c r="A235" s="455">
        <v>2026</v>
      </c>
      <c r="C235" s="470" t="s">
        <v>703</v>
      </c>
      <c r="D235" s="449">
        <f>'T2 NSA'!I63</f>
        <v>0</v>
      </c>
      <c r="E235" s="504"/>
      <c r="F235" s="523"/>
      <c r="G235" s="523"/>
      <c r="H235" s="523"/>
      <c r="I235" s="523"/>
      <c r="J235" s="523"/>
      <c r="K235" s="523"/>
      <c r="L235" s="523"/>
      <c r="M235" s="440">
        <f>D235-SUM(E235:L235)</f>
        <v>0</v>
      </c>
    </row>
    <row r="236" spans="1:13" ht="12" customHeight="1">
      <c r="A236" s="455">
        <v>2027</v>
      </c>
      <c r="C236" s="470" t="s">
        <v>704</v>
      </c>
      <c r="D236" s="450">
        <f>'T2 NSA'!J63</f>
        <v>0</v>
      </c>
      <c r="E236" s="524"/>
      <c r="F236" s="525"/>
      <c r="G236" s="525"/>
      <c r="H236" s="525"/>
      <c r="I236" s="525"/>
      <c r="J236" s="525"/>
      <c r="K236" s="525"/>
      <c r="L236" s="525"/>
      <c r="M236" s="1077">
        <f>D236-SUM(E236:L236)</f>
        <v>0</v>
      </c>
    </row>
    <row r="237" spans="1:13" ht="12" customHeight="1">
      <c r="A237" s="455" t="s">
        <v>505</v>
      </c>
      <c r="C237" s="526" t="s">
        <v>705</v>
      </c>
      <c r="D237" s="432">
        <f>SUM(D231:D236)</f>
        <v>0</v>
      </c>
      <c r="E237" s="527">
        <f t="shared" ref="E237:M237" si="37">SUM(E231:E236)</f>
        <v>0</v>
      </c>
      <c r="F237" s="528">
        <f t="shared" si="37"/>
        <v>0</v>
      </c>
      <c r="G237" s="528">
        <f t="shared" si="37"/>
        <v>0</v>
      </c>
      <c r="H237" s="528">
        <f t="shared" si="37"/>
        <v>0</v>
      </c>
      <c r="I237" s="1071">
        <f t="shared" si="37"/>
        <v>0</v>
      </c>
      <c r="J237" s="1071">
        <f t="shared" si="37"/>
        <v>0</v>
      </c>
      <c r="K237" s="1071">
        <f t="shared" si="37"/>
        <v>0</v>
      </c>
      <c r="L237" s="1071">
        <f t="shared" si="37"/>
        <v>0</v>
      </c>
      <c r="M237" s="1076">
        <f t="shared" si="37"/>
        <v>0</v>
      </c>
    </row>
    <row r="238" spans="1:13" ht="3" customHeight="1"/>
    <row r="239" spans="1:13" ht="12" customHeight="1">
      <c r="A239" s="455">
        <v>2020</v>
      </c>
      <c r="C239" s="469" t="s">
        <v>706</v>
      </c>
      <c r="D239" s="541"/>
      <c r="E239" s="456"/>
      <c r="F239" s="402"/>
      <c r="G239" s="402"/>
      <c r="H239" s="402"/>
      <c r="I239" s="1072"/>
      <c r="J239" s="1072"/>
      <c r="K239" s="1072"/>
      <c r="L239" s="1072"/>
      <c r="M239" s="1054"/>
    </row>
    <row r="240" spans="1:13" ht="12" customHeight="1">
      <c r="A240" s="455">
        <v>2021</v>
      </c>
      <c r="C240" s="470" t="s">
        <v>707</v>
      </c>
      <c r="D240" s="542"/>
      <c r="E240" s="457"/>
      <c r="F240" s="410"/>
      <c r="G240" s="410"/>
      <c r="H240" s="410"/>
      <c r="I240" s="1059"/>
      <c r="J240" s="1059"/>
      <c r="K240" s="1059"/>
      <c r="L240" s="1059"/>
      <c r="M240" s="1049"/>
    </row>
    <row r="241" spans="1:13" ht="12" customHeight="1">
      <c r="A241" s="455">
        <v>2022</v>
      </c>
      <c r="C241" s="470" t="s">
        <v>708</v>
      </c>
      <c r="D241" s="542"/>
      <c r="E241" s="457"/>
      <c r="F241" s="410"/>
      <c r="G241" s="410"/>
      <c r="H241" s="410"/>
      <c r="I241" s="1059"/>
      <c r="J241" s="1059"/>
      <c r="K241" s="1059"/>
      <c r="L241" s="1059"/>
      <c r="M241" s="1049"/>
    </row>
    <row r="242" spans="1:13" ht="12" customHeight="1">
      <c r="A242" s="455" t="s">
        <v>498</v>
      </c>
      <c r="C242" s="413" t="s">
        <v>709</v>
      </c>
      <c r="D242" s="1060"/>
      <c r="E242" s="1060"/>
      <c r="F242" s="1060"/>
      <c r="G242" s="1060"/>
      <c r="H242" s="1060"/>
      <c r="I242" s="1060"/>
      <c r="J242" s="1060"/>
      <c r="K242" s="1060"/>
      <c r="L242" s="1060"/>
      <c r="M242" s="1050"/>
    </row>
    <row r="243" spans="1:13" ht="12" customHeight="1">
      <c r="A243" s="455">
        <v>2023</v>
      </c>
      <c r="C243" s="470" t="s">
        <v>710</v>
      </c>
      <c r="D243" s="542"/>
      <c r="E243" s="457"/>
      <c r="F243" s="410"/>
      <c r="G243" s="410"/>
      <c r="H243" s="410"/>
      <c r="I243" s="1059"/>
      <c r="J243" s="1059"/>
      <c r="K243" s="1059"/>
      <c r="L243" s="1059"/>
      <c r="M243" s="1049"/>
    </row>
    <row r="244" spans="1:13" ht="12" customHeight="1">
      <c r="A244" s="455">
        <v>2024</v>
      </c>
      <c r="C244" s="470" t="s">
        <v>711</v>
      </c>
      <c r="D244" s="542"/>
      <c r="E244" s="457"/>
      <c r="F244" s="410"/>
      <c r="G244" s="410"/>
      <c r="H244" s="410"/>
      <c r="I244" s="1059"/>
      <c r="J244" s="1059"/>
      <c r="K244" s="1059"/>
      <c r="L244" s="1059"/>
      <c r="M244" s="1049"/>
    </row>
    <row r="245" spans="1:13" ht="12" customHeight="1">
      <c r="A245" s="455">
        <v>2025</v>
      </c>
      <c r="C245" s="470" t="s">
        <v>712</v>
      </c>
      <c r="D245" s="542"/>
      <c r="E245" s="457"/>
      <c r="F245" s="410"/>
      <c r="G245" s="410"/>
      <c r="H245" s="410"/>
      <c r="I245" s="1059"/>
      <c r="J245" s="1059"/>
      <c r="K245" s="1059"/>
      <c r="L245" s="1059"/>
      <c r="M245" s="1049"/>
    </row>
    <row r="246" spans="1:13" ht="12" customHeight="1">
      <c r="A246" s="455">
        <v>2026</v>
      </c>
      <c r="C246" s="470" t="s">
        <v>713</v>
      </c>
      <c r="D246" s="542"/>
      <c r="E246" s="457"/>
      <c r="F246" s="410"/>
      <c r="G246" s="410"/>
      <c r="H246" s="410"/>
      <c r="I246" s="1059"/>
      <c r="J246" s="1059"/>
      <c r="K246" s="1059"/>
      <c r="L246" s="1059"/>
      <c r="M246" s="1049"/>
    </row>
    <row r="247" spans="1:13" ht="12" customHeight="1">
      <c r="A247" s="455">
        <v>2027</v>
      </c>
      <c r="C247" s="470" t="s">
        <v>714</v>
      </c>
      <c r="D247" s="543"/>
      <c r="E247" s="460"/>
      <c r="F247" s="461"/>
      <c r="G247" s="461"/>
      <c r="H247" s="461"/>
      <c r="I247" s="1070"/>
      <c r="J247" s="1070"/>
      <c r="K247" s="1070"/>
      <c r="L247" s="1070"/>
      <c r="M247" s="1055"/>
    </row>
    <row r="248" spans="1:13" ht="12" customHeight="1">
      <c r="A248" s="455" t="s">
        <v>505</v>
      </c>
      <c r="C248" s="431" t="s">
        <v>715</v>
      </c>
      <c r="D248" s="500"/>
      <c r="E248" s="534"/>
      <c r="F248" s="495"/>
      <c r="G248" s="495"/>
      <c r="H248" s="495"/>
      <c r="I248" s="501"/>
      <c r="J248" s="501"/>
      <c r="K248" s="501"/>
      <c r="L248" s="501"/>
      <c r="M248" s="1056"/>
    </row>
    <row r="249" spans="1:13" ht="4.1500000000000004" customHeight="1">
      <c r="C249" s="472"/>
      <c r="D249" s="472"/>
      <c r="E249" s="472"/>
      <c r="F249" s="473"/>
      <c r="G249" s="472"/>
      <c r="H249" s="472"/>
      <c r="I249" s="472"/>
      <c r="J249" s="472"/>
      <c r="K249" s="472"/>
      <c r="L249" s="472"/>
      <c r="M249" s="472"/>
    </row>
    <row r="250" spans="1:13" ht="3" customHeight="1"/>
    <row r="251" spans="1:13" ht="12" customHeight="1">
      <c r="B251" s="396"/>
      <c r="C251" s="431" t="s">
        <v>716</v>
      </c>
      <c r="D251" s="432">
        <f t="shared" ref="D251:L251" si="38">D21+D36+D47+D58+D69+D80+D91+D102+D107+D126+D141+D166+D181+D196+D211+D226+D237+D248</f>
        <v>27980.449644235261</v>
      </c>
      <c r="E251" s="432">
        <f t="shared" si="38"/>
        <v>-9560.9232333506698</v>
      </c>
      <c r="F251" s="432">
        <f t="shared" si="38"/>
        <v>-15902.192129381983</v>
      </c>
      <c r="G251" s="432">
        <f t="shared" si="38"/>
        <v>28269.502794880413</v>
      </c>
      <c r="H251" s="432">
        <f t="shared" si="38"/>
        <v>25173.896431913818</v>
      </c>
      <c r="I251" s="1073">
        <f t="shared" si="38"/>
        <v>0</v>
      </c>
      <c r="J251" s="1073">
        <f t="shared" si="38"/>
        <v>0</v>
      </c>
      <c r="K251" s="1073">
        <f t="shared" si="38"/>
        <v>0</v>
      </c>
      <c r="L251" s="1073">
        <f t="shared" si="38"/>
        <v>0</v>
      </c>
      <c r="M251" s="1076">
        <f>M21+M36+M47+M58+M69+M80+M91+M102+M107+M126+M141+M166+M181+M196+M211+M226+M237+M248</f>
        <v>0</v>
      </c>
    </row>
    <row r="252" spans="1:13" ht="3" customHeight="1"/>
    <row r="253" spans="1:13" ht="12" customHeight="1">
      <c r="C253" s="1" t="s">
        <v>717</v>
      </c>
      <c r="F253" s="386"/>
    </row>
    <row r="254" spans="1:13" ht="12" customHeight="1">
      <c r="C254" s="1" t="s">
        <v>718</v>
      </c>
      <c r="D254" s="143"/>
      <c r="E254" s="474"/>
      <c r="F254" s="474"/>
      <c r="G254" s="474"/>
      <c r="H254" s="474"/>
      <c r="I254" s="474"/>
      <c r="J254" s="474"/>
      <c r="K254" s="474"/>
      <c r="L254" s="474"/>
      <c r="M254" s="516"/>
    </row>
    <row r="255" spans="1:13">
      <c r="E255" s="189"/>
      <c r="F255" s="189"/>
      <c r="G255" s="189"/>
      <c r="H255" s="189"/>
      <c r="I255" s="189"/>
      <c r="J255" s="189"/>
      <c r="K255" s="189"/>
      <c r="L255" s="189"/>
    </row>
    <row r="256" spans="1:13" ht="12" customHeight="1">
      <c r="E256" s="189"/>
      <c r="F256" s="189"/>
      <c r="G256" s="189"/>
      <c r="H256" s="189"/>
      <c r="I256" s="189"/>
      <c r="J256" s="189"/>
      <c r="K256" s="189"/>
      <c r="L256" s="189"/>
    </row>
    <row r="257" spans="5:12">
      <c r="E257" s="189"/>
      <c r="F257" s="189"/>
      <c r="G257" s="189"/>
      <c r="H257" s="189"/>
      <c r="I257" s="189"/>
      <c r="J257" s="189"/>
      <c r="K257" s="189"/>
      <c r="L257" s="189"/>
    </row>
    <row r="258" spans="5:12">
      <c r="E258" s="189"/>
      <c r="F258" s="189"/>
      <c r="G258" s="189"/>
      <c r="H258" s="189"/>
      <c r="I258" s="189"/>
      <c r="J258" s="189"/>
      <c r="K258" s="189"/>
      <c r="L258" s="189"/>
    </row>
    <row r="259" spans="5:12">
      <c r="E259" s="189"/>
      <c r="F259" s="189"/>
      <c r="G259" s="189"/>
      <c r="H259" s="189"/>
      <c r="I259" s="189"/>
      <c r="J259" s="189"/>
      <c r="K259" s="189"/>
      <c r="L259" s="189"/>
    </row>
    <row r="260" spans="5:12">
      <c r="E260" s="189"/>
      <c r="F260" s="189"/>
      <c r="G260" s="189"/>
      <c r="H260" s="189"/>
      <c r="I260" s="189"/>
      <c r="J260" s="189"/>
      <c r="K260" s="189"/>
      <c r="L260" s="189"/>
    </row>
    <row r="261" spans="5:12">
      <c r="E261" s="189"/>
      <c r="F261" s="189"/>
      <c r="G261" s="189"/>
      <c r="H261" s="189"/>
      <c r="I261" s="189"/>
      <c r="J261" s="189"/>
      <c r="K261" s="189"/>
      <c r="L261" s="189"/>
    </row>
  </sheetData>
  <mergeCells count="1">
    <mergeCell ref="C1:M1"/>
  </mergeCells>
  <pageMargins left="0.7" right="0.7" top="0.75" bottom="0.75" header="0.3" footer="0.3"/>
  <pageSetup paperSize="9" scale="38"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Y178"/>
  <sheetViews>
    <sheetView workbookViewId="0">
      <pane xSplit="3" ySplit="7" topLeftCell="D145" activePane="bottomRight" state="frozen"/>
      <selection pane="topRight" activeCell="D1" sqref="D1"/>
      <selection pane="bottomLeft" activeCell="A8" sqref="A8"/>
      <selection pane="bottomRight" activeCell="D121" sqref="D121"/>
    </sheetView>
  </sheetViews>
  <sheetFormatPr defaultColWidth="12.5703125" defaultRowHeight="15"/>
  <cols>
    <col min="1" max="1" width="12.5703125" style="455" customWidth="1"/>
    <col min="2" max="2" width="2.140625" style="386" customWidth="1"/>
    <col min="3" max="3" width="52.5703125" style="386" customWidth="1"/>
    <col min="4" max="4" width="7.7109375" style="386" customWidth="1"/>
    <col min="5" max="5" width="10" style="386" customWidth="1"/>
    <col min="6" max="6" width="10" style="219" customWidth="1"/>
    <col min="7" max="9" width="10" style="386" customWidth="1"/>
    <col min="10" max="10" width="10.7109375" style="386" customWidth="1"/>
    <col min="11" max="11" width="3.42578125" style="386" customWidth="1"/>
    <col min="12" max="12" width="13.5703125" style="386" customWidth="1"/>
    <col min="13" max="14" width="9" style="386" customWidth="1"/>
    <col min="15" max="15" width="7.7109375" style="386" customWidth="1"/>
    <col min="16" max="16" width="8.42578125" style="386" bestFit="1" customWidth="1"/>
    <col min="17" max="17" width="7.7109375" style="386" customWidth="1"/>
    <col min="18" max="18" width="16.42578125" style="386" customWidth="1"/>
    <col min="19" max="26" width="7.7109375" style="386" customWidth="1"/>
    <col min="27" max="16384" width="12.5703125" style="386"/>
  </cols>
  <sheetData>
    <row r="1" spans="1:25" ht="12" customHeight="1">
      <c r="C1" s="1598" t="s">
        <v>486</v>
      </c>
      <c r="D1" s="1598"/>
      <c r="E1" s="1598"/>
      <c r="F1" s="1598"/>
      <c r="G1" s="1598"/>
      <c r="H1" s="1598"/>
      <c r="I1" s="1598"/>
      <c r="J1" s="1598"/>
      <c r="K1" s="387"/>
      <c r="L1" s="387"/>
      <c r="M1" s="387"/>
      <c r="N1" s="387"/>
      <c r="O1" s="387"/>
      <c r="P1" s="387"/>
      <c r="Q1" s="387"/>
      <c r="R1" s="387"/>
      <c r="S1" s="387"/>
      <c r="T1" s="387"/>
      <c r="U1" s="387"/>
      <c r="V1" s="387"/>
      <c r="W1" s="387"/>
      <c r="X1" s="387"/>
      <c r="Y1" s="387"/>
    </row>
    <row r="2" spans="1:25" ht="12" customHeight="1">
      <c r="C2" s="793" t="s">
        <v>726</v>
      </c>
      <c r="D2" s="388"/>
      <c r="E2" s="388"/>
      <c r="G2" s="388"/>
      <c r="H2" s="388"/>
      <c r="I2" s="388"/>
      <c r="J2" s="388"/>
      <c r="K2" s="388"/>
    </row>
    <row r="3" spans="1:25" ht="12" customHeight="1">
      <c r="C3" s="681" t="str">
        <f>'T2 NSA'!A3</f>
        <v>United Kingdom</v>
      </c>
      <c r="D3" s="388"/>
      <c r="E3" s="388"/>
      <c r="G3" s="388"/>
      <c r="H3" s="388"/>
      <c r="I3" s="388"/>
      <c r="J3" s="388"/>
      <c r="K3" s="388"/>
    </row>
    <row r="4" spans="1:25" ht="12" customHeight="1">
      <c r="C4" s="83" t="str">
        <f>'T2 NSA'!A4</f>
        <v>Currency : GBP £</v>
      </c>
      <c r="D4" s="388"/>
      <c r="E4" s="388"/>
      <c r="G4" s="388"/>
      <c r="H4" s="388"/>
      <c r="I4" s="388"/>
      <c r="J4" s="388"/>
      <c r="K4" s="388"/>
    </row>
    <row r="5" spans="1:25" ht="12" customHeight="1">
      <c r="C5" s="147" t="str">
        <f>'T2 NSA'!A5</f>
        <v>UK CAA + DfT Eurocontrol</v>
      </c>
      <c r="D5" s="388"/>
      <c r="E5" s="390"/>
      <c r="G5" s="390"/>
      <c r="H5" s="388"/>
      <c r="I5" s="388"/>
      <c r="J5" s="388"/>
      <c r="K5" s="388"/>
    </row>
    <row r="6" spans="1:25" ht="12" customHeight="1">
      <c r="C6" s="390"/>
      <c r="D6" s="390"/>
      <c r="E6" s="390"/>
      <c r="F6" s="390"/>
      <c r="G6" s="390"/>
      <c r="H6" s="390"/>
      <c r="I6" s="390"/>
      <c r="J6" s="390"/>
      <c r="K6" s="390"/>
    </row>
    <row r="7" spans="1:25" ht="12" customHeight="1">
      <c r="A7" s="455" t="s">
        <v>487</v>
      </c>
      <c r="C7" s="391" t="s">
        <v>488</v>
      </c>
      <c r="D7" s="392" t="s">
        <v>489</v>
      </c>
      <c r="E7" s="393">
        <v>2020</v>
      </c>
      <c r="F7" s="394">
        <v>2021</v>
      </c>
      <c r="G7" s="394">
        <v>2022</v>
      </c>
      <c r="H7" s="394">
        <v>2023</v>
      </c>
      <c r="I7" s="395">
        <v>2024</v>
      </c>
      <c r="J7" s="391" t="s">
        <v>490</v>
      </c>
      <c r="K7" s="388"/>
    </row>
    <row r="8" spans="1:25" ht="11.45" customHeight="1">
      <c r="C8" s="397"/>
      <c r="D8" s="397"/>
      <c r="E8" s="397"/>
      <c r="F8" s="397"/>
      <c r="G8" s="397"/>
      <c r="H8" s="397"/>
      <c r="I8" s="397"/>
      <c r="J8" s="397"/>
      <c r="K8" s="388"/>
    </row>
    <row r="9" spans="1:25" ht="12" customHeight="1">
      <c r="A9" s="455">
        <v>2018</v>
      </c>
      <c r="C9" s="398" t="s">
        <v>491</v>
      </c>
      <c r="D9" s="502">
        <v>-1452.8342198263231</v>
      </c>
      <c r="E9" s="400">
        <v>-1453</v>
      </c>
      <c r="F9" s="401"/>
      <c r="G9" s="402"/>
      <c r="H9" s="402"/>
      <c r="I9" s="476"/>
      <c r="J9" s="404"/>
      <c r="L9" s="386" t="s">
        <v>731</v>
      </c>
    </row>
    <row r="10" spans="1:25" ht="12" customHeight="1">
      <c r="A10" s="455">
        <v>2019</v>
      </c>
      <c r="C10" s="406" t="s">
        <v>492</v>
      </c>
      <c r="D10" s="477">
        <v>-1608.5000588783619</v>
      </c>
      <c r="E10" s="408"/>
      <c r="F10" s="409">
        <f>D10</f>
        <v>-1608.5000588783619</v>
      </c>
      <c r="G10" s="410"/>
      <c r="H10" s="410"/>
      <c r="I10" s="411"/>
      <c r="J10" s="412"/>
      <c r="L10" s="386" t="s">
        <v>732</v>
      </c>
    </row>
    <row r="11" spans="1:25" ht="12" customHeight="1">
      <c r="A11" s="455" t="s">
        <v>493</v>
      </c>
      <c r="C11" s="413" t="s">
        <v>494</v>
      </c>
      <c r="D11" s="414">
        <f>SUM(D9:D10)</f>
        <v>-3061.3342787046849</v>
      </c>
      <c r="E11" s="414">
        <f t="shared" ref="E11:F11" si="0">SUM(E9:E10)</f>
        <v>-1453</v>
      </c>
      <c r="F11" s="414">
        <f t="shared" si="0"/>
        <v>-1608.5000588783619</v>
      </c>
      <c r="G11" s="539"/>
      <c r="H11" s="539"/>
      <c r="I11" s="539"/>
      <c r="J11" s="539"/>
    </row>
    <row r="12" spans="1:25" ht="12" customHeight="1">
      <c r="A12" s="455">
        <v>2020</v>
      </c>
      <c r="C12" s="398" t="s">
        <v>495</v>
      </c>
      <c r="D12" s="404"/>
      <c r="E12" s="456"/>
      <c r="F12" s="402"/>
      <c r="G12" s="402"/>
      <c r="H12" s="402"/>
      <c r="I12" s="476"/>
      <c r="J12" s="404"/>
    </row>
    <row r="13" spans="1:25" ht="12" customHeight="1">
      <c r="A13" s="455">
        <v>2021</v>
      </c>
      <c r="C13" s="406" t="s">
        <v>496</v>
      </c>
      <c r="D13" s="412"/>
      <c r="E13" s="457"/>
      <c r="F13" s="410"/>
      <c r="G13" s="410"/>
      <c r="H13" s="410"/>
      <c r="I13" s="411"/>
      <c r="J13" s="412"/>
    </row>
    <row r="14" spans="1:25" ht="12" customHeight="1">
      <c r="A14" s="455">
        <v>2022</v>
      </c>
      <c r="C14" s="406" t="s">
        <v>497</v>
      </c>
      <c r="D14" s="412"/>
      <c r="E14" s="457"/>
      <c r="F14" s="410"/>
      <c r="G14" s="410"/>
      <c r="H14" s="410"/>
      <c r="I14" s="478"/>
      <c r="J14" s="412"/>
    </row>
    <row r="15" spans="1:25" ht="12" customHeight="1">
      <c r="A15" s="455">
        <v>2023</v>
      </c>
      <c r="C15" s="406" t="s">
        <v>500</v>
      </c>
      <c r="D15" s="412"/>
      <c r="E15" s="457"/>
      <c r="F15" s="410"/>
      <c r="G15" s="410"/>
      <c r="H15" s="410"/>
      <c r="I15" s="478"/>
      <c r="J15" s="412"/>
    </row>
    <row r="16" spans="1:25" ht="12" customHeight="1">
      <c r="A16" s="455">
        <v>2024</v>
      </c>
      <c r="C16" s="426" t="s">
        <v>501</v>
      </c>
      <c r="D16" s="412"/>
      <c r="E16" s="460"/>
      <c r="F16" s="461"/>
      <c r="G16" s="461"/>
      <c r="H16" s="461"/>
      <c r="I16" s="499"/>
      <c r="J16" s="468"/>
    </row>
    <row r="17" spans="1:10" ht="12" customHeight="1">
      <c r="A17" s="455" t="s">
        <v>505</v>
      </c>
      <c r="C17" s="431" t="s">
        <v>506</v>
      </c>
      <c r="D17" s="432">
        <f>SUM(D11:D16)</f>
        <v>-3061.3342787046849</v>
      </c>
      <c r="E17" s="480">
        <f t="shared" ref="E17:J17" si="1">SUM(E11:E16)</f>
        <v>-1453</v>
      </c>
      <c r="F17" s="434">
        <f t="shared" si="1"/>
        <v>-1608.5000588783619</v>
      </c>
      <c r="G17" s="434">
        <f t="shared" si="1"/>
        <v>0</v>
      </c>
      <c r="H17" s="434">
        <f t="shared" si="1"/>
        <v>0</v>
      </c>
      <c r="I17" s="481">
        <f t="shared" si="1"/>
        <v>0</v>
      </c>
      <c r="J17" s="432">
        <f t="shared" si="1"/>
        <v>0</v>
      </c>
    </row>
    <row r="18" spans="1:10" ht="4.1500000000000004" customHeight="1">
      <c r="A18" s="758"/>
      <c r="C18" s="482"/>
      <c r="D18" s="483"/>
      <c r="E18" s="484"/>
      <c r="F18" s="484"/>
      <c r="G18" s="484"/>
      <c r="H18" s="484"/>
      <c r="I18" s="484"/>
      <c r="J18" s="484"/>
    </row>
    <row r="19" spans="1:10" ht="12.6" customHeight="1">
      <c r="A19" s="455">
        <v>2017</v>
      </c>
      <c r="C19" s="398" t="s">
        <v>507</v>
      </c>
      <c r="D19" s="531"/>
      <c r="E19" s="506"/>
      <c r="F19" s="507"/>
      <c r="G19" s="507"/>
      <c r="H19" s="507"/>
      <c r="I19" s="532"/>
      <c r="J19" s="404"/>
    </row>
    <row r="20" spans="1:10" ht="12" customHeight="1">
      <c r="A20" s="455">
        <v>2018</v>
      </c>
      <c r="C20" s="406" t="s">
        <v>508</v>
      </c>
      <c r="D20" s="533"/>
      <c r="E20" s="508"/>
      <c r="F20" s="509"/>
      <c r="G20" s="509"/>
      <c r="H20" s="509"/>
      <c r="I20" s="510"/>
      <c r="J20" s="412"/>
    </row>
    <row r="21" spans="1:10" ht="12" customHeight="1">
      <c r="A21" s="455">
        <v>2019</v>
      </c>
      <c r="C21" s="426" t="s">
        <v>509</v>
      </c>
      <c r="D21" s="533"/>
      <c r="E21" s="457"/>
      <c r="F21" s="509"/>
      <c r="G21" s="509"/>
      <c r="H21" s="509"/>
      <c r="I21" s="510"/>
      <c r="J21" s="412"/>
    </row>
    <row r="22" spans="1:10" s="540" customFormat="1" ht="12" customHeight="1">
      <c r="A22" s="455" t="s">
        <v>493</v>
      </c>
      <c r="C22" s="413" t="s">
        <v>510</v>
      </c>
      <c r="D22" s="419"/>
      <c r="E22" s="419"/>
      <c r="F22" s="419"/>
      <c r="G22" s="419"/>
      <c r="H22" s="419"/>
      <c r="I22" s="419"/>
      <c r="J22" s="419"/>
    </row>
    <row r="23" spans="1:10" ht="12" customHeight="1">
      <c r="A23" s="455">
        <v>2020</v>
      </c>
      <c r="C23" s="406" t="s">
        <v>511</v>
      </c>
      <c r="D23" s="404"/>
      <c r="E23" s="456"/>
      <c r="F23" s="402"/>
      <c r="G23" s="402"/>
      <c r="H23" s="402"/>
      <c r="I23" s="476"/>
      <c r="J23" s="404"/>
    </row>
    <row r="24" spans="1:10" ht="12" customHeight="1">
      <c r="A24" s="455">
        <v>2021</v>
      </c>
      <c r="C24" s="406" t="s">
        <v>512</v>
      </c>
      <c r="D24" s="412"/>
      <c r="E24" s="457"/>
      <c r="F24" s="410"/>
      <c r="G24" s="410"/>
      <c r="H24" s="410"/>
      <c r="I24" s="411"/>
      <c r="J24" s="412"/>
    </row>
    <row r="25" spans="1:10" ht="12" customHeight="1">
      <c r="A25" s="455">
        <v>2022</v>
      </c>
      <c r="C25" s="406" t="s">
        <v>513</v>
      </c>
      <c r="D25" s="412"/>
      <c r="E25" s="457"/>
      <c r="F25" s="410"/>
      <c r="G25" s="410"/>
      <c r="H25" s="410"/>
      <c r="I25" s="478"/>
      <c r="J25" s="412"/>
    </row>
    <row r="26" spans="1:10" ht="12" customHeight="1">
      <c r="A26" s="455">
        <v>2023</v>
      </c>
      <c r="C26" s="406" t="s">
        <v>515</v>
      </c>
      <c r="D26" s="412"/>
      <c r="E26" s="457"/>
      <c r="F26" s="410"/>
      <c r="G26" s="410"/>
      <c r="H26" s="410"/>
      <c r="I26" s="478"/>
      <c r="J26" s="412"/>
    </row>
    <row r="27" spans="1:10" ht="12" customHeight="1">
      <c r="A27" s="455">
        <v>2024</v>
      </c>
      <c r="C27" s="426" t="s">
        <v>516</v>
      </c>
      <c r="D27" s="412"/>
      <c r="E27" s="460"/>
      <c r="F27" s="461"/>
      <c r="G27" s="461"/>
      <c r="H27" s="461"/>
      <c r="I27" s="499"/>
      <c r="J27" s="468"/>
    </row>
    <row r="28" spans="1:10" ht="12" customHeight="1">
      <c r="A28" s="455" t="s">
        <v>505</v>
      </c>
      <c r="C28" s="431" t="s">
        <v>520</v>
      </c>
      <c r="D28" s="500"/>
      <c r="E28" s="494"/>
      <c r="F28" s="495"/>
      <c r="G28" s="495"/>
      <c r="H28" s="495"/>
      <c r="I28" s="501"/>
      <c r="J28" s="500"/>
    </row>
    <row r="29" spans="1:10" ht="4.1500000000000004" customHeight="1">
      <c r="A29" s="758"/>
      <c r="C29" s="482"/>
      <c r="D29" s="482"/>
      <c r="E29" s="447"/>
      <c r="F29" s="447"/>
      <c r="G29" s="447"/>
      <c r="H29" s="447"/>
      <c r="I29" s="447"/>
      <c r="J29" s="447"/>
    </row>
    <row r="30" spans="1:10" ht="12" customHeight="1">
      <c r="A30" s="455">
        <v>2020</v>
      </c>
      <c r="C30" s="398" t="s">
        <v>521</v>
      </c>
      <c r="D30" s="496"/>
      <c r="E30" s="456"/>
      <c r="F30" s="402"/>
      <c r="G30" s="507"/>
      <c r="H30" s="402"/>
      <c r="I30" s="476"/>
      <c r="J30" s="404"/>
    </row>
    <row r="31" spans="1:10" ht="12" customHeight="1">
      <c r="A31" s="455">
        <v>2021</v>
      </c>
      <c r="C31" s="406" t="s">
        <v>522</v>
      </c>
      <c r="D31" s="497"/>
      <c r="E31" s="457"/>
      <c r="F31" s="410"/>
      <c r="G31" s="410"/>
      <c r="H31" s="509"/>
      <c r="I31" s="411"/>
      <c r="J31" s="412"/>
    </row>
    <row r="32" spans="1:10" ht="12" customHeight="1">
      <c r="A32" s="455">
        <v>2022</v>
      </c>
      <c r="C32" s="406" t="s">
        <v>523</v>
      </c>
      <c r="D32" s="497"/>
      <c r="E32" s="457"/>
      <c r="F32" s="410"/>
      <c r="G32" s="410"/>
      <c r="H32" s="410"/>
      <c r="I32" s="510"/>
      <c r="J32" s="412"/>
    </row>
    <row r="33" spans="1:12" ht="12" customHeight="1">
      <c r="A33" s="455">
        <v>2023</v>
      </c>
      <c r="C33" s="406" t="s">
        <v>525</v>
      </c>
      <c r="D33" s="497"/>
      <c r="E33" s="457"/>
      <c r="F33" s="410"/>
      <c r="G33" s="410"/>
      <c r="H33" s="410"/>
      <c r="I33" s="478"/>
      <c r="J33" s="412"/>
    </row>
    <row r="34" spans="1:12" ht="12" customHeight="1">
      <c r="A34" s="455">
        <v>2024</v>
      </c>
      <c r="C34" s="426" t="s">
        <v>526</v>
      </c>
      <c r="D34" s="498"/>
      <c r="E34" s="460"/>
      <c r="F34" s="461"/>
      <c r="G34" s="461"/>
      <c r="H34" s="461"/>
      <c r="I34" s="499"/>
      <c r="J34" s="468"/>
    </row>
    <row r="35" spans="1:12" ht="12" customHeight="1">
      <c r="A35" s="455" t="s">
        <v>505</v>
      </c>
      <c r="C35" s="431" t="s">
        <v>530</v>
      </c>
      <c r="D35" s="500"/>
      <c r="E35" s="494"/>
      <c r="F35" s="495"/>
      <c r="G35" s="495"/>
      <c r="H35" s="495"/>
      <c r="I35" s="501"/>
      <c r="J35" s="500"/>
    </row>
    <row r="36" spans="1:12" ht="4.1500000000000004" customHeight="1">
      <c r="A36" s="758"/>
      <c r="C36" s="482"/>
      <c r="D36" s="482"/>
      <c r="E36" s="447"/>
      <c r="F36" s="447"/>
      <c r="G36" s="447"/>
      <c r="H36" s="447"/>
      <c r="I36" s="447"/>
      <c r="J36" s="447"/>
    </row>
    <row r="37" spans="1:12" ht="12" customHeight="1">
      <c r="A37" s="455">
        <v>2020</v>
      </c>
      <c r="C37" s="398" t="s">
        <v>531</v>
      </c>
      <c r="D37" s="443">
        <f>'T2 NSA'!C23</f>
        <v>-3711.3231999999698</v>
      </c>
      <c r="E37" s="420"/>
      <c r="F37" s="401"/>
      <c r="G37" s="421">
        <f>D37</f>
        <v>-3711.3231999999698</v>
      </c>
      <c r="H37" s="402"/>
      <c r="I37" s="476"/>
      <c r="J37" s="404"/>
    </row>
    <row r="38" spans="1:12" ht="12" customHeight="1">
      <c r="A38" s="455">
        <v>2021</v>
      </c>
      <c r="C38" s="406" t="s">
        <v>532</v>
      </c>
      <c r="D38" s="444">
        <f>'T2 NSA'!D23</f>
        <v>0.26560000000608852</v>
      </c>
      <c r="E38" s="408"/>
      <c r="F38" s="422"/>
      <c r="G38" s="410"/>
      <c r="H38" s="423">
        <f>D38</f>
        <v>0.26560000000608852</v>
      </c>
      <c r="I38" s="411"/>
      <c r="J38" s="412"/>
    </row>
    <row r="39" spans="1:12" ht="12" customHeight="1">
      <c r="A39" s="455">
        <v>2022</v>
      </c>
      <c r="C39" s="406" t="s">
        <v>533</v>
      </c>
      <c r="D39" s="444">
        <f>'T2 NSA'!E23</f>
        <v>0</v>
      </c>
      <c r="E39" s="408"/>
      <c r="F39" s="422"/>
      <c r="G39" s="410"/>
      <c r="H39" s="410"/>
      <c r="I39" s="424">
        <f>D39</f>
        <v>0</v>
      </c>
      <c r="J39" s="412"/>
    </row>
    <row r="40" spans="1:12" ht="12" customHeight="1">
      <c r="A40" s="455">
        <v>2023</v>
      </c>
      <c r="C40" s="406" t="s">
        <v>535</v>
      </c>
      <c r="D40" s="444">
        <f>'T2 NSA'!F23</f>
        <v>0</v>
      </c>
      <c r="E40" s="408"/>
      <c r="F40" s="422"/>
      <c r="G40" s="410"/>
      <c r="H40" s="410"/>
      <c r="I40" s="478"/>
      <c r="J40" s="425">
        <f>D40</f>
        <v>0</v>
      </c>
      <c r="L40" s="222"/>
    </row>
    <row r="41" spans="1:12" ht="12" customHeight="1">
      <c r="A41" s="455">
        <v>2024</v>
      </c>
      <c r="C41" s="426" t="s">
        <v>536</v>
      </c>
      <c r="D41" s="445">
        <f>'T2 NSA'!G23</f>
        <v>0</v>
      </c>
      <c r="E41" s="428"/>
      <c r="F41" s="429"/>
      <c r="G41" s="429"/>
      <c r="H41" s="429"/>
      <c r="I41" s="479"/>
      <c r="J41" s="430">
        <f>D41</f>
        <v>0</v>
      </c>
    </row>
    <row r="42" spans="1:12" ht="12" customHeight="1">
      <c r="A42" s="455" t="s">
        <v>505</v>
      </c>
      <c r="C42" s="431" t="s">
        <v>540</v>
      </c>
      <c r="D42" s="432">
        <f>SUM(D37:D41)</f>
        <v>-3711.0575999999637</v>
      </c>
      <c r="E42" s="494"/>
      <c r="F42" s="495"/>
      <c r="G42" s="434">
        <f t="shared" ref="G42:J42" si="2">SUM(G37:G41)</f>
        <v>-3711.3231999999698</v>
      </c>
      <c r="H42" s="434">
        <f t="shared" si="2"/>
        <v>0.26560000000608852</v>
      </c>
      <c r="I42" s="481">
        <f t="shared" si="2"/>
        <v>0</v>
      </c>
      <c r="J42" s="432">
        <f t="shared" si="2"/>
        <v>0</v>
      </c>
    </row>
    <row r="43" spans="1:12" ht="4.9000000000000004" customHeight="1">
      <c r="A43" s="758"/>
      <c r="C43" s="482"/>
      <c r="D43" s="482"/>
      <c r="E43" s="447"/>
      <c r="F43" s="447"/>
      <c r="G43" s="447"/>
      <c r="H43" s="447"/>
      <c r="I43" s="447"/>
      <c r="J43" s="447"/>
    </row>
    <row r="44" spans="1:12" ht="12" customHeight="1">
      <c r="A44" s="455">
        <v>2020</v>
      </c>
      <c r="C44" s="398" t="s">
        <v>541</v>
      </c>
      <c r="D44" s="443">
        <f>'T2 NSA'!C24</f>
        <v>-3808.3130923808203</v>
      </c>
      <c r="E44" s="420"/>
      <c r="F44" s="401"/>
      <c r="G44" s="421">
        <f>D44</f>
        <v>-3808.3130923808203</v>
      </c>
      <c r="H44" s="402"/>
      <c r="I44" s="476"/>
      <c r="J44" s="404"/>
    </row>
    <row r="45" spans="1:12" ht="12" customHeight="1">
      <c r="A45" s="455">
        <v>2021</v>
      </c>
      <c r="C45" s="406" t="s">
        <v>542</v>
      </c>
      <c r="D45" s="444">
        <f>'T2 NSA'!D24</f>
        <v>-6609.2647955020075</v>
      </c>
      <c r="E45" s="408"/>
      <c r="F45" s="422"/>
      <c r="G45" s="410"/>
      <c r="H45" s="423">
        <f>D45</f>
        <v>-6609.2647955020075</v>
      </c>
      <c r="I45" s="411"/>
      <c r="J45" s="412"/>
      <c r="L45" s="310"/>
    </row>
    <row r="46" spans="1:12" ht="12" customHeight="1">
      <c r="A46" s="455">
        <v>2022</v>
      </c>
      <c r="C46" s="406" t="s">
        <v>543</v>
      </c>
      <c r="D46" s="444">
        <f>'T2 NSA'!E24</f>
        <v>0</v>
      </c>
      <c r="E46" s="408"/>
      <c r="F46" s="422"/>
      <c r="G46" s="410"/>
      <c r="H46" s="410"/>
      <c r="I46" s="530">
        <f>D46</f>
        <v>0</v>
      </c>
      <c r="J46" s="412"/>
    </row>
    <row r="47" spans="1:12" ht="12" customHeight="1">
      <c r="A47" s="455">
        <v>2023</v>
      </c>
      <c r="C47" s="406" t="s">
        <v>545</v>
      </c>
      <c r="D47" s="444">
        <f>'T2 NSA'!F24</f>
        <v>0</v>
      </c>
      <c r="E47" s="408"/>
      <c r="F47" s="422"/>
      <c r="G47" s="410"/>
      <c r="H47" s="410"/>
      <c r="I47" s="478"/>
      <c r="J47" s="425">
        <f>D47</f>
        <v>0</v>
      </c>
    </row>
    <row r="48" spans="1:12" ht="12" customHeight="1">
      <c r="A48" s="455">
        <v>2024</v>
      </c>
      <c r="C48" s="426" t="s">
        <v>546</v>
      </c>
      <c r="D48" s="445">
        <f>'T2 NSA'!G24</f>
        <v>0</v>
      </c>
      <c r="E48" s="428"/>
      <c r="F48" s="429"/>
      <c r="G48" s="429"/>
      <c r="H48" s="429"/>
      <c r="I48" s="479"/>
      <c r="J48" s="430">
        <f>D48</f>
        <v>0</v>
      </c>
    </row>
    <row r="49" spans="1:10" ht="12" customHeight="1">
      <c r="A49" s="455" t="s">
        <v>505</v>
      </c>
      <c r="C49" s="431" t="s">
        <v>550</v>
      </c>
      <c r="D49" s="432">
        <f t="shared" ref="D49:J49" si="3">SUM(D44:D48)</f>
        <v>-10417.577887882828</v>
      </c>
      <c r="E49" s="494"/>
      <c r="F49" s="495"/>
      <c r="G49" s="434">
        <f t="shared" si="3"/>
        <v>-3808.3130923808203</v>
      </c>
      <c r="H49" s="434">
        <f t="shared" si="3"/>
        <v>-6609.2647955020075</v>
      </c>
      <c r="I49" s="481">
        <f t="shared" si="3"/>
        <v>0</v>
      </c>
      <c r="J49" s="432">
        <f t="shared" si="3"/>
        <v>0</v>
      </c>
    </row>
    <row r="50" spans="1:10" ht="4.9000000000000004" customHeight="1">
      <c r="A50" s="758"/>
      <c r="C50" s="482"/>
      <c r="D50" s="482"/>
      <c r="E50" s="447"/>
      <c r="F50" s="447"/>
      <c r="G50" s="447"/>
      <c r="H50" s="447"/>
      <c r="I50" s="447"/>
      <c r="J50" s="447"/>
    </row>
    <row r="51" spans="1:10" ht="12" customHeight="1">
      <c r="A51" s="455">
        <v>2020</v>
      </c>
      <c r="C51" s="398" t="s">
        <v>551</v>
      </c>
      <c r="D51" s="496"/>
      <c r="E51" s="456"/>
      <c r="F51" s="402"/>
      <c r="G51" s="507"/>
      <c r="H51" s="402"/>
      <c r="I51" s="476"/>
      <c r="J51" s="404"/>
    </row>
    <row r="52" spans="1:10" ht="12" customHeight="1">
      <c r="A52" s="455">
        <v>2021</v>
      </c>
      <c r="C52" s="406" t="s">
        <v>552</v>
      </c>
      <c r="D52" s="497"/>
      <c r="E52" s="457"/>
      <c r="F52" s="410"/>
      <c r="G52" s="410"/>
      <c r="H52" s="509"/>
      <c r="I52" s="411"/>
      <c r="J52" s="412"/>
    </row>
    <row r="53" spans="1:10" ht="12" customHeight="1">
      <c r="A53" s="455">
        <v>2022</v>
      </c>
      <c r="C53" s="406" t="s">
        <v>553</v>
      </c>
      <c r="D53" s="497"/>
      <c r="E53" s="457"/>
      <c r="F53" s="410"/>
      <c r="G53" s="410"/>
      <c r="H53" s="410"/>
      <c r="I53" s="510"/>
      <c r="J53" s="412"/>
    </row>
    <row r="54" spans="1:10" ht="12" customHeight="1">
      <c r="A54" s="455">
        <v>2023</v>
      </c>
      <c r="C54" s="406" t="s">
        <v>555</v>
      </c>
      <c r="D54" s="497"/>
      <c r="E54" s="457"/>
      <c r="F54" s="410"/>
      <c r="G54" s="410"/>
      <c r="H54" s="410"/>
      <c r="I54" s="478"/>
      <c r="J54" s="412"/>
    </row>
    <row r="55" spans="1:10" ht="12" customHeight="1">
      <c r="A55" s="455">
        <v>2024</v>
      </c>
      <c r="C55" s="426" t="s">
        <v>556</v>
      </c>
      <c r="D55" s="498"/>
      <c r="E55" s="460"/>
      <c r="F55" s="461"/>
      <c r="G55" s="461"/>
      <c r="H55" s="461"/>
      <c r="I55" s="499"/>
      <c r="J55" s="468"/>
    </row>
    <row r="56" spans="1:10" ht="12" customHeight="1">
      <c r="A56" s="455" t="s">
        <v>505</v>
      </c>
      <c r="C56" s="431" t="s">
        <v>560</v>
      </c>
      <c r="D56" s="500"/>
      <c r="E56" s="494"/>
      <c r="F56" s="495"/>
      <c r="G56" s="495"/>
      <c r="H56" s="495"/>
      <c r="I56" s="501"/>
      <c r="J56" s="500"/>
    </row>
    <row r="57" spans="1:10" ht="3.6" customHeight="1">
      <c r="A57" s="758"/>
      <c r="C57" s="482"/>
      <c r="D57" s="482"/>
      <c r="E57" s="447"/>
      <c r="F57" s="447"/>
      <c r="G57" s="447"/>
      <c r="H57" s="447"/>
      <c r="I57" s="447"/>
      <c r="J57" s="447"/>
    </row>
    <row r="58" spans="1:10" ht="12" customHeight="1">
      <c r="A58" s="455">
        <v>2020</v>
      </c>
      <c r="C58" s="398" t="s">
        <v>561</v>
      </c>
      <c r="D58" s="496"/>
      <c r="E58" s="456"/>
      <c r="F58" s="402"/>
      <c r="G58" s="507"/>
      <c r="H58" s="402"/>
      <c r="I58" s="476"/>
      <c r="J58" s="404"/>
    </row>
    <row r="59" spans="1:10" ht="12" customHeight="1">
      <c r="A59" s="455">
        <v>2021</v>
      </c>
      <c r="C59" s="406" t="s">
        <v>562</v>
      </c>
      <c r="D59" s="497"/>
      <c r="E59" s="457"/>
      <c r="F59" s="410"/>
      <c r="G59" s="410"/>
      <c r="H59" s="509"/>
      <c r="I59" s="411"/>
      <c r="J59" s="412"/>
    </row>
    <row r="60" spans="1:10" ht="12" customHeight="1">
      <c r="A60" s="455">
        <v>2022</v>
      </c>
      <c r="C60" s="406" t="s">
        <v>563</v>
      </c>
      <c r="D60" s="497"/>
      <c r="E60" s="457"/>
      <c r="F60" s="410"/>
      <c r="G60" s="410"/>
      <c r="H60" s="410"/>
      <c r="I60" s="510"/>
      <c r="J60" s="412"/>
    </row>
    <row r="61" spans="1:10" ht="12" customHeight="1">
      <c r="A61" s="455">
        <v>2023</v>
      </c>
      <c r="C61" s="406" t="s">
        <v>565</v>
      </c>
      <c r="D61" s="497"/>
      <c r="E61" s="457"/>
      <c r="F61" s="410"/>
      <c r="G61" s="410"/>
      <c r="H61" s="410"/>
      <c r="I61" s="478"/>
      <c r="J61" s="412"/>
    </row>
    <row r="62" spans="1:10" ht="12" customHeight="1">
      <c r="A62" s="455">
        <v>2024</v>
      </c>
      <c r="C62" s="426" t="s">
        <v>566</v>
      </c>
      <c r="D62" s="498"/>
      <c r="E62" s="460"/>
      <c r="F62" s="461"/>
      <c r="G62" s="461"/>
      <c r="H62" s="461"/>
      <c r="I62" s="499"/>
      <c r="J62" s="468"/>
    </row>
    <row r="63" spans="1:10" ht="12" customHeight="1">
      <c r="A63" s="455" t="s">
        <v>505</v>
      </c>
      <c r="C63" s="431" t="s">
        <v>570</v>
      </c>
      <c r="D63" s="500"/>
      <c r="E63" s="494"/>
      <c r="F63" s="495"/>
      <c r="G63" s="495"/>
      <c r="H63" s="495"/>
      <c r="I63" s="501"/>
      <c r="J63" s="500"/>
    </row>
    <row r="64" spans="1:10" ht="3.6" customHeight="1">
      <c r="A64" s="758"/>
      <c r="C64" s="482"/>
      <c r="D64" s="482"/>
      <c r="E64" s="447"/>
      <c r="F64" s="447"/>
      <c r="G64" s="447"/>
      <c r="H64" s="447"/>
      <c r="I64" s="447"/>
      <c r="J64" s="447"/>
    </row>
    <row r="65" spans="1:13" ht="12" customHeight="1">
      <c r="A65" s="455">
        <v>2020</v>
      </c>
      <c r="C65" s="398" t="s">
        <v>571</v>
      </c>
      <c r="D65" s="496"/>
      <c r="E65" s="456"/>
      <c r="F65" s="402"/>
      <c r="G65" s="507"/>
      <c r="H65" s="402"/>
      <c r="I65" s="476"/>
      <c r="J65" s="404"/>
    </row>
    <row r="66" spans="1:13" ht="12" customHeight="1">
      <c r="A66" s="455">
        <v>2021</v>
      </c>
      <c r="C66" s="406" t="s">
        <v>572</v>
      </c>
      <c r="D66" s="497"/>
      <c r="E66" s="457"/>
      <c r="F66" s="410"/>
      <c r="G66" s="410"/>
      <c r="H66" s="509"/>
      <c r="I66" s="411"/>
      <c r="J66" s="412"/>
    </row>
    <row r="67" spans="1:13" ht="12" customHeight="1">
      <c r="A67" s="455">
        <v>2022</v>
      </c>
      <c r="C67" s="406" t="s">
        <v>573</v>
      </c>
      <c r="D67" s="497"/>
      <c r="E67" s="457"/>
      <c r="F67" s="410"/>
      <c r="G67" s="410"/>
      <c r="H67" s="410"/>
      <c r="I67" s="510"/>
      <c r="J67" s="412"/>
    </row>
    <row r="68" spans="1:13" ht="12" customHeight="1">
      <c r="A68" s="455">
        <v>2023</v>
      </c>
      <c r="C68" s="406" t="s">
        <v>574</v>
      </c>
      <c r="D68" s="497"/>
      <c r="E68" s="457"/>
      <c r="F68" s="410"/>
      <c r="G68" s="410"/>
      <c r="H68" s="410"/>
      <c r="I68" s="478"/>
      <c r="J68" s="412"/>
    </row>
    <row r="69" spans="1:13" ht="12" customHeight="1">
      <c r="A69" s="455">
        <v>2024</v>
      </c>
      <c r="C69" s="426" t="s">
        <v>575</v>
      </c>
      <c r="D69" s="498"/>
      <c r="E69" s="460"/>
      <c r="F69" s="461"/>
      <c r="G69" s="461"/>
      <c r="H69" s="461"/>
      <c r="I69" s="499"/>
      <c r="J69" s="468"/>
    </row>
    <row r="70" spans="1:13" ht="12" customHeight="1">
      <c r="A70" s="455" t="s">
        <v>505</v>
      </c>
      <c r="C70" s="431" t="s">
        <v>579</v>
      </c>
      <c r="D70" s="500"/>
      <c r="E70" s="494"/>
      <c r="F70" s="495"/>
      <c r="G70" s="495"/>
      <c r="H70" s="495"/>
      <c r="I70" s="501"/>
      <c r="J70" s="500"/>
    </row>
    <row r="71" spans="1:13" ht="3.6" customHeight="1">
      <c r="A71" s="758"/>
      <c r="C71" s="482"/>
      <c r="D71" s="482"/>
      <c r="E71" s="447"/>
      <c r="F71" s="447"/>
      <c r="G71" s="447"/>
      <c r="H71" s="447"/>
      <c r="I71" s="447"/>
      <c r="J71" s="447"/>
    </row>
    <row r="72" spans="1:13" ht="12" customHeight="1">
      <c r="A72" s="455">
        <v>2017</v>
      </c>
      <c r="C72" s="436" t="s">
        <v>580</v>
      </c>
      <c r="D72" s="502">
        <v>-1152.8989713724077</v>
      </c>
      <c r="E72" s="486">
        <v>0</v>
      </c>
      <c r="F72" s="487">
        <f>+D72</f>
        <v>-1152.8989713724077</v>
      </c>
      <c r="G72" s="487">
        <v>0</v>
      </c>
      <c r="H72" s="487">
        <v>0</v>
      </c>
      <c r="I72" s="488">
        <v>0</v>
      </c>
      <c r="J72" s="399">
        <f t="shared" ref="J72:J74" si="4">D72-SUM(E72:I72)</f>
        <v>0</v>
      </c>
      <c r="L72" s="386" t="s">
        <v>733</v>
      </c>
    </row>
    <row r="73" spans="1:13" ht="12" customHeight="1">
      <c r="A73" s="455">
        <v>2018</v>
      </c>
      <c r="C73" s="439" t="s">
        <v>581</v>
      </c>
      <c r="D73" s="503">
        <v>-369.83508810512302</v>
      </c>
      <c r="E73" s="490"/>
      <c r="F73" s="491">
        <f>+D73</f>
        <v>-369.83508810512302</v>
      </c>
      <c r="G73" s="491">
        <v>0</v>
      </c>
      <c r="H73" s="491">
        <v>0</v>
      </c>
      <c r="I73" s="492">
        <v>0</v>
      </c>
      <c r="J73" s="407">
        <f t="shared" si="4"/>
        <v>0</v>
      </c>
      <c r="L73" s="386" t="s">
        <v>734</v>
      </c>
    </row>
    <row r="74" spans="1:13" ht="12" customHeight="1">
      <c r="A74" s="455">
        <v>2019</v>
      </c>
      <c r="C74" s="439" t="s">
        <v>729</v>
      </c>
      <c r="D74" s="503">
        <v>-4006.19</v>
      </c>
      <c r="E74" s="504"/>
      <c r="F74" s="491">
        <f>+D74</f>
        <v>-4006.19</v>
      </c>
      <c r="G74" s="491">
        <v>0</v>
      </c>
      <c r="H74" s="491">
        <v>0</v>
      </c>
      <c r="I74" s="492">
        <v>0</v>
      </c>
      <c r="J74" s="407">
        <f t="shared" si="4"/>
        <v>0</v>
      </c>
      <c r="L74" s="386" t="s">
        <v>735</v>
      </c>
    </row>
    <row r="75" spans="1:13" ht="12" customHeight="1">
      <c r="A75" s="455" t="s">
        <v>505</v>
      </c>
      <c r="C75" s="431" t="s">
        <v>587</v>
      </c>
      <c r="D75" s="432">
        <f>SUM(D72:D74)</f>
        <v>-5528.924059477531</v>
      </c>
      <c r="E75" s="480">
        <f t="shared" ref="E75:J75" si="5">SUM(E72:E74)</f>
        <v>0</v>
      </c>
      <c r="F75" s="434">
        <f t="shared" si="5"/>
        <v>-5528.924059477531</v>
      </c>
      <c r="G75" s="434">
        <f t="shared" si="5"/>
        <v>0</v>
      </c>
      <c r="H75" s="434">
        <f t="shared" si="5"/>
        <v>0</v>
      </c>
      <c r="I75" s="481">
        <f t="shared" si="5"/>
        <v>0</v>
      </c>
      <c r="J75" s="432">
        <f t="shared" si="5"/>
        <v>0</v>
      </c>
      <c r="L75" s="1599"/>
      <c r="M75" s="1599"/>
    </row>
    <row r="76" spans="1:13" ht="3.6" customHeight="1">
      <c r="A76" s="758"/>
      <c r="C76" s="482"/>
      <c r="D76" s="482"/>
      <c r="E76" s="447"/>
      <c r="F76" s="447"/>
      <c r="G76" s="447"/>
      <c r="H76" s="447"/>
      <c r="I76" s="447"/>
      <c r="J76" s="447"/>
    </row>
    <row r="77" spans="1:13" ht="12" customHeight="1">
      <c r="A77" s="455">
        <v>2017</v>
      </c>
      <c r="C77" s="436" t="s">
        <v>588</v>
      </c>
      <c r="D77" s="536"/>
      <c r="E77" s="506"/>
      <c r="F77" s="507"/>
      <c r="G77" s="507"/>
      <c r="H77" s="507"/>
      <c r="I77" s="532"/>
      <c r="J77" s="404"/>
    </row>
    <row r="78" spans="1:13" ht="12" customHeight="1">
      <c r="A78" s="455">
        <v>2018</v>
      </c>
      <c r="C78" s="439" t="s">
        <v>589</v>
      </c>
      <c r="D78" s="537"/>
      <c r="E78" s="457"/>
      <c r="F78" s="410"/>
      <c r="G78" s="410"/>
      <c r="H78" s="410"/>
      <c r="I78" s="478"/>
      <c r="J78" s="412"/>
    </row>
    <row r="79" spans="1:13" ht="12" customHeight="1">
      <c r="A79" s="455">
        <v>2019</v>
      </c>
      <c r="C79" s="439" t="s">
        <v>590</v>
      </c>
      <c r="D79" s="537"/>
      <c r="E79" s="457"/>
      <c r="F79" s="410"/>
      <c r="G79" s="410"/>
      <c r="H79" s="410"/>
      <c r="I79" s="411"/>
      <c r="J79" s="412"/>
    </row>
    <row r="80" spans="1:13" ht="12" customHeight="1">
      <c r="A80" s="455" t="s">
        <v>493</v>
      </c>
      <c r="C80" s="413" t="s">
        <v>591</v>
      </c>
      <c r="D80" s="419"/>
      <c r="E80" s="419"/>
      <c r="F80" s="419"/>
      <c r="G80" s="419"/>
      <c r="H80" s="419"/>
      <c r="I80" s="419"/>
      <c r="J80" s="419"/>
    </row>
    <row r="81" spans="1:10" ht="12" customHeight="1">
      <c r="A81" s="455">
        <v>2020</v>
      </c>
      <c r="C81" s="398" t="s">
        <v>592</v>
      </c>
      <c r="D81" s="541"/>
      <c r="E81" s="456"/>
      <c r="F81" s="402"/>
      <c r="G81" s="402"/>
      <c r="H81" s="402"/>
      <c r="I81" s="476"/>
      <c r="J81" s="404"/>
    </row>
    <row r="82" spans="1:10" ht="12" customHeight="1">
      <c r="A82" s="455">
        <v>2021</v>
      </c>
      <c r="C82" s="406" t="s">
        <v>593</v>
      </c>
      <c r="D82" s="542"/>
      <c r="E82" s="457"/>
      <c r="F82" s="410"/>
      <c r="G82" s="410"/>
      <c r="H82" s="410"/>
      <c r="I82" s="411"/>
      <c r="J82" s="412"/>
    </row>
    <row r="83" spans="1:10" ht="12" customHeight="1">
      <c r="A83" s="455">
        <v>2022</v>
      </c>
      <c r="C83" s="406" t="s">
        <v>594</v>
      </c>
      <c r="D83" s="542"/>
      <c r="E83" s="457"/>
      <c r="F83" s="410"/>
      <c r="G83" s="410"/>
      <c r="H83" s="410"/>
      <c r="I83" s="411"/>
      <c r="J83" s="412"/>
    </row>
    <row r="84" spans="1:10" ht="12" customHeight="1">
      <c r="A84" s="455">
        <v>2023</v>
      </c>
      <c r="C84" s="406" t="s">
        <v>596</v>
      </c>
      <c r="D84" s="542"/>
      <c r="E84" s="457"/>
      <c r="F84" s="410"/>
      <c r="G84" s="410"/>
      <c r="H84" s="410"/>
      <c r="I84" s="478"/>
      <c r="J84" s="412"/>
    </row>
    <row r="85" spans="1:10" ht="12" customHeight="1">
      <c r="A85" s="455">
        <v>2024</v>
      </c>
      <c r="C85" s="426" t="s">
        <v>597</v>
      </c>
      <c r="D85" s="543"/>
      <c r="E85" s="460"/>
      <c r="F85" s="461"/>
      <c r="G85" s="461"/>
      <c r="H85" s="461"/>
      <c r="I85" s="499"/>
      <c r="J85" s="468"/>
    </row>
    <row r="86" spans="1:10" ht="12" customHeight="1">
      <c r="A86" s="455" t="s">
        <v>505</v>
      </c>
      <c r="C86" s="431" t="s">
        <v>601</v>
      </c>
      <c r="D86" s="500"/>
      <c r="E86" s="494"/>
      <c r="F86" s="495"/>
      <c r="G86" s="495"/>
      <c r="H86" s="495"/>
      <c r="I86" s="501"/>
      <c r="J86" s="500"/>
    </row>
    <row r="87" spans="1:10" ht="4.1500000000000004" customHeight="1">
      <c r="A87" s="758"/>
      <c r="C87" s="482"/>
      <c r="D87" s="482"/>
      <c r="E87" s="482"/>
      <c r="F87" s="482"/>
      <c r="G87" s="482"/>
      <c r="H87" s="482"/>
      <c r="I87" s="505"/>
      <c r="J87" s="482"/>
    </row>
    <row r="88" spans="1:10" ht="12" customHeight="1">
      <c r="A88" s="455">
        <v>2017</v>
      </c>
      <c r="C88" s="398" t="s">
        <v>602</v>
      </c>
      <c r="D88" s="475">
        <v>0</v>
      </c>
      <c r="E88" s="486">
        <v>0</v>
      </c>
      <c r="F88" s="487">
        <v>0</v>
      </c>
      <c r="G88" s="487">
        <v>0</v>
      </c>
      <c r="H88" s="487">
        <v>0</v>
      </c>
      <c r="I88" s="488">
        <v>0</v>
      </c>
      <c r="J88" s="404"/>
    </row>
    <row r="89" spans="1:10" ht="12" customHeight="1">
      <c r="A89" s="455">
        <v>2018</v>
      </c>
      <c r="C89" s="406" t="s">
        <v>603</v>
      </c>
      <c r="D89" s="477">
        <v>0</v>
      </c>
      <c r="E89" s="490">
        <v>0</v>
      </c>
      <c r="F89" s="491">
        <v>0</v>
      </c>
      <c r="G89" s="491">
        <v>0</v>
      </c>
      <c r="H89" s="491">
        <v>0</v>
      </c>
      <c r="I89" s="492">
        <v>0</v>
      </c>
      <c r="J89" s="412"/>
    </row>
    <row r="90" spans="1:10" ht="12" customHeight="1">
      <c r="A90" s="455">
        <v>2019</v>
      </c>
      <c r="C90" s="406" t="s">
        <v>604</v>
      </c>
      <c r="D90" s="477"/>
      <c r="E90" s="504"/>
      <c r="F90" s="491">
        <v>0</v>
      </c>
      <c r="G90" s="491">
        <v>0</v>
      </c>
      <c r="H90" s="491">
        <v>0</v>
      </c>
      <c r="I90" s="492">
        <v>0</v>
      </c>
      <c r="J90" s="412"/>
    </row>
    <row r="91" spans="1:10" ht="14.45" customHeight="1">
      <c r="A91" s="455" t="s">
        <v>493</v>
      </c>
      <c r="C91" s="413" t="s">
        <v>605</v>
      </c>
      <c r="D91" s="416">
        <f>SUM(D88:D90)</f>
        <v>0</v>
      </c>
      <c r="E91" s="416">
        <f t="shared" ref="E91:I91" si="6">SUM(E88:E90)</f>
        <v>0</v>
      </c>
      <c r="F91" s="416">
        <f t="shared" si="6"/>
        <v>0</v>
      </c>
      <c r="G91" s="416">
        <f t="shared" si="6"/>
        <v>0</v>
      </c>
      <c r="H91" s="416">
        <f t="shared" si="6"/>
        <v>0</v>
      </c>
      <c r="I91" s="451">
        <f t="shared" si="6"/>
        <v>0</v>
      </c>
      <c r="J91" s="419"/>
    </row>
    <row r="92" spans="1:10" ht="12" customHeight="1">
      <c r="A92" s="455">
        <v>2020</v>
      </c>
      <c r="C92" s="398" t="s">
        <v>606</v>
      </c>
      <c r="D92" s="452">
        <f>'T2 NSA'!C59</f>
        <v>0</v>
      </c>
      <c r="E92" s="420"/>
      <c r="F92" s="401"/>
      <c r="G92" s="421">
        <f>+D92</f>
        <v>0</v>
      </c>
      <c r="H92" s="402"/>
      <c r="I92" s="476"/>
      <c r="J92" s="404"/>
    </row>
    <row r="93" spans="1:10" ht="12" customHeight="1">
      <c r="A93" s="455">
        <v>2021</v>
      </c>
      <c r="C93" s="406" t="s">
        <v>607</v>
      </c>
      <c r="D93" s="453">
        <f>'T2 NSA'!D59</f>
        <v>0</v>
      </c>
      <c r="E93" s="408"/>
      <c r="F93" s="422"/>
      <c r="G93" s="410"/>
      <c r="H93" s="423">
        <f>+D93</f>
        <v>0</v>
      </c>
      <c r="I93" s="411"/>
      <c r="J93" s="412"/>
    </row>
    <row r="94" spans="1:10" ht="12" customHeight="1">
      <c r="A94" s="455">
        <v>2022</v>
      </c>
      <c r="C94" s="406" t="s">
        <v>608</v>
      </c>
      <c r="D94" s="453">
        <f>'T2 NSA'!E59</f>
        <v>0</v>
      </c>
      <c r="E94" s="408"/>
      <c r="F94" s="422"/>
      <c r="G94" s="410"/>
      <c r="H94" s="410"/>
      <c r="I94" s="530">
        <f>+D94</f>
        <v>0</v>
      </c>
      <c r="J94" s="412"/>
    </row>
    <row r="95" spans="1:10" ht="12" customHeight="1">
      <c r="A95" s="455">
        <v>2023</v>
      </c>
      <c r="C95" s="406" t="s">
        <v>610</v>
      </c>
      <c r="D95" s="453">
        <f>'T2 NSA'!F59</f>
        <v>0</v>
      </c>
      <c r="E95" s="408"/>
      <c r="F95" s="422"/>
      <c r="G95" s="410"/>
      <c r="H95" s="410"/>
      <c r="I95" s="478"/>
      <c r="J95" s="407">
        <f>+D95</f>
        <v>0</v>
      </c>
    </row>
    <row r="96" spans="1:10" ht="12" customHeight="1">
      <c r="A96" s="455">
        <v>2024</v>
      </c>
      <c r="C96" s="426" t="s">
        <v>611</v>
      </c>
      <c r="D96" s="454">
        <f>'T2 NSA'!G59</f>
        <v>0</v>
      </c>
      <c r="E96" s="428"/>
      <c r="F96" s="429"/>
      <c r="G96" s="429"/>
      <c r="H96" s="429"/>
      <c r="I96" s="479"/>
      <c r="J96" s="427">
        <f>+D96</f>
        <v>0</v>
      </c>
    </row>
    <row r="97" spans="1:12" ht="12" customHeight="1">
      <c r="A97" s="455" t="s">
        <v>505</v>
      </c>
      <c r="C97" s="431" t="s">
        <v>615</v>
      </c>
      <c r="D97" s="432">
        <f>SUM(D91:D96)</f>
        <v>0</v>
      </c>
      <c r="E97" s="480">
        <f t="shared" ref="E97:J97" si="7">SUM(E91:E96)</f>
        <v>0</v>
      </c>
      <c r="F97" s="434">
        <f t="shared" si="7"/>
        <v>0</v>
      </c>
      <c r="G97" s="434">
        <f t="shared" si="7"/>
        <v>0</v>
      </c>
      <c r="H97" s="434">
        <f t="shared" si="7"/>
        <v>0</v>
      </c>
      <c r="I97" s="481">
        <f t="shared" si="7"/>
        <v>0</v>
      </c>
      <c r="J97" s="432">
        <f t="shared" si="7"/>
        <v>0</v>
      </c>
    </row>
    <row r="98" spans="1:12" ht="4.9000000000000004" customHeight="1">
      <c r="A98" s="758"/>
      <c r="C98" s="482"/>
      <c r="D98" s="482"/>
      <c r="E98" s="447"/>
      <c r="F98" s="447"/>
      <c r="G98" s="447"/>
      <c r="H98" s="447"/>
      <c r="I98" s="447"/>
      <c r="J98" s="447"/>
    </row>
    <row r="99" spans="1:12" ht="12" customHeight="1">
      <c r="A99" s="455">
        <v>2017</v>
      </c>
      <c r="C99" s="398" t="s">
        <v>616</v>
      </c>
      <c r="D99" s="475">
        <v>0</v>
      </c>
      <c r="E99" s="486">
        <v>0</v>
      </c>
      <c r="F99" s="487">
        <v>0</v>
      </c>
      <c r="G99" s="487">
        <v>0</v>
      </c>
      <c r="H99" s="487">
        <v>0</v>
      </c>
      <c r="I99" s="488">
        <v>0</v>
      </c>
      <c r="J99" s="399">
        <f t="shared" ref="J99:J107" si="8">D99-SUM(E99:I99)</f>
        <v>0</v>
      </c>
    </row>
    <row r="100" spans="1:12" ht="12" customHeight="1">
      <c r="A100" s="455">
        <v>2018</v>
      </c>
      <c r="C100" s="406" t="s">
        <v>617</v>
      </c>
      <c r="D100" s="917">
        <v>-8107.9232333506698</v>
      </c>
      <c r="E100" s="490">
        <f>D100</f>
        <v>-8107.9232333506698</v>
      </c>
      <c r="F100" s="491">
        <v>0</v>
      </c>
      <c r="G100" s="491">
        <v>0</v>
      </c>
      <c r="H100" s="491">
        <v>0</v>
      </c>
      <c r="I100" s="492">
        <v>0</v>
      </c>
      <c r="J100" s="407">
        <f t="shared" si="8"/>
        <v>0</v>
      </c>
      <c r="L100" s="386" t="s">
        <v>736</v>
      </c>
    </row>
    <row r="101" spans="1:12" ht="12" customHeight="1">
      <c r="A101" s="455">
        <v>2019</v>
      </c>
      <c r="C101" s="406" t="s">
        <v>618</v>
      </c>
      <c r="D101" s="503">
        <v>-8764.7680110260899</v>
      </c>
      <c r="E101" s="504"/>
      <c r="F101" s="491">
        <f>+D101</f>
        <v>-8764.7680110260899</v>
      </c>
      <c r="G101" s="491">
        <v>0</v>
      </c>
      <c r="H101" s="491">
        <v>0</v>
      </c>
      <c r="I101" s="492">
        <v>0</v>
      </c>
      <c r="J101" s="407">
        <f t="shared" si="8"/>
        <v>0</v>
      </c>
      <c r="L101" s="386" t="s">
        <v>737</v>
      </c>
    </row>
    <row r="102" spans="1:12" ht="12" customHeight="1">
      <c r="A102" s="455" t="s">
        <v>493</v>
      </c>
      <c r="C102" s="413" t="s">
        <v>619</v>
      </c>
      <c r="D102" s="414">
        <f t="shared" ref="D102:J102" si="9">SUM(D99:D101)</f>
        <v>-16872.691244376758</v>
      </c>
      <c r="E102" s="414">
        <f t="shared" si="9"/>
        <v>-8107.9232333506698</v>
      </c>
      <c r="F102" s="414">
        <f t="shared" si="9"/>
        <v>-8764.7680110260899</v>
      </c>
      <c r="G102" s="414">
        <f t="shared" si="9"/>
        <v>0</v>
      </c>
      <c r="H102" s="414">
        <f t="shared" si="9"/>
        <v>0</v>
      </c>
      <c r="I102" s="414">
        <f t="shared" si="9"/>
        <v>0</v>
      </c>
      <c r="J102" s="414">
        <f t="shared" si="9"/>
        <v>0</v>
      </c>
      <c r="L102" s="540"/>
    </row>
    <row r="103" spans="1:12" ht="12" customHeight="1">
      <c r="A103" s="455">
        <v>2020</v>
      </c>
      <c r="C103" s="398" t="s">
        <v>620</v>
      </c>
      <c r="D103" s="399">
        <f>(E11+E22+E75+E80+E91+E102+E108)*-'T2 NSA'!C40</f>
        <v>-5706.3161037249602</v>
      </c>
      <c r="E103" s="506"/>
      <c r="F103" s="507"/>
      <c r="G103" s="487">
        <f>D103</f>
        <v>-5706.3161037249602</v>
      </c>
      <c r="H103" s="487"/>
      <c r="I103" s="488"/>
      <c r="J103" s="399">
        <f t="shared" si="8"/>
        <v>0</v>
      </c>
    </row>
    <row r="104" spans="1:12" ht="12" customHeight="1">
      <c r="A104" s="455">
        <v>2021</v>
      </c>
      <c r="C104" s="406" t="s">
        <v>621</v>
      </c>
      <c r="D104" s="407">
        <f>(F11+F22+F75+F80+F91+F102+F108)*-'T2 NSA'!D40</f>
        <v>-9246.5591228096437</v>
      </c>
      <c r="E104" s="508"/>
      <c r="F104" s="509"/>
      <c r="G104" s="509"/>
      <c r="H104" s="491">
        <f>+D104</f>
        <v>-9246.5591228096437</v>
      </c>
      <c r="I104" s="492"/>
      <c r="J104" s="407">
        <f t="shared" si="8"/>
        <v>0</v>
      </c>
    </row>
    <row r="105" spans="1:12" ht="12" customHeight="1">
      <c r="A105" s="455">
        <v>2022</v>
      </c>
      <c r="C105" s="406" t="s">
        <v>622</v>
      </c>
      <c r="D105" s="407">
        <f>(G11+G22+G75+G80+G91+G102+G108)*-'T2 NSA'!E40</f>
        <v>0</v>
      </c>
      <c r="E105" s="508"/>
      <c r="F105" s="509"/>
      <c r="G105" s="509"/>
      <c r="H105" s="509"/>
      <c r="I105" s="492">
        <f>+D105</f>
        <v>0</v>
      </c>
      <c r="J105" s="407">
        <f t="shared" si="8"/>
        <v>0</v>
      </c>
    </row>
    <row r="106" spans="1:12" ht="12" customHeight="1">
      <c r="A106" s="455">
        <v>2023</v>
      </c>
      <c r="C106" s="406" t="s">
        <v>624</v>
      </c>
      <c r="D106" s="407">
        <f>(H11+H22+H75+H80+H91+H102+H108)*-'T2 NSA'!F40</f>
        <v>0</v>
      </c>
      <c r="E106" s="508"/>
      <c r="F106" s="509"/>
      <c r="G106" s="509"/>
      <c r="H106" s="509"/>
      <c r="I106" s="510"/>
      <c r="J106" s="407">
        <f t="shared" si="8"/>
        <v>0</v>
      </c>
    </row>
    <row r="107" spans="1:12" ht="12" customHeight="1">
      <c r="A107" s="455">
        <v>2024</v>
      </c>
      <c r="C107" s="426" t="s">
        <v>625</v>
      </c>
      <c r="D107" s="407">
        <f>(I11+I22+I75+I80+I91+I102+I108)*-'T2 NSA'!G40</f>
        <v>0</v>
      </c>
      <c r="E107" s="508"/>
      <c r="F107" s="509"/>
      <c r="G107" s="509"/>
      <c r="H107" s="509"/>
      <c r="I107" s="510"/>
      <c r="J107" s="407">
        <f t="shared" si="8"/>
        <v>0</v>
      </c>
    </row>
    <row r="108" spans="1:12" ht="12" customHeight="1">
      <c r="A108" s="455" t="s">
        <v>493</v>
      </c>
      <c r="C108" s="544" t="s">
        <v>629</v>
      </c>
      <c r="D108" s="399">
        <f>SUM(D103:D107)</f>
        <v>-14952.875226534605</v>
      </c>
      <c r="E108" s="443">
        <f>SUM(E103:E107)</f>
        <v>0</v>
      </c>
      <c r="F108" s="443">
        <f t="shared" ref="F108:I108" si="10">SUM(F103:F107)</f>
        <v>0</v>
      </c>
      <c r="G108" s="443">
        <f t="shared" si="10"/>
        <v>-5706.3161037249602</v>
      </c>
      <c r="H108" s="443">
        <f t="shared" si="10"/>
        <v>-9246.5591228096437</v>
      </c>
      <c r="I108" s="443">
        <f t="shared" si="10"/>
        <v>0</v>
      </c>
      <c r="J108" s="399">
        <f>SUM(J103:J107)</f>
        <v>0</v>
      </c>
    </row>
    <row r="109" spans="1:12" ht="12" customHeight="1">
      <c r="A109" s="455">
        <v>2020</v>
      </c>
      <c r="C109" s="398" t="s">
        <v>630</v>
      </c>
      <c r="D109" s="452">
        <f>'T2 NSA'!C46</f>
        <v>41495.455190986162</v>
      </c>
      <c r="E109" s="420"/>
      <c r="F109" s="401"/>
      <c r="G109" s="458">
        <f>D109</f>
        <v>41495.455190986162</v>
      </c>
      <c r="H109" s="402"/>
      <c r="I109" s="476"/>
      <c r="J109" s="404"/>
    </row>
    <row r="110" spans="1:12" ht="12" customHeight="1">
      <c r="A110" s="455">
        <v>2021</v>
      </c>
      <c r="C110" s="406" t="s">
        <v>631</v>
      </c>
      <c r="D110" s="453">
        <f>'T2 NSA'!D46</f>
        <v>41029.454750225465</v>
      </c>
      <c r="E110" s="408"/>
      <c r="F110" s="422"/>
      <c r="G110" s="422"/>
      <c r="H110" s="409">
        <f>D110</f>
        <v>41029.454750225465</v>
      </c>
      <c r="I110" s="478"/>
      <c r="J110" s="412"/>
    </row>
    <row r="111" spans="1:12" ht="12" customHeight="1">
      <c r="A111" s="455">
        <v>2022</v>
      </c>
      <c r="C111" s="406" t="s">
        <v>632</v>
      </c>
      <c r="D111" s="453">
        <f>'T2 NSA'!E46</f>
        <v>0</v>
      </c>
      <c r="E111" s="408"/>
      <c r="F111" s="422"/>
      <c r="G111" s="422"/>
      <c r="H111" s="422"/>
      <c r="I111" s="459">
        <f>D111</f>
        <v>0</v>
      </c>
      <c r="J111" s="412"/>
    </row>
    <row r="112" spans="1:12" ht="12" customHeight="1">
      <c r="A112" s="455">
        <v>2023</v>
      </c>
      <c r="C112" s="406" t="s">
        <v>634</v>
      </c>
      <c r="D112" s="453">
        <f>'T2 NSA'!F46</f>
        <v>0</v>
      </c>
      <c r="E112" s="408"/>
      <c r="F112" s="422"/>
      <c r="G112" s="422"/>
      <c r="H112" s="422"/>
      <c r="I112" s="511"/>
      <c r="J112" s="407">
        <f>D112</f>
        <v>0</v>
      </c>
    </row>
    <row r="113" spans="1:10" ht="12" customHeight="1">
      <c r="A113" s="455">
        <v>2024</v>
      </c>
      <c r="C113" s="426" t="s">
        <v>635</v>
      </c>
      <c r="D113" s="454">
        <f>'T2 NSA'!G46</f>
        <v>0</v>
      </c>
      <c r="E113" s="428"/>
      <c r="F113" s="429"/>
      <c r="G113" s="429"/>
      <c r="H113" s="429"/>
      <c r="I113" s="479"/>
      <c r="J113" s="427">
        <f>D113</f>
        <v>0</v>
      </c>
    </row>
    <row r="114" spans="1:10" ht="12" customHeight="1">
      <c r="A114" s="455" t="s">
        <v>505</v>
      </c>
      <c r="C114" s="431" t="s">
        <v>639</v>
      </c>
      <c r="D114" s="432">
        <f>D102+SUM(D108:D113)</f>
        <v>50699.343470300264</v>
      </c>
      <c r="E114" s="480">
        <f>E102+SUM(E108:E113)</f>
        <v>-8107.9232333506698</v>
      </c>
      <c r="F114" s="434">
        <f t="shared" ref="F114:J114" si="11">F102+SUM(F108:F113)</f>
        <v>-8764.7680110260899</v>
      </c>
      <c r="G114" s="434">
        <f t="shared" si="11"/>
        <v>35789.139087261203</v>
      </c>
      <c r="H114" s="434">
        <f t="shared" si="11"/>
        <v>31782.895627415819</v>
      </c>
      <c r="I114" s="481">
        <f t="shared" si="11"/>
        <v>0</v>
      </c>
      <c r="J114" s="432">
        <f t="shared" si="11"/>
        <v>0</v>
      </c>
    </row>
    <row r="115" spans="1:10" ht="4.1500000000000004" customHeight="1">
      <c r="A115" s="758"/>
    </row>
    <row r="116" spans="1:10" ht="12" customHeight="1">
      <c r="A116" s="455">
        <v>2017</v>
      </c>
      <c r="C116" s="398" t="s">
        <v>640</v>
      </c>
      <c r="D116" s="475">
        <v>0</v>
      </c>
      <c r="E116" s="486">
        <v>0</v>
      </c>
      <c r="F116" s="487">
        <v>0</v>
      </c>
      <c r="G116" s="487">
        <v>0</v>
      </c>
      <c r="H116" s="487">
        <v>0</v>
      </c>
      <c r="I116" s="488">
        <v>0</v>
      </c>
      <c r="J116" s="399">
        <f t="shared" ref="J116:J124" si="12">D116-SUM(E116:I116)</f>
        <v>0</v>
      </c>
    </row>
    <row r="117" spans="1:10" ht="12" customHeight="1">
      <c r="A117" s="455">
        <v>2018</v>
      </c>
      <c r="C117" s="406" t="s">
        <v>641</v>
      </c>
      <c r="D117" s="477">
        <v>0</v>
      </c>
      <c r="E117" s="490">
        <f>+D117</f>
        <v>0</v>
      </c>
      <c r="F117" s="491">
        <v>0</v>
      </c>
      <c r="G117" s="491">
        <v>0</v>
      </c>
      <c r="H117" s="491">
        <v>0</v>
      </c>
      <c r="I117" s="492">
        <v>0</v>
      </c>
      <c r="J117" s="407">
        <f t="shared" si="12"/>
        <v>0</v>
      </c>
    </row>
    <row r="118" spans="1:10" ht="12" customHeight="1">
      <c r="A118" s="455">
        <v>2019</v>
      </c>
      <c r="C118" s="406" t="s">
        <v>642</v>
      </c>
      <c r="D118" s="477"/>
      <c r="E118" s="490">
        <v>0</v>
      </c>
      <c r="F118" s="491">
        <f>D118</f>
        <v>0</v>
      </c>
      <c r="G118" s="491">
        <v>0</v>
      </c>
      <c r="H118" s="491">
        <v>0</v>
      </c>
      <c r="I118" s="492">
        <v>0</v>
      </c>
      <c r="J118" s="407">
        <f t="shared" si="12"/>
        <v>0</v>
      </c>
    </row>
    <row r="119" spans="1:10" ht="12" customHeight="1">
      <c r="A119" s="455" t="s">
        <v>493</v>
      </c>
      <c r="C119" s="413" t="s">
        <v>643</v>
      </c>
      <c r="D119" s="414">
        <f>SUM(D116:D118)</f>
        <v>0</v>
      </c>
      <c r="E119" s="414">
        <f t="shared" ref="E119:J119" si="13">SUM(E116:E118)</f>
        <v>0</v>
      </c>
      <c r="F119" s="414">
        <f t="shared" si="13"/>
        <v>0</v>
      </c>
      <c r="G119" s="414">
        <f t="shared" si="13"/>
        <v>0</v>
      </c>
      <c r="H119" s="414">
        <f t="shared" si="13"/>
        <v>0</v>
      </c>
      <c r="I119" s="414">
        <f t="shared" si="13"/>
        <v>0</v>
      </c>
      <c r="J119" s="414">
        <f t="shared" si="13"/>
        <v>0</v>
      </c>
    </row>
    <row r="120" spans="1:10" ht="12" customHeight="1">
      <c r="A120" s="455">
        <v>2020</v>
      </c>
      <c r="C120" s="398" t="s">
        <v>644</v>
      </c>
      <c r="D120" s="452">
        <f>'T2 NSA'!C69</f>
        <v>0</v>
      </c>
      <c r="E120" s="486">
        <f>D120</f>
        <v>0</v>
      </c>
      <c r="F120" s="487">
        <v>0</v>
      </c>
      <c r="G120" s="487">
        <v>0</v>
      </c>
      <c r="H120" s="487">
        <v>0</v>
      </c>
      <c r="I120" s="488">
        <v>0</v>
      </c>
      <c r="J120" s="399">
        <f t="shared" si="12"/>
        <v>0</v>
      </c>
    </row>
    <row r="121" spans="1:10" ht="12" customHeight="1">
      <c r="A121" s="455">
        <v>2021</v>
      </c>
      <c r="C121" s="406" t="s">
        <v>645</v>
      </c>
      <c r="D121" s="453">
        <f>'T2 NSA'!D69</f>
        <v>0</v>
      </c>
      <c r="E121" s="508"/>
      <c r="F121" s="491">
        <v>0</v>
      </c>
      <c r="G121" s="491">
        <v>0</v>
      </c>
      <c r="H121" s="491">
        <f>D121</f>
        <v>0</v>
      </c>
      <c r="I121" s="492">
        <v>0</v>
      </c>
      <c r="J121" s="407">
        <f t="shared" si="12"/>
        <v>0</v>
      </c>
    </row>
    <row r="122" spans="1:10" ht="12" customHeight="1">
      <c r="A122" s="455">
        <v>2022</v>
      </c>
      <c r="C122" s="406" t="s">
        <v>646</v>
      </c>
      <c r="D122" s="453">
        <f>'T2 NSA'!E69</f>
        <v>0</v>
      </c>
      <c r="E122" s="508"/>
      <c r="F122" s="509"/>
      <c r="G122" s="545">
        <v>0</v>
      </c>
      <c r="H122" s="545">
        <v>0</v>
      </c>
      <c r="I122" s="546">
        <f>D122</f>
        <v>0</v>
      </c>
      <c r="J122" s="407">
        <f t="shared" si="12"/>
        <v>0</v>
      </c>
    </row>
    <row r="123" spans="1:10" ht="12" customHeight="1">
      <c r="A123" s="455">
        <v>2023</v>
      </c>
      <c r="C123" s="406" t="s">
        <v>648</v>
      </c>
      <c r="D123" s="453">
        <f>'T2 NSA'!F69</f>
        <v>0</v>
      </c>
      <c r="E123" s="508"/>
      <c r="F123" s="509"/>
      <c r="G123" s="509"/>
      <c r="H123" s="491">
        <v>0</v>
      </c>
      <c r="I123" s="492">
        <v>0</v>
      </c>
      <c r="J123" s="407">
        <f t="shared" si="12"/>
        <v>0</v>
      </c>
    </row>
    <row r="124" spans="1:10" ht="12" customHeight="1">
      <c r="A124" s="455">
        <v>2024</v>
      </c>
      <c r="C124" s="426" t="s">
        <v>649</v>
      </c>
      <c r="D124" s="454">
        <f>'T2 NSA'!G69</f>
        <v>0</v>
      </c>
      <c r="E124" s="513"/>
      <c r="F124" s="514"/>
      <c r="G124" s="514"/>
      <c r="H124" s="514"/>
      <c r="I124" s="515">
        <v>0</v>
      </c>
      <c r="J124" s="427">
        <f t="shared" si="12"/>
        <v>0</v>
      </c>
    </row>
    <row r="125" spans="1:10" ht="12" customHeight="1">
      <c r="A125" s="455" t="s">
        <v>505</v>
      </c>
      <c r="C125" s="431" t="s">
        <v>653</v>
      </c>
      <c r="D125" s="432">
        <f>SUM(D119:D124)</f>
        <v>0</v>
      </c>
      <c r="E125" s="480">
        <f t="shared" ref="E125:J125" si="14">SUM(E119:E124)</f>
        <v>0</v>
      </c>
      <c r="F125" s="434">
        <f t="shared" si="14"/>
        <v>0</v>
      </c>
      <c r="G125" s="434">
        <f t="shared" si="14"/>
        <v>0</v>
      </c>
      <c r="H125" s="434">
        <f t="shared" si="14"/>
        <v>0</v>
      </c>
      <c r="I125" s="481">
        <f t="shared" si="14"/>
        <v>0</v>
      </c>
      <c r="J125" s="432">
        <f t="shared" si="14"/>
        <v>0</v>
      </c>
    </row>
    <row r="126" spans="1:10" ht="4.1500000000000004" customHeight="1">
      <c r="A126" s="758"/>
    </row>
    <row r="127" spans="1:10" ht="12" customHeight="1">
      <c r="A127" s="455">
        <v>2017</v>
      </c>
      <c r="C127" s="398" t="s">
        <v>654</v>
      </c>
      <c r="D127" s="475">
        <v>0</v>
      </c>
      <c r="E127" s="486">
        <v>0</v>
      </c>
      <c r="F127" s="487">
        <v>0</v>
      </c>
      <c r="G127" s="487">
        <v>0</v>
      </c>
      <c r="H127" s="487">
        <v>0</v>
      </c>
      <c r="I127" s="488">
        <v>0</v>
      </c>
      <c r="J127" s="399">
        <f t="shared" ref="J127:J129" si="15">D127-SUM(E127:I127)</f>
        <v>0</v>
      </c>
    </row>
    <row r="128" spans="1:10" ht="12" customHeight="1">
      <c r="A128" s="455">
        <v>2018</v>
      </c>
      <c r="C128" s="406" t="s">
        <v>655</v>
      </c>
      <c r="D128" s="477">
        <v>0</v>
      </c>
      <c r="E128" s="490">
        <v>0</v>
      </c>
      <c r="F128" s="491">
        <v>0</v>
      </c>
      <c r="G128" s="491">
        <v>0</v>
      </c>
      <c r="H128" s="491">
        <v>0</v>
      </c>
      <c r="I128" s="492">
        <v>0</v>
      </c>
      <c r="J128" s="407">
        <f t="shared" si="15"/>
        <v>0</v>
      </c>
    </row>
    <row r="129" spans="1:10" ht="12" customHeight="1">
      <c r="A129" s="455">
        <v>2019</v>
      </c>
      <c r="C129" s="406" t="s">
        <v>656</v>
      </c>
      <c r="D129" s="477"/>
      <c r="E129" s="490">
        <v>0</v>
      </c>
      <c r="F129" s="491">
        <v>0</v>
      </c>
      <c r="G129" s="491">
        <v>0</v>
      </c>
      <c r="H129" s="491">
        <v>0</v>
      </c>
      <c r="I129" s="492">
        <v>0</v>
      </c>
      <c r="J129" s="407">
        <f t="shared" si="15"/>
        <v>0</v>
      </c>
    </row>
    <row r="130" spans="1:10" ht="12" customHeight="1">
      <c r="A130" s="455" t="s">
        <v>493</v>
      </c>
      <c r="C130" s="413" t="s">
        <v>730</v>
      </c>
      <c r="D130" s="414">
        <f>SUM(D127:D129)</f>
        <v>0</v>
      </c>
      <c r="E130" s="414">
        <f t="shared" ref="E130:J130" si="16">SUM(E127:E129)</f>
        <v>0</v>
      </c>
      <c r="F130" s="414">
        <f t="shared" si="16"/>
        <v>0</v>
      </c>
      <c r="G130" s="414">
        <f t="shared" si="16"/>
        <v>0</v>
      </c>
      <c r="H130" s="414">
        <f t="shared" si="16"/>
        <v>0</v>
      </c>
      <c r="I130" s="414">
        <f t="shared" si="16"/>
        <v>0</v>
      </c>
      <c r="J130" s="414">
        <f t="shared" si="16"/>
        <v>0</v>
      </c>
    </row>
    <row r="131" spans="1:10" s="516" customFormat="1">
      <c r="A131" s="455">
        <v>2020</v>
      </c>
      <c r="B131" s="386"/>
      <c r="C131" s="398" t="s">
        <v>658</v>
      </c>
      <c r="D131" s="452">
        <f>'T2 NSA'!C70</f>
        <v>0</v>
      </c>
      <c r="E131" s="486">
        <v>0</v>
      </c>
      <c r="F131" s="487">
        <v>0</v>
      </c>
      <c r="G131" s="487">
        <v>0</v>
      </c>
      <c r="H131" s="487">
        <v>0</v>
      </c>
      <c r="I131" s="488">
        <v>0</v>
      </c>
      <c r="J131" s="399">
        <f t="shared" ref="J131:J135" si="17">D131-SUM(E131:I131)</f>
        <v>0</v>
      </c>
    </row>
    <row r="132" spans="1:10" ht="12" customHeight="1">
      <c r="A132" s="455">
        <v>2021</v>
      </c>
      <c r="C132" s="406" t="s">
        <v>659</v>
      </c>
      <c r="D132" s="453">
        <f>'T2 NSA'!D70</f>
        <v>0</v>
      </c>
      <c r="E132" s="508"/>
      <c r="F132" s="491">
        <v>0</v>
      </c>
      <c r="G132" s="491">
        <v>0</v>
      </c>
      <c r="H132" s="491">
        <v>0</v>
      </c>
      <c r="I132" s="492">
        <v>0</v>
      </c>
      <c r="J132" s="407">
        <f t="shared" si="17"/>
        <v>0</v>
      </c>
    </row>
    <row r="133" spans="1:10" ht="12" customHeight="1">
      <c r="A133" s="455">
        <v>2022</v>
      </c>
      <c r="C133" s="406" t="s">
        <v>660</v>
      </c>
      <c r="D133" s="453">
        <f>'T2 NSA'!E70</f>
        <v>0</v>
      </c>
      <c r="E133" s="508"/>
      <c r="F133" s="509"/>
      <c r="G133" s="545">
        <v>0</v>
      </c>
      <c r="H133" s="545">
        <v>0</v>
      </c>
      <c r="I133" s="546">
        <v>0</v>
      </c>
      <c r="J133" s="407">
        <f t="shared" si="17"/>
        <v>0</v>
      </c>
    </row>
    <row r="134" spans="1:10" ht="12" customHeight="1">
      <c r="A134" s="455">
        <v>2023</v>
      </c>
      <c r="C134" s="406" t="s">
        <v>662</v>
      </c>
      <c r="D134" s="453">
        <f>'T2 NSA'!F70</f>
        <v>0</v>
      </c>
      <c r="E134" s="508"/>
      <c r="F134" s="509"/>
      <c r="G134" s="509"/>
      <c r="H134" s="491">
        <v>0</v>
      </c>
      <c r="I134" s="492">
        <v>0</v>
      </c>
      <c r="J134" s="407">
        <f t="shared" si="17"/>
        <v>0</v>
      </c>
    </row>
    <row r="135" spans="1:10" ht="12" customHeight="1">
      <c r="A135" s="455">
        <v>2024</v>
      </c>
      <c r="C135" s="426" t="s">
        <v>663</v>
      </c>
      <c r="D135" s="454">
        <f>'T2 NSA'!G70</f>
        <v>0</v>
      </c>
      <c r="E135" s="513"/>
      <c r="F135" s="514"/>
      <c r="G135" s="514"/>
      <c r="H135" s="514"/>
      <c r="I135" s="515">
        <v>0</v>
      </c>
      <c r="J135" s="427">
        <f t="shared" si="17"/>
        <v>0</v>
      </c>
    </row>
    <row r="136" spans="1:10" ht="12" customHeight="1">
      <c r="A136" s="455" t="s">
        <v>505</v>
      </c>
      <c r="C136" s="431" t="s">
        <v>667</v>
      </c>
      <c r="D136" s="432">
        <f>SUM(D130:D135)</f>
        <v>0</v>
      </c>
      <c r="E136" s="480">
        <f t="shared" ref="E136:J136" si="18">SUM(E130:E135)</f>
        <v>0</v>
      </c>
      <c r="F136" s="434">
        <f t="shared" si="18"/>
        <v>0</v>
      </c>
      <c r="G136" s="434">
        <f t="shared" si="18"/>
        <v>0</v>
      </c>
      <c r="H136" s="434">
        <f t="shared" si="18"/>
        <v>0</v>
      </c>
      <c r="I136" s="481">
        <f t="shared" si="18"/>
        <v>0</v>
      </c>
      <c r="J136" s="432">
        <f t="shared" si="18"/>
        <v>0</v>
      </c>
    </row>
    <row r="137" spans="1:10" ht="4.1500000000000004" customHeight="1">
      <c r="A137" s="758"/>
    </row>
    <row r="138" spans="1:10" ht="12" customHeight="1">
      <c r="A138" s="455">
        <v>2017</v>
      </c>
      <c r="C138" s="398" t="s">
        <v>668</v>
      </c>
      <c r="D138" s="399">
        <v>0</v>
      </c>
      <c r="E138" s="486">
        <v>0</v>
      </c>
      <c r="F138" s="487">
        <v>0</v>
      </c>
      <c r="G138" s="487">
        <v>0</v>
      </c>
      <c r="H138" s="487">
        <v>0</v>
      </c>
      <c r="I138" s="488">
        <v>0</v>
      </c>
      <c r="J138" s="399">
        <f t="shared" ref="J138:J140" si="19">D138-SUM(E138:I138)</f>
        <v>0</v>
      </c>
    </row>
    <row r="139" spans="1:10" ht="12" customHeight="1">
      <c r="A139" s="455">
        <v>2018</v>
      </c>
      <c r="C139" s="406" t="s">
        <v>669</v>
      </c>
      <c r="D139" s="518">
        <v>0</v>
      </c>
      <c r="E139" s="490">
        <v>0</v>
      </c>
      <c r="F139" s="491">
        <v>0</v>
      </c>
      <c r="G139" s="491">
        <v>0</v>
      </c>
      <c r="H139" s="491">
        <v>0</v>
      </c>
      <c r="I139" s="492">
        <v>0</v>
      </c>
      <c r="J139" s="407">
        <f t="shared" si="19"/>
        <v>0</v>
      </c>
    </row>
    <row r="140" spans="1:10" ht="12" customHeight="1">
      <c r="A140" s="455">
        <v>2019</v>
      </c>
      <c r="C140" s="406" t="s">
        <v>670</v>
      </c>
      <c r="D140" s="407"/>
      <c r="E140" s="490">
        <v>0</v>
      </c>
      <c r="F140" s="491">
        <v>0</v>
      </c>
      <c r="G140" s="491">
        <v>0</v>
      </c>
      <c r="H140" s="491">
        <v>0</v>
      </c>
      <c r="I140" s="492">
        <v>0</v>
      </c>
      <c r="J140" s="407">
        <f t="shared" si="19"/>
        <v>0</v>
      </c>
    </row>
    <row r="141" spans="1:10" ht="12" customHeight="1">
      <c r="A141" s="455" t="s">
        <v>493</v>
      </c>
      <c r="C141" s="413" t="s">
        <v>671</v>
      </c>
      <c r="D141" s="414">
        <f>SUM(D138:D140)</f>
        <v>0</v>
      </c>
      <c r="E141" s="414">
        <f t="shared" ref="E141:J141" si="20">SUM(E138:E140)</f>
        <v>0</v>
      </c>
      <c r="F141" s="414">
        <f t="shared" si="20"/>
        <v>0</v>
      </c>
      <c r="G141" s="414">
        <f t="shared" si="20"/>
        <v>0</v>
      </c>
      <c r="H141" s="414">
        <f t="shared" si="20"/>
        <v>0</v>
      </c>
      <c r="I141" s="414">
        <f t="shared" si="20"/>
        <v>0</v>
      </c>
      <c r="J141" s="414">
        <f t="shared" si="20"/>
        <v>0</v>
      </c>
    </row>
    <row r="142" spans="1:10" s="516" customFormat="1">
      <c r="A142" s="455">
        <v>2020</v>
      </c>
      <c r="B142" s="386"/>
      <c r="C142" s="398" t="s">
        <v>672</v>
      </c>
      <c r="D142" s="452">
        <f>'T2 NSA'!C71</f>
        <v>0</v>
      </c>
      <c r="E142" s="486">
        <f>+D142</f>
        <v>0</v>
      </c>
      <c r="F142" s="487">
        <v>0</v>
      </c>
      <c r="G142" s="487">
        <v>0</v>
      </c>
      <c r="H142" s="507"/>
      <c r="I142" s="519"/>
      <c r="J142" s="404"/>
    </row>
    <row r="143" spans="1:10" ht="12" customHeight="1">
      <c r="A143" s="455">
        <v>2021</v>
      </c>
      <c r="C143" s="406" t="s">
        <v>673</v>
      </c>
      <c r="D143" s="453">
        <f>'T2 NSA'!D71</f>
        <v>0</v>
      </c>
      <c r="E143" s="508"/>
      <c r="F143" s="491">
        <v>0</v>
      </c>
      <c r="G143" s="491">
        <v>0</v>
      </c>
      <c r="H143" s="520">
        <f>D143</f>
        <v>0</v>
      </c>
      <c r="I143" s="521"/>
      <c r="J143" s="412"/>
    </row>
    <row r="144" spans="1:10" ht="12" customHeight="1">
      <c r="A144" s="455">
        <v>2022</v>
      </c>
      <c r="C144" s="406" t="s">
        <v>674</v>
      </c>
      <c r="D144" s="453">
        <f>'T2 NSA'!E71</f>
        <v>0</v>
      </c>
      <c r="E144" s="508"/>
      <c r="F144" s="509"/>
      <c r="G144" s="545">
        <v>0</v>
      </c>
      <c r="H144" s="545">
        <v>0</v>
      </c>
      <c r="I144" s="545">
        <f>D144</f>
        <v>0</v>
      </c>
      <c r="J144" s="412"/>
    </row>
    <row r="145" spans="1:10" ht="12" customHeight="1">
      <c r="A145" s="455">
        <v>2023</v>
      </c>
      <c r="C145" s="406" t="s">
        <v>676</v>
      </c>
      <c r="D145" s="453">
        <f>'T2 NSA'!F71</f>
        <v>0</v>
      </c>
      <c r="E145" s="508"/>
      <c r="F145" s="509"/>
      <c r="G145" s="509"/>
      <c r="H145" s="491">
        <v>0</v>
      </c>
      <c r="I145" s="491">
        <v>0</v>
      </c>
      <c r="J145" s="407">
        <f>D145</f>
        <v>0</v>
      </c>
    </row>
    <row r="146" spans="1:10" ht="12" customHeight="1">
      <c r="A146" s="455">
        <v>2024</v>
      </c>
      <c r="C146" s="426" t="s">
        <v>677</v>
      </c>
      <c r="D146" s="454">
        <f>'T2 NSA'!G71</f>
        <v>0</v>
      </c>
      <c r="E146" s="513"/>
      <c r="F146" s="514"/>
      <c r="G146" s="514"/>
      <c r="H146" s="514"/>
      <c r="I146" s="522">
        <v>0</v>
      </c>
      <c r="J146" s="427">
        <f>D146</f>
        <v>0</v>
      </c>
    </row>
    <row r="147" spans="1:10" ht="12" customHeight="1">
      <c r="A147" s="455" t="s">
        <v>505</v>
      </c>
      <c r="C147" s="431" t="s">
        <v>681</v>
      </c>
      <c r="D147" s="432">
        <f>SUM(D141:D146)</f>
        <v>0</v>
      </c>
      <c r="E147" s="480">
        <f t="shared" ref="E147:J147" si="21">SUM(E141:E146)</f>
        <v>0</v>
      </c>
      <c r="F147" s="434">
        <f t="shared" si="21"/>
        <v>0</v>
      </c>
      <c r="G147" s="434">
        <f t="shared" si="21"/>
        <v>0</v>
      </c>
      <c r="H147" s="434">
        <f t="shared" si="21"/>
        <v>0</v>
      </c>
      <c r="I147" s="481">
        <f t="shared" si="21"/>
        <v>0</v>
      </c>
      <c r="J147" s="432">
        <f t="shared" si="21"/>
        <v>0</v>
      </c>
    </row>
    <row r="148" spans="1:10" ht="4.1500000000000004" customHeight="1">
      <c r="A148" s="758"/>
    </row>
    <row r="149" spans="1:10" ht="12" customHeight="1">
      <c r="A149" s="455">
        <v>2017</v>
      </c>
      <c r="C149" s="398" t="s">
        <v>682</v>
      </c>
      <c r="D149" s="404"/>
      <c r="E149" s="456"/>
      <c r="F149" s="402"/>
      <c r="G149" s="402"/>
      <c r="H149" s="402"/>
      <c r="I149" s="476"/>
      <c r="J149" s="404"/>
    </row>
    <row r="150" spans="1:10" ht="12" customHeight="1">
      <c r="A150" s="455">
        <v>2018</v>
      </c>
      <c r="C150" s="406" t="s">
        <v>683</v>
      </c>
      <c r="D150" s="412"/>
      <c r="E150" s="457"/>
      <c r="F150" s="410"/>
      <c r="G150" s="410"/>
      <c r="H150" s="410"/>
      <c r="I150" s="478"/>
      <c r="J150" s="412"/>
    </row>
    <row r="151" spans="1:10" ht="12" customHeight="1">
      <c r="A151" s="455">
        <v>2019</v>
      </c>
      <c r="C151" s="406" t="s">
        <v>684</v>
      </c>
      <c r="D151" s="412"/>
      <c r="E151" s="457"/>
      <c r="F151" s="410"/>
      <c r="G151" s="410"/>
      <c r="H151" s="410"/>
      <c r="I151" s="411"/>
      <c r="J151" s="412"/>
    </row>
    <row r="152" spans="1:10" ht="12" customHeight="1">
      <c r="A152" s="455" t="s">
        <v>493</v>
      </c>
      <c r="C152" s="413" t="s">
        <v>685</v>
      </c>
      <c r="D152" s="419"/>
      <c r="E152" s="419"/>
      <c r="F152" s="419"/>
      <c r="G152" s="419"/>
      <c r="H152" s="419"/>
      <c r="I152" s="419"/>
      <c r="J152" s="419"/>
    </row>
    <row r="153" spans="1:10" s="516" customFormat="1">
      <c r="A153" s="455">
        <v>2020</v>
      </c>
      <c r="B153" s="386"/>
      <c r="C153" s="398" t="s">
        <v>686</v>
      </c>
      <c r="D153" s="465"/>
      <c r="E153" s="456"/>
      <c r="F153" s="402"/>
      <c r="G153" s="402"/>
      <c r="H153" s="402"/>
      <c r="I153" s="476"/>
      <c r="J153" s="404"/>
    </row>
    <row r="154" spans="1:10" ht="12" customHeight="1">
      <c r="A154" s="455">
        <v>2021</v>
      </c>
      <c r="C154" s="406" t="s">
        <v>687</v>
      </c>
      <c r="D154" s="466"/>
      <c r="E154" s="457"/>
      <c r="F154" s="410"/>
      <c r="G154" s="410"/>
      <c r="H154" s="410"/>
      <c r="I154" s="478"/>
      <c r="J154" s="412"/>
    </row>
    <row r="155" spans="1:10" ht="12" customHeight="1">
      <c r="A155" s="455">
        <v>2022</v>
      </c>
      <c r="C155" s="406" t="s">
        <v>688</v>
      </c>
      <c r="D155" s="466"/>
      <c r="E155" s="457"/>
      <c r="F155" s="410"/>
      <c r="G155" s="410"/>
      <c r="H155" s="410"/>
      <c r="I155" s="410"/>
      <c r="J155" s="412"/>
    </row>
    <row r="156" spans="1:10" ht="12" customHeight="1">
      <c r="A156" s="455">
        <v>2023</v>
      </c>
      <c r="C156" s="406" t="s">
        <v>690</v>
      </c>
      <c r="D156" s="466"/>
      <c r="E156" s="457"/>
      <c r="F156" s="410"/>
      <c r="G156" s="410"/>
      <c r="H156" s="410"/>
      <c r="I156" s="410"/>
      <c r="J156" s="412"/>
    </row>
    <row r="157" spans="1:10" ht="12" customHeight="1">
      <c r="A157" s="455">
        <v>2024</v>
      </c>
      <c r="C157" s="426" t="s">
        <v>691</v>
      </c>
      <c r="D157" s="467"/>
      <c r="E157" s="460"/>
      <c r="F157" s="461"/>
      <c r="G157" s="461"/>
      <c r="H157" s="461"/>
      <c r="I157" s="461"/>
      <c r="J157" s="468"/>
    </row>
    <row r="158" spans="1:10" ht="12" customHeight="1">
      <c r="A158" s="455" t="s">
        <v>505</v>
      </c>
      <c r="C158" s="431" t="s">
        <v>695</v>
      </c>
      <c r="D158" s="500"/>
      <c r="E158" s="494"/>
      <c r="F158" s="495"/>
      <c r="G158" s="495"/>
      <c r="H158" s="495"/>
      <c r="I158" s="501"/>
      <c r="J158" s="500"/>
    </row>
    <row r="159" spans="1:10" ht="4.1500000000000004" customHeight="1">
      <c r="A159" s="758"/>
    </row>
    <row r="160" spans="1:10" ht="12" customHeight="1">
      <c r="A160" s="455">
        <v>2020</v>
      </c>
      <c r="C160" s="469" t="s">
        <v>696</v>
      </c>
      <c r="D160" s="448">
        <f>'T2 NSA'!C63</f>
        <v>0</v>
      </c>
      <c r="E160" s="486">
        <v>0</v>
      </c>
      <c r="F160" s="487">
        <v>0</v>
      </c>
      <c r="G160" s="487">
        <v>0</v>
      </c>
      <c r="H160" s="487">
        <v>0</v>
      </c>
      <c r="I160" s="488">
        <v>0</v>
      </c>
      <c r="J160" s="399">
        <f t="shared" ref="J160:J164" si="22">D160-SUM(E160:I160)</f>
        <v>0</v>
      </c>
    </row>
    <row r="161" spans="1:12" ht="12" customHeight="1">
      <c r="A161" s="455">
        <v>2021</v>
      </c>
      <c r="C161" s="470" t="s">
        <v>697</v>
      </c>
      <c r="D161" s="449">
        <f>'T2 NSA'!D63</f>
        <v>0</v>
      </c>
      <c r="E161" s="504"/>
      <c r="F161" s="491">
        <v>0</v>
      </c>
      <c r="G161" s="491">
        <v>0</v>
      </c>
      <c r="H161" s="491">
        <v>0</v>
      </c>
      <c r="I161" s="492">
        <v>0</v>
      </c>
      <c r="J161" s="407">
        <f t="shared" si="22"/>
        <v>0</v>
      </c>
    </row>
    <row r="162" spans="1:12" ht="12" customHeight="1">
      <c r="A162" s="455">
        <v>2022</v>
      </c>
      <c r="C162" s="470" t="s">
        <v>698</v>
      </c>
      <c r="D162" s="449">
        <f>'T2 NSA'!E63</f>
        <v>0</v>
      </c>
      <c r="E162" s="504"/>
      <c r="F162" s="523"/>
      <c r="G162" s="491">
        <v>0</v>
      </c>
      <c r="H162" s="491">
        <v>0</v>
      </c>
      <c r="I162" s="492">
        <v>0</v>
      </c>
      <c r="J162" s="407">
        <f t="shared" si="22"/>
        <v>0</v>
      </c>
    </row>
    <row r="163" spans="1:12" ht="12" customHeight="1">
      <c r="A163" s="455">
        <v>2023</v>
      </c>
      <c r="C163" s="470" t="s">
        <v>700</v>
      </c>
      <c r="D163" s="449">
        <f>'T2 NSA'!F63</f>
        <v>0</v>
      </c>
      <c r="E163" s="504"/>
      <c r="F163" s="523"/>
      <c r="G163" s="523"/>
      <c r="H163" s="491">
        <v>0</v>
      </c>
      <c r="I163" s="492">
        <v>0</v>
      </c>
      <c r="J163" s="407">
        <f t="shared" si="22"/>
        <v>0</v>
      </c>
    </row>
    <row r="164" spans="1:12" ht="12" customHeight="1">
      <c r="A164" s="455">
        <v>2024</v>
      </c>
      <c r="C164" s="471" t="s">
        <v>701</v>
      </c>
      <c r="D164" s="450">
        <f>'T2 NSA'!G63</f>
        <v>0</v>
      </c>
      <c r="E164" s="524"/>
      <c r="F164" s="525"/>
      <c r="G164" s="525"/>
      <c r="H164" s="525"/>
      <c r="I164" s="515">
        <v>0</v>
      </c>
      <c r="J164" s="427">
        <f t="shared" si="22"/>
        <v>0</v>
      </c>
    </row>
    <row r="165" spans="1:12" ht="12" customHeight="1">
      <c r="A165" s="455" t="s">
        <v>505</v>
      </c>
      <c r="C165" s="431" t="s">
        <v>705</v>
      </c>
      <c r="D165" s="432">
        <f>SUM(D160:D164)</f>
        <v>0</v>
      </c>
      <c r="E165" s="480">
        <f t="shared" ref="E165:J165" si="23">SUM(E160:E164)</f>
        <v>0</v>
      </c>
      <c r="F165" s="434">
        <f t="shared" si="23"/>
        <v>0</v>
      </c>
      <c r="G165" s="434">
        <f t="shared" si="23"/>
        <v>0</v>
      </c>
      <c r="H165" s="434">
        <f t="shared" si="23"/>
        <v>0</v>
      </c>
      <c r="I165" s="481">
        <f t="shared" si="23"/>
        <v>0</v>
      </c>
      <c r="J165" s="432">
        <f t="shared" si="23"/>
        <v>0</v>
      </c>
    </row>
    <row r="166" spans="1:12" ht="3" customHeight="1"/>
    <row r="167" spans="1:12" ht="12" customHeight="1">
      <c r="A167" s="455">
        <v>2020</v>
      </c>
      <c r="B167" s="396"/>
      <c r="C167" s="469" t="s">
        <v>706</v>
      </c>
      <c r="D167" s="541"/>
      <c r="E167" s="456"/>
      <c r="F167" s="402"/>
      <c r="G167" s="402"/>
      <c r="H167" s="402"/>
      <c r="I167" s="403"/>
      <c r="J167" s="404"/>
      <c r="L167" s="778"/>
    </row>
    <row r="168" spans="1:12" ht="12" customHeight="1">
      <c r="A168" s="455">
        <v>2021</v>
      </c>
      <c r="B168" s="396"/>
      <c r="C168" s="470" t="s">
        <v>707</v>
      </c>
      <c r="D168" s="542"/>
      <c r="E168" s="457"/>
      <c r="F168" s="410"/>
      <c r="G168" s="410"/>
      <c r="H168" s="410"/>
      <c r="I168" s="411"/>
      <c r="J168" s="412"/>
      <c r="L168" s="778"/>
    </row>
    <row r="169" spans="1:12" ht="12" customHeight="1">
      <c r="A169" s="455">
        <v>2022</v>
      </c>
      <c r="B169" s="396"/>
      <c r="C169" s="470" t="s">
        <v>708</v>
      </c>
      <c r="D169" s="542"/>
      <c r="E169" s="457"/>
      <c r="F169" s="410"/>
      <c r="G169" s="410"/>
      <c r="H169" s="410"/>
      <c r="I169" s="411"/>
      <c r="J169" s="412"/>
      <c r="L169" s="778"/>
    </row>
    <row r="170" spans="1:12" ht="12" customHeight="1">
      <c r="A170" s="455">
        <v>2023</v>
      </c>
      <c r="B170" s="396"/>
      <c r="C170" s="470" t="s">
        <v>710</v>
      </c>
      <c r="D170" s="542"/>
      <c r="E170" s="457"/>
      <c r="F170" s="410"/>
      <c r="G170" s="410"/>
      <c r="H170" s="410"/>
      <c r="I170" s="411"/>
      <c r="J170" s="412"/>
      <c r="L170" s="778"/>
    </row>
    <row r="171" spans="1:12" ht="12" customHeight="1">
      <c r="A171" s="455">
        <v>2024</v>
      </c>
      <c r="B171" s="396"/>
      <c r="C171" s="471" t="s">
        <v>711</v>
      </c>
      <c r="D171" s="543"/>
      <c r="E171" s="460"/>
      <c r="F171" s="461"/>
      <c r="G171" s="461"/>
      <c r="H171" s="461"/>
      <c r="I171" s="779"/>
      <c r="J171" s="468"/>
      <c r="L171" s="778"/>
    </row>
    <row r="172" spans="1:12" ht="12" customHeight="1">
      <c r="A172" s="455" t="s">
        <v>505</v>
      </c>
      <c r="B172" s="396"/>
      <c r="C172" s="431" t="s">
        <v>715</v>
      </c>
      <c r="D172" s="500"/>
      <c r="E172" s="534"/>
      <c r="F172" s="495"/>
      <c r="G172" s="495"/>
      <c r="H172" s="495"/>
      <c r="I172" s="535"/>
      <c r="J172" s="500"/>
      <c r="L172" s="778"/>
    </row>
    <row r="173" spans="1:12" ht="4.1500000000000004" customHeight="1">
      <c r="C173" s="472"/>
      <c r="D173" s="472"/>
      <c r="E173" s="472"/>
      <c r="F173" s="473"/>
      <c r="G173" s="472"/>
      <c r="H173" s="472"/>
      <c r="I173" s="472"/>
      <c r="J173" s="472"/>
    </row>
    <row r="174" spans="1:12" ht="3" customHeight="1"/>
    <row r="175" spans="1:12" ht="12" customHeight="1">
      <c r="B175" s="396"/>
      <c r="C175" s="431" t="s">
        <v>716</v>
      </c>
      <c r="D175" s="432">
        <f t="shared" ref="D175:J175" si="24">D17+D28+D35+D42+D49+D56+D63+D70+D75+D86+D97+D114+D125+D136+D147+D158+D165+D172</f>
        <v>27980.449644235254</v>
      </c>
      <c r="E175" s="432">
        <f t="shared" si="24"/>
        <v>-9560.9232333506698</v>
      </c>
      <c r="F175" s="432">
        <f t="shared" si="24"/>
        <v>-15902.192129381983</v>
      </c>
      <c r="G175" s="432">
        <f t="shared" si="24"/>
        <v>28269.502794880413</v>
      </c>
      <c r="H175" s="432">
        <f t="shared" si="24"/>
        <v>25173.896431913818</v>
      </c>
      <c r="I175" s="432">
        <f t="shared" si="24"/>
        <v>0</v>
      </c>
      <c r="J175" s="432">
        <f t="shared" si="24"/>
        <v>0</v>
      </c>
      <c r="L175" s="405"/>
    </row>
    <row r="176" spans="1:12" ht="3" customHeight="1"/>
    <row r="177" spans="3:10" ht="12" customHeight="1">
      <c r="C177" s="1" t="s">
        <v>717</v>
      </c>
    </row>
    <row r="178" spans="3:10" ht="12" customHeight="1">
      <c r="C178" s="1" t="s">
        <v>718</v>
      </c>
      <c r="D178" s="143"/>
      <c r="E178" s="474"/>
      <c r="F178" s="474"/>
      <c r="G178" s="474"/>
      <c r="H178" s="474"/>
      <c r="I178" s="474"/>
      <c r="J178" s="474"/>
    </row>
  </sheetData>
  <mergeCells count="2">
    <mergeCell ref="C1:J1"/>
    <mergeCell ref="L75:M75"/>
  </mergeCells>
  <pageMargins left="0.7" right="0.7" top="0.75" bottom="0.75" header="0.3" footer="0.3"/>
  <pageSetup paperSize="9" scale="38" orientation="portrait"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pageSetUpPr fitToPage="1"/>
  </sheetPr>
  <dimension ref="A1:AJ180"/>
  <sheetViews>
    <sheetView topLeftCell="B6" zoomScale="90" zoomScaleNormal="90" workbookViewId="0">
      <pane xSplit="17" topLeftCell="S1" activePane="topRight" state="frozen"/>
      <selection activeCell="B6" sqref="B6"/>
      <selection pane="topRight" activeCell="S6" sqref="S6"/>
    </sheetView>
  </sheetViews>
  <sheetFormatPr defaultColWidth="8.85546875" defaultRowHeight="12"/>
  <cols>
    <col min="1" max="1" width="27" style="516" customWidth="1"/>
    <col min="2" max="2" width="32" style="516" customWidth="1"/>
    <col min="3" max="6" width="11.85546875" style="516" customWidth="1"/>
    <col min="7" max="10" width="8.5703125" style="516" customWidth="1"/>
    <col min="11" max="11" width="10.28515625" style="516" bestFit="1" customWidth="1"/>
    <col min="12" max="15" width="8.5703125" style="516" customWidth="1"/>
    <col min="16" max="16" width="9.42578125" style="516" bestFit="1" customWidth="1"/>
    <col min="17" max="17" width="8.5703125" style="516" customWidth="1"/>
    <col min="18" max="18" width="9.85546875" style="516" bestFit="1" customWidth="1"/>
    <col min="19" max="19" width="8.85546875" style="516"/>
    <col min="20" max="20" width="67.5703125" style="516" customWidth="1"/>
    <col min="21" max="16384" width="8.85546875" style="516"/>
  </cols>
  <sheetData>
    <row r="1" spans="1:22" hidden="1">
      <c r="A1" s="1598" t="s">
        <v>738</v>
      </c>
      <c r="B1" s="1598"/>
      <c r="C1" s="1598"/>
      <c r="D1" s="1598"/>
      <c r="E1" s="1598"/>
      <c r="F1" s="1598"/>
      <c r="G1" s="1598"/>
      <c r="H1" s="1598"/>
      <c r="I1" s="1598"/>
      <c r="J1" s="1598"/>
      <c r="K1" s="1598"/>
      <c r="L1" s="1598"/>
      <c r="M1" s="1598"/>
      <c r="N1" s="1598"/>
      <c r="O1" s="1598"/>
      <c r="P1" s="1598"/>
      <c r="Q1" s="1598"/>
      <c r="R1" s="1598"/>
      <c r="S1" s="387"/>
      <c r="T1" s="387"/>
      <c r="U1" s="387"/>
      <c r="V1" s="387"/>
    </row>
    <row r="2" spans="1:22" hidden="1"/>
    <row r="3" spans="1:22" hidden="1">
      <c r="A3" s="389" t="s">
        <v>317</v>
      </c>
      <c r="B3" s="1"/>
      <c r="C3" s="1"/>
      <c r="D3" s="1"/>
    </row>
    <row r="4" spans="1:22" hidden="1"/>
    <row r="5" spans="1:22" hidden="1">
      <c r="A5" s="516" t="s">
        <v>739</v>
      </c>
    </row>
    <row r="6" spans="1:22" ht="26.45" customHeight="1">
      <c r="A6" s="1616" t="s">
        <v>740</v>
      </c>
      <c r="B6" s="1618" t="s">
        <v>741</v>
      </c>
      <c r="C6" s="1625" t="s">
        <v>742</v>
      </c>
      <c r="D6" s="1626"/>
      <c r="E6" s="1627" t="s">
        <v>743</v>
      </c>
      <c r="F6" s="1626"/>
      <c r="G6" s="1628" t="s">
        <v>744</v>
      </c>
      <c r="H6" s="1629" t="s">
        <v>745</v>
      </c>
      <c r="I6" s="1630"/>
      <c r="J6" s="1630"/>
      <c r="K6" s="1630"/>
      <c r="L6" s="1630"/>
      <c r="M6" s="1630"/>
      <c r="N6" s="1630"/>
      <c r="O6" s="1630"/>
      <c r="P6" s="1630"/>
      <c r="Q6" s="1630"/>
      <c r="R6" s="1611"/>
      <c r="T6" s="143"/>
    </row>
    <row r="7" spans="1:22" ht="27.95" customHeight="1">
      <c r="A7" s="1623"/>
      <c r="B7" s="1624"/>
      <c r="C7" s="838" t="s">
        <v>505</v>
      </c>
      <c r="D7" s="839" t="s">
        <v>746</v>
      </c>
      <c r="E7" s="840" t="s">
        <v>505</v>
      </c>
      <c r="F7" s="839" t="s">
        <v>746</v>
      </c>
      <c r="G7" s="1628" t="s">
        <v>747</v>
      </c>
      <c r="H7" s="841">
        <v>2014</v>
      </c>
      <c r="I7" s="842">
        <v>2015</v>
      </c>
      <c r="J7" s="842">
        <v>2016</v>
      </c>
      <c r="K7" s="842">
        <v>2017</v>
      </c>
      <c r="L7" s="842">
        <v>2018</v>
      </c>
      <c r="M7" s="842">
        <v>2019</v>
      </c>
      <c r="N7" s="842">
        <v>2020</v>
      </c>
      <c r="O7" s="842">
        <v>2021</v>
      </c>
      <c r="P7" s="842">
        <v>2022</v>
      </c>
      <c r="Q7" s="842">
        <v>2023</v>
      </c>
      <c r="R7" s="843">
        <v>2024</v>
      </c>
      <c r="T7" s="386"/>
    </row>
    <row r="8" spans="1:22" s="836" customFormat="1" ht="36">
      <c r="A8" s="933" t="s">
        <v>748</v>
      </c>
      <c r="B8" s="934"/>
      <c r="C8" s="935"/>
      <c r="D8" s="936"/>
      <c r="E8" s="935"/>
      <c r="F8" s="936"/>
      <c r="G8" s="937"/>
      <c r="H8" s="938"/>
      <c r="I8" s="939"/>
      <c r="J8" s="939"/>
      <c r="K8" s="939"/>
      <c r="L8" s="939"/>
      <c r="M8" s="940"/>
      <c r="N8" s="940"/>
      <c r="O8" s="940"/>
      <c r="P8" s="940"/>
      <c r="Q8" s="940"/>
      <c r="R8" s="936"/>
    </row>
    <row r="9" spans="1:22" ht="15">
      <c r="A9" s="864" t="s">
        <v>749</v>
      </c>
      <c r="B9" s="865" t="s">
        <v>750</v>
      </c>
      <c r="C9" s="844">
        <v>6555.2032936808082</v>
      </c>
      <c r="D9" s="845"/>
      <c r="E9" s="844">
        <v>6555.2032936808082</v>
      </c>
      <c r="F9" s="845"/>
      <c r="G9" s="846" t="s">
        <v>751</v>
      </c>
      <c r="H9" s="847"/>
      <c r="I9" s="848"/>
      <c r="J9" s="848"/>
      <c r="K9" s="848"/>
      <c r="L9" s="848"/>
      <c r="M9" s="848"/>
      <c r="N9" s="848">
        <v>1457.8215292580621</v>
      </c>
      <c r="O9" s="849">
        <v>1300.6755139929862</v>
      </c>
      <c r="P9" s="849">
        <v>1254.1566389328198</v>
      </c>
      <c r="Q9" s="849">
        <v>1264.5603383070893</v>
      </c>
      <c r="R9" s="866">
        <v>1277.989273189851</v>
      </c>
      <c r="S9"/>
      <c r="T9"/>
      <c r="U9"/>
      <c r="V9"/>
    </row>
    <row r="10" spans="1:22" ht="24">
      <c r="A10" s="864" t="s">
        <v>752</v>
      </c>
      <c r="B10" s="865" t="s">
        <v>753</v>
      </c>
      <c r="C10" s="844">
        <v>-6555.2032936808082</v>
      </c>
      <c r="D10" s="845"/>
      <c r="E10" s="844">
        <v>-6555.2032936808082</v>
      </c>
      <c r="F10" s="845"/>
      <c r="G10" s="846" t="s">
        <v>751</v>
      </c>
      <c r="H10" s="847"/>
      <c r="I10" s="848"/>
      <c r="J10" s="848"/>
      <c r="K10" s="848"/>
      <c r="L10" s="848"/>
      <c r="M10" s="848"/>
      <c r="N10" s="848">
        <v>-1457.8215292580621</v>
      </c>
      <c r="O10" s="849">
        <v>-1300.6755139929862</v>
      </c>
      <c r="P10" s="849">
        <v>-1254.1566389328198</v>
      </c>
      <c r="Q10" s="849">
        <v>-1264.5603383070893</v>
      </c>
      <c r="R10" s="866">
        <v>-1277.989273189851</v>
      </c>
      <c r="S10"/>
      <c r="T10"/>
      <c r="U10"/>
      <c r="V10"/>
    </row>
    <row r="11" spans="1:22" ht="15">
      <c r="A11" s="864"/>
      <c r="B11" s="865"/>
      <c r="C11" s="844"/>
      <c r="D11" s="845"/>
      <c r="E11" s="844"/>
      <c r="F11" s="845"/>
      <c r="G11" s="846"/>
      <c r="H11" s="847"/>
      <c r="I11" s="848"/>
      <c r="J11" s="848"/>
      <c r="K11" s="848"/>
      <c r="L11" s="848"/>
      <c r="M11" s="848"/>
      <c r="N11" s="848"/>
      <c r="O11" s="849"/>
      <c r="P11" s="849"/>
      <c r="Q11" s="849"/>
      <c r="R11" s="866"/>
      <c r="S11"/>
      <c r="T11"/>
      <c r="U11"/>
      <c r="V11"/>
    </row>
    <row r="12" spans="1:22" ht="15">
      <c r="A12" s="864" t="s">
        <v>754</v>
      </c>
      <c r="B12" s="865"/>
      <c r="C12" s="844"/>
      <c r="D12" s="845"/>
      <c r="E12" s="844"/>
      <c r="F12" s="845"/>
      <c r="G12" s="846"/>
      <c r="H12" s="832"/>
      <c r="I12" s="833"/>
      <c r="J12" s="833">
        <f>SUM(J9:J11)</f>
        <v>0</v>
      </c>
      <c r="K12" s="833">
        <f t="shared" ref="K12:R12" si="0">SUM(K9:K11)</f>
        <v>0</v>
      </c>
      <c r="L12" s="833">
        <f t="shared" si="0"/>
        <v>0</v>
      </c>
      <c r="M12" s="833">
        <f t="shared" si="0"/>
        <v>0</v>
      </c>
      <c r="N12" s="833">
        <f t="shared" si="0"/>
        <v>0</v>
      </c>
      <c r="O12" s="834">
        <f t="shared" si="0"/>
        <v>0</v>
      </c>
      <c r="P12" s="834">
        <f t="shared" si="0"/>
        <v>0</v>
      </c>
      <c r="Q12" s="834">
        <f t="shared" si="0"/>
        <v>0</v>
      </c>
      <c r="R12" s="835">
        <f t="shared" si="0"/>
        <v>0</v>
      </c>
      <c r="S12"/>
      <c r="T12"/>
      <c r="U12"/>
      <c r="V12"/>
    </row>
    <row r="13" spans="1:22" ht="15">
      <c r="A13" s="864"/>
      <c r="B13" s="865"/>
      <c r="C13" s="844"/>
      <c r="D13" s="845"/>
      <c r="E13" s="844"/>
      <c r="F13" s="845"/>
      <c r="G13" s="846"/>
      <c r="H13" s="847"/>
      <c r="I13" s="848"/>
      <c r="J13" s="848"/>
      <c r="K13" s="848"/>
      <c r="L13" s="848"/>
      <c r="M13" s="848"/>
      <c r="N13" s="848"/>
      <c r="O13" s="849"/>
      <c r="P13" s="849"/>
      <c r="Q13" s="849"/>
      <c r="R13" s="866"/>
      <c r="S13"/>
      <c r="T13"/>
      <c r="U13"/>
      <c r="V13"/>
    </row>
    <row r="14" spans="1:22" ht="15">
      <c r="A14" s="864"/>
      <c r="B14" s="865"/>
      <c r="C14" s="844"/>
      <c r="D14" s="845"/>
      <c r="E14" s="844"/>
      <c r="F14" s="845"/>
      <c r="G14" s="846"/>
      <c r="H14" s="847"/>
      <c r="I14" s="848"/>
      <c r="J14" s="848"/>
      <c r="K14" s="848"/>
      <c r="L14" s="848"/>
      <c r="M14" s="848"/>
      <c r="N14" s="848"/>
      <c r="O14" s="849"/>
      <c r="P14" s="849"/>
      <c r="Q14" s="849"/>
      <c r="R14" s="866"/>
      <c r="S14"/>
      <c r="T14"/>
      <c r="U14"/>
      <c r="V14"/>
    </row>
    <row r="15" spans="1:22" ht="15">
      <c r="A15" s="867" t="s">
        <v>755</v>
      </c>
      <c r="B15" s="865"/>
      <c r="C15" s="844"/>
      <c r="D15" s="845"/>
      <c r="E15" s="844"/>
      <c r="F15" s="845"/>
      <c r="G15" s="846"/>
      <c r="H15" s="847"/>
      <c r="I15" s="848"/>
      <c r="J15" s="848"/>
      <c r="K15" s="848"/>
      <c r="L15" s="848"/>
      <c r="M15" s="848"/>
      <c r="N15" s="848"/>
      <c r="O15" s="849"/>
      <c r="P15" s="849"/>
      <c r="Q15" s="849"/>
      <c r="R15" s="866"/>
      <c r="S15"/>
      <c r="T15" s="516" t="s">
        <v>756</v>
      </c>
      <c r="U15"/>
      <c r="V15"/>
    </row>
    <row r="16" spans="1:22" ht="24">
      <c r="A16" s="864" t="s">
        <v>757</v>
      </c>
      <c r="B16" s="865" t="s">
        <v>758</v>
      </c>
      <c r="C16" s="844">
        <v>88447.353000000003</v>
      </c>
      <c r="D16" s="845"/>
      <c r="E16" s="844">
        <v>43047.660619999995</v>
      </c>
      <c r="F16" s="845"/>
      <c r="G16" s="846" t="s">
        <v>759</v>
      </c>
      <c r="H16" s="847">
        <v>0</v>
      </c>
      <c r="I16" s="848">
        <v>0</v>
      </c>
      <c r="J16" s="848">
        <v>13286.139320826498</v>
      </c>
      <c r="K16" s="848">
        <v>14813.53476</v>
      </c>
      <c r="L16" s="848">
        <v>0</v>
      </c>
      <c r="M16" s="941">
        <v>9068.2026600000008</v>
      </c>
      <c r="N16" s="848">
        <v>0</v>
      </c>
      <c r="O16" s="848">
        <v>0</v>
      </c>
      <c r="P16" s="941">
        <v>1667.8756100000001</v>
      </c>
      <c r="Q16" s="849">
        <v>0</v>
      </c>
      <c r="R16" s="866">
        <v>0</v>
      </c>
      <c r="S16"/>
      <c r="T16"/>
      <c r="U16"/>
      <c r="V16"/>
    </row>
    <row r="17" spans="1:23" ht="24">
      <c r="A17" s="864" t="s">
        <v>760</v>
      </c>
      <c r="B17" s="865" t="s">
        <v>761</v>
      </c>
      <c r="C17" s="844">
        <v>4000</v>
      </c>
      <c r="D17" s="845"/>
      <c r="E17" s="844">
        <v>1950.0000046544001</v>
      </c>
      <c r="F17" s="845"/>
      <c r="G17" s="846" t="s">
        <v>759</v>
      </c>
      <c r="H17" s="847">
        <v>0</v>
      </c>
      <c r="I17" s="848">
        <v>0</v>
      </c>
      <c r="J17" s="848">
        <v>569.99695465440004</v>
      </c>
      <c r="K17" s="848">
        <v>0</v>
      </c>
      <c r="L17" s="848">
        <v>0</v>
      </c>
      <c r="M17" s="848">
        <v>1009.375</v>
      </c>
      <c r="N17" s="941">
        <v>0</v>
      </c>
      <c r="O17" s="848">
        <v>707.34058000000005</v>
      </c>
      <c r="P17" s="849">
        <v>0</v>
      </c>
      <c r="Q17" s="849">
        <v>0</v>
      </c>
      <c r="R17" s="866">
        <v>0</v>
      </c>
      <c r="U17"/>
      <c r="V17"/>
    </row>
    <row r="18" spans="1:23" ht="24">
      <c r="A18" s="864" t="s">
        <v>762</v>
      </c>
      <c r="B18" s="865" t="s">
        <v>763</v>
      </c>
      <c r="C18" s="844">
        <v>87304.127999999997</v>
      </c>
      <c r="D18" s="845"/>
      <c r="E18" s="844">
        <v>42560.187314121998</v>
      </c>
      <c r="F18" s="845"/>
      <c r="G18" s="846" t="s">
        <v>759</v>
      </c>
      <c r="H18" s="847">
        <v>0</v>
      </c>
      <c r="I18" s="848">
        <v>0</v>
      </c>
      <c r="J18" s="848">
        <v>10517.830474122022</v>
      </c>
      <c r="K18" s="848">
        <v>0</v>
      </c>
      <c r="L18" s="848">
        <v>0</v>
      </c>
      <c r="M18" s="848">
        <v>23962.413399999998</v>
      </c>
      <c r="N18" s="848">
        <v>0</v>
      </c>
      <c r="O18" s="849">
        <v>0</v>
      </c>
      <c r="P18" s="942">
        <v>0</v>
      </c>
      <c r="Q18" s="942">
        <v>0</v>
      </c>
      <c r="R18" s="866">
        <v>8079.9440000000004</v>
      </c>
      <c r="U18"/>
      <c r="V18"/>
    </row>
    <row r="19" spans="1:23" ht="24">
      <c r="A19" s="864" t="s">
        <v>764</v>
      </c>
      <c r="B19" s="865" t="s">
        <v>765</v>
      </c>
      <c r="C19" s="844">
        <v>16478.5</v>
      </c>
      <c r="D19" s="845"/>
      <c r="E19" s="844">
        <v>8239.25</v>
      </c>
      <c r="F19" s="845"/>
      <c r="G19" s="846" t="s">
        <v>751</v>
      </c>
      <c r="H19" s="847">
        <v>0</v>
      </c>
      <c r="I19" s="848">
        <v>0</v>
      </c>
      <c r="J19" s="848">
        <v>3175.7</v>
      </c>
      <c r="K19" s="848">
        <v>0</v>
      </c>
      <c r="L19" s="848">
        <v>935.48467000000005</v>
      </c>
      <c r="M19" s="848">
        <v>0</v>
      </c>
      <c r="N19" s="848">
        <v>2480.21533</v>
      </c>
      <c r="O19" s="849">
        <v>0</v>
      </c>
      <c r="P19" s="849">
        <v>716.9964774996206</v>
      </c>
      <c r="Q19" s="849">
        <v>0</v>
      </c>
      <c r="R19" s="866">
        <v>0</v>
      </c>
      <c r="U19"/>
      <c r="V19"/>
    </row>
    <row r="20" spans="1:23" ht="24">
      <c r="A20" s="864" t="s">
        <v>766</v>
      </c>
      <c r="B20" s="865" t="s">
        <v>767</v>
      </c>
      <c r="C20" s="844">
        <v>21514.3</v>
      </c>
      <c r="D20" s="845"/>
      <c r="E20" s="844">
        <v>10757.15</v>
      </c>
      <c r="F20" s="845"/>
      <c r="G20" s="846" t="s">
        <v>751</v>
      </c>
      <c r="H20" s="847">
        <v>0</v>
      </c>
      <c r="I20" s="848">
        <v>0</v>
      </c>
      <c r="J20" s="848">
        <v>3851.06</v>
      </c>
      <c r="K20" s="848">
        <v>0</v>
      </c>
      <c r="L20" s="848">
        <v>3192.9183399999997</v>
      </c>
      <c r="M20" s="848">
        <v>0</v>
      </c>
      <c r="N20" s="848">
        <v>3713.17166</v>
      </c>
      <c r="O20" s="849">
        <v>0</v>
      </c>
      <c r="P20" s="849">
        <v>0</v>
      </c>
      <c r="Q20" s="849">
        <v>0</v>
      </c>
      <c r="R20" s="866">
        <v>0</v>
      </c>
      <c r="U20"/>
      <c r="V20"/>
    </row>
    <row r="21" spans="1:23" ht="24">
      <c r="A21" s="864" t="s">
        <v>768</v>
      </c>
      <c r="B21" s="865" t="s">
        <v>769</v>
      </c>
      <c r="C21" s="844">
        <v>11230</v>
      </c>
      <c r="D21" s="845"/>
      <c r="E21" s="844">
        <v>5615</v>
      </c>
      <c r="F21" s="845"/>
      <c r="G21" s="846" t="s">
        <v>751</v>
      </c>
      <c r="H21" s="847">
        <v>0</v>
      </c>
      <c r="I21" s="848">
        <v>0</v>
      </c>
      <c r="J21" s="848">
        <v>1116.32</v>
      </c>
      <c r="K21" s="848">
        <v>0</v>
      </c>
      <c r="L21" s="848">
        <v>2647.3883500000002</v>
      </c>
      <c r="M21" s="848">
        <v>0</v>
      </c>
      <c r="N21" s="848">
        <v>728.29195000000004</v>
      </c>
      <c r="O21" s="849">
        <v>0</v>
      </c>
      <c r="P21" s="849">
        <v>932.09214236359105</v>
      </c>
      <c r="Q21" s="849">
        <v>0</v>
      </c>
      <c r="R21" s="866">
        <v>0</v>
      </c>
      <c r="U21"/>
      <c r="V21"/>
    </row>
    <row r="22" spans="1:23" ht="24">
      <c r="A22" s="864" t="s">
        <v>770</v>
      </c>
      <c r="B22" s="865" t="s">
        <v>771</v>
      </c>
      <c r="C22" s="844">
        <v>3317</v>
      </c>
      <c r="D22" s="845"/>
      <c r="E22" s="844">
        <v>1658.5</v>
      </c>
      <c r="F22" s="845"/>
      <c r="G22" s="846" t="s">
        <v>751</v>
      </c>
      <c r="H22" s="847">
        <v>0</v>
      </c>
      <c r="I22" s="848">
        <v>0</v>
      </c>
      <c r="J22" s="848">
        <v>663.4</v>
      </c>
      <c r="K22" s="848">
        <v>0</v>
      </c>
      <c r="L22" s="848">
        <v>995.1</v>
      </c>
      <c r="M22" s="848">
        <v>0</v>
      </c>
      <c r="N22" s="848">
        <v>0</v>
      </c>
      <c r="O22" s="849">
        <v>0</v>
      </c>
      <c r="P22" s="849">
        <v>0</v>
      </c>
      <c r="Q22" s="849">
        <v>0</v>
      </c>
      <c r="R22" s="866">
        <v>0</v>
      </c>
      <c r="U22"/>
      <c r="V22"/>
    </row>
    <row r="23" spans="1:23">
      <c r="A23" s="864"/>
      <c r="B23" s="865"/>
      <c r="C23" s="844"/>
      <c r="D23" s="845"/>
      <c r="E23" s="844"/>
      <c r="F23" s="845"/>
      <c r="G23" s="846"/>
      <c r="H23" s="847"/>
      <c r="I23" s="848"/>
      <c r="J23" s="848"/>
      <c r="K23" s="848"/>
      <c r="L23" s="848"/>
      <c r="M23" s="848"/>
      <c r="N23" s="848"/>
      <c r="O23" s="849"/>
      <c r="P23" s="849"/>
      <c r="Q23" s="849"/>
      <c r="R23" s="866"/>
    </row>
    <row r="24" spans="1:23">
      <c r="A24" s="864"/>
      <c r="B24" s="865"/>
      <c r="C24" s="844"/>
      <c r="D24" s="845"/>
      <c r="E24" s="844"/>
      <c r="F24" s="845"/>
      <c r="G24" s="846"/>
      <c r="H24" s="847"/>
      <c r="I24" s="848"/>
      <c r="J24" s="848"/>
      <c r="K24" s="848"/>
      <c r="L24" s="848"/>
      <c r="M24" s="848"/>
      <c r="N24" s="848"/>
      <c r="O24" s="849"/>
      <c r="P24" s="849"/>
      <c r="Q24" s="849"/>
      <c r="R24" s="866"/>
    </row>
    <row r="25" spans="1:23" ht="24">
      <c r="A25" s="867" t="s">
        <v>772</v>
      </c>
      <c r="B25" s="865"/>
      <c r="C25" s="844"/>
      <c r="D25" s="845"/>
      <c r="E25" s="844"/>
      <c r="F25" s="845"/>
      <c r="G25" s="846"/>
      <c r="H25" s="847"/>
      <c r="I25" s="848"/>
      <c r="J25" s="848"/>
      <c r="K25" s="848"/>
      <c r="L25" s="848"/>
      <c r="M25" s="848"/>
      <c r="N25" s="848"/>
      <c r="O25" s="849"/>
      <c r="P25" s="849"/>
      <c r="Q25" s="849"/>
      <c r="R25" s="866"/>
      <c r="T25" s="943" t="s">
        <v>773</v>
      </c>
    </row>
    <row r="26" spans="1:23">
      <c r="A26" s="864" t="s">
        <v>774</v>
      </c>
      <c r="B26" s="865"/>
      <c r="C26" s="844">
        <v>56.683071428571438</v>
      </c>
      <c r="D26" s="845"/>
      <c r="E26" s="844">
        <v>39.678150000000002</v>
      </c>
      <c r="F26" s="845"/>
      <c r="G26" s="846" t="s">
        <v>751</v>
      </c>
      <c r="H26" s="847">
        <v>0</v>
      </c>
      <c r="I26" s="848">
        <v>0</v>
      </c>
      <c r="J26" s="848">
        <v>0</v>
      </c>
      <c r="K26" s="848">
        <v>0</v>
      </c>
      <c r="L26" s="848">
        <v>0</v>
      </c>
      <c r="M26" s="848">
        <v>0</v>
      </c>
      <c r="N26" s="848">
        <v>0</v>
      </c>
      <c r="O26" s="849">
        <v>39.678150000000002</v>
      </c>
      <c r="P26" s="849">
        <v>0</v>
      </c>
      <c r="Q26" s="849">
        <v>0</v>
      </c>
      <c r="R26" s="866">
        <v>0</v>
      </c>
    </row>
    <row r="27" spans="1:23">
      <c r="A27" s="864" t="s">
        <v>775</v>
      </c>
      <c r="B27" s="865"/>
      <c r="C27" s="844">
        <v>0.13085714285714287</v>
      </c>
      <c r="D27" s="845"/>
      <c r="E27" s="844">
        <v>9.1600000000000001E-2</v>
      </c>
      <c r="F27" s="845"/>
      <c r="G27" s="846" t="s">
        <v>751</v>
      </c>
      <c r="H27" s="847">
        <v>0</v>
      </c>
      <c r="I27" s="848">
        <v>0</v>
      </c>
      <c r="J27" s="848">
        <v>0</v>
      </c>
      <c r="K27" s="848">
        <v>0</v>
      </c>
      <c r="L27" s="848">
        <v>0</v>
      </c>
      <c r="M27" s="848">
        <v>0</v>
      </c>
      <c r="N27" s="848">
        <v>0</v>
      </c>
      <c r="O27" s="849">
        <v>9.1600000000000001E-2</v>
      </c>
      <c r="P27" s="849">
        <v>0</v>
      </c>
      <c r="Q27" s="849">
        <v>0</v>
      </c>
      <c r="R27" s="866">
        <v>0</v>
      </c>
      <c r="V27" s="868"/>
      <c r="W27" s="868"/>
    </row>
    <row r="28" spans="1:23">
      <c r="A28" s="864" t="s">
        <v>776</v>
      </c>
      <c r="B28" s="865"/>
      <c r="C28" s="844">
        <v>6.6821571428571431</v>
      </c>
      <c r="D28" s="845"/>
      <c r="E28" s="844">
        <v>4.6775099999999998</v>
      </c>
      <c r="F28" s="845"/>
      <c r="G28" s="846" t="s">
        <v>751</v>
      </c>
      <c r="H28" s="847">
        <v>0</v>
      </c>
      <c r="I28" s="848">
        <v>0</v>
      </c>
      <c r="J28" s="848">
        <v>0</v>
      </c>
      <c r="K28" s="848">
        <v>0</v>
      </c>
      <c r="L28" s="848">
        <v>0</v>
      </c>
      <c r="M28" s="848">
        <v>0</v>
      </c>
      <c r="N28" s="848">
        <v>0</v>
      </c>
      <c r="O28" s="849">
        <v>4.6775099999999998</v>
      </c>
      <c r="P28" s="849">
        <v>0</v>
      </c>
      <c r="Q28" s="849">
        <v>0</v>
      </c>
      <c r="R28" s="866">
        <v>0</v>
      </c>
      <c r="V28" s="868"/>
      <c r="W28" s="868"/>
    </row>
    <row r="29" spans="1:23">
      <c r="A29" s="864" t="s">
        <v>777</v>
      </c>
      <c r="B29" s="865"/>
      <c r="C29" s="844">
        <v>122.23867142857144</v>
      </c>
      <c r="D29" s="845"/>
      <c r="E29" s="844">
        <v>85.567070000000001</v>
      </c>
      <c r="F29" s="845"/>
      <c r="G29" s="846" t="s">
        <v>751</v>
      </c>
      <c r="H29" s="847">
        <v>0</v>
      </c>
      <c r="I29" s="848">
        <v>0</v>
      </c>
      <c r="J29" s="848">
        <v>0</v>
      </c>
      <c r="K29" s="848">
        <v>0</v>
      </c>
      <c r="L29" s="848">
        <v>0</v>
      </c>
      <c r="M29" s="848">
        <v>0</v>
      </c>
      <c r="N29" s="848">
        <v>0</v>
      </c>
      <c r="O29" s="849">
        <v>85.567070000000001</v>
      </c>
      <c r="P29" s="849">
        <v>0</v>
      </c>
      <c r="Q29" s="849">
        <v>0</v>
      </c>
      <c r="R29" s="866">
        <v>0</v>
      </c>
      <c r="V29" s="868"/>
      <c r="W29" s="868"/>
    </row>
    <row r="30" spans="1:23">
      <c r="A30" s="864"/>
      <c r="B30" s="865"/>
      <c r="C30" s="844"/>
      <c r="D30" s="845"/>
      <c r="E30" s="844"/>
      <c r="F30" s="845"/>
      <c r="G30" s="846"/>
      <c r="H30" s="847"/>
      <c r="I30" s="848"/>
      <c r="J30" s="848"/>
      <c r="K30" s="848"/>
      <c r="L30" s="848"/>
      <c r="M30" s="848"/>
      <c r="N30" s="849"/>
      <c r="O30" s="849"/>
      <c r="P30" s="849"/>
      <c r="Q30" s="849"/>
      <c r="R30" s="866"/>
      <c r="V30" s="868"/>
      <c r="W30" s="868"/>
    </row>
    <row r="31" spans="1:23">
      <c r="A31" s="864"/>
      <c r="B31" s="865"/>
      <c r="C31" s="844"/>
      <c r="D31" s="845"/>
      <c r="E31" s="844"/>
      <c r="F31" s="845"/>
      <c r="G31" s="846"/>
      <c r="H31" s="847"/>
      <c r="I31" s="848"/>
      <c r="J31" s="848"/>
      <c r="K31" s="848"/>
      <c r="L31" s="848"/>
      <c r="M31" s="849"/>
      <c r="N31" s="848"/>
      <c r="O31" s="849"/>
      <c r="P31" s="849"/>
      <c r="Q31" s="849"/>
      <c r="R31" s="866"/>
      <c r="V31" s="868"/>
      <c r="W31" s="868"/>
    </row>
    <row r="32" spans="1:23" ht="36">
      <c r="A32" s="867" t="s">
        <v>778</v>
      </c>
      <c r="B32" s="865"/>
      <c r="C32" s="844"/>
      <c r="D32" s="845"/>
      <c r="E32" s="844"/>
      <c r="F32" s="845"/>
      <c r="G32" s="846"/>
      <c r="H32" s="847"/>
      <c r="I32" s="848"/>
      <c r="J32" s="848"/>
      <c r="K32" s="848"/>
      <c r="L32" s="848"/>
      <c r="M32" s="848"/>
      <c r="N32" s="848"/>
      <c r="O32" s="849"/>
      <c r="P32" s="849"/>
      <c r="Q32" s="849"/>
      <c r="R32" s="866"/>
      <c r="T32" s="943" t="s">
        <v>779</v>
      </c>
      <c r="V32" s="868"/>
      <c r="W32" s="868"/>
    </row>
    <row r="33" spans="1:23" ht="36">
      <c r="A33" s="864" t="s">
        <v>780</v>
      </c>
      <c r="B33" s="865" t="s">
        <v>781</v>
      </c>
      <c r="C33" s="844">
        <v>1900</v>
      </c>
      <c r="D33" s="845"/>
      <c r="E33" s="844">
        <v>1330</v>
      </c>
      <c r="F33" s="845"/>
      <c r="G33" s="846" t="s">
        <v>751</v>
      </c>
      <c r="H33" s="847">
        <v>0</v>
      </c>
      <c r="I33" s="848">
        <v>0</v>
      </c>
      <c r="J33" s="848">
        <v>0</v>
      </c>
      <c r="K33" s="848">
        <v>0</v>
      </c>
      <c r="L33" s="848">
        <v>0</v>
      </c>
      <c r="M33" s="848">
        <v>0</v>
      </c>
      <c r="N33" s="848">
        <v>429.39393000000007</v>
      </c>
      <c r="O33" s="848">
        <v>757.71559999999999</v>
      </c>
      <c r="P33" s="849">
        <v>0</v>
      </c>
      <c r="Q33" s="848">
        <v>100.23631000000006</v>
      </c>
      <c r="R33" s="866">
        <v>0</v>
      </c>
      <c r="W33" s="868"/>
    </row>
    <row r="34" spans="1:23" ht="24">
      <c r="A34" s="864" t="s">
        <v>782</v>
      </c>
      <c r="B34" s="865" t="s">
        <v>783</v>
      </c>
      <c r="C34" s="844">
        <v>450</v>
      </c>
      <c r="D34" s="845"/>
      <c r="E34" s="844">
        <v>315</v>
      </c>
      <c r="F34" s="845"/>
      <c r="G34" s="846" t="s">
        <v>751</v>
      </c>
      <c r="H34" s="847">
        <v>0</v>
      </c>
      <c r="I34" s="848">
        <v>0</v>
      </c>
      <c r="J34" s="848">
        <v>0</v>
      </c>
      <c r="K34" s="848">
        <v>0</v>
      </c>
      <c r="L34" s="848">
        <v>0</v>
      </c>
      <c r="M34" s="848">
        <v>0</v>
      </c>
      <c r="N34" s="848">
        <v>110.09253</v>
      </c>
      <c r="O34" s="848">
        <v>170.65164000000001</v>
      </c>
      <c r="P34" s="849">
        <v>0</v>
      </c>
      <c r="Q34" s="848">
        <v>32.547499999999999</v>
      </c>
      <c r="R34" s="866">
        <v>0</v>
      </c>
      <c r="U34" s="868"/>
      <c r="V34" s="868"/>
      <c r="W34" s="868"/>
    </row>
    <row r="35" spans="1:23" ht="24">
      <c r="A35" s="864" t="s">
        <v>784</v>
      </c>
      <c r="B35" s="865" t="s">
        <v>785</v>
      </c>
      <c r="C35" s="844">
        <v>430</v>
      </c>
      <c r="D35" s="845"/>
      <c r="E35" s="844">
        <v>301</v>
      </c>
      <c r="F35" s="845"/>
      <c r="G35" s="846" t="s">
        <v>751</v>
      </c>
      <c r="H35" s="847">
        <v>0</v>
      </c>
      <c r="I35" s="848">
        <v>0</v>
      </c>
      <c r="J35" s="848">
        <v>0</v>
      </c>
      <c r="K35" s="848">
        <v>0</v>
      </c>
      <c r="L35" s="848">
        <v>0</v>
      </c>
      <c r="M35" s="848">
        <v>0</v>
      </c>
      <c r="N35" s="848">
        <v>100.48216000000001</v>
      </c>
      <c r="O35" s="848">
        <v>145.51382000000001</v>
      </c>
      <c r="P35" s="849">
        <v>3.5042354499999999</v>
      </c>
      <c r="Q35" s="848">
        <v>45.150003094818558</v>
      </c>
      <c r="R35" s="866">
        <v>0</v>
      </c>
      <c r="U35" s="868"/>
      <c r="V35" s="868"/>
      <c r="W35" s="868"/>
    </row>
    <row r="36" spans="1:23" ht="24">
      <c r="A36" s="864" t="s">
        <v>786</v>
      </c>
      <c r="B36" s="865" t="s">
        <v>787</v>
      </c>
      <c r="C36" s="844">
        <v>1850</v>
      </c>
      <c r="D36" s="845"/>
      <c r="E36" s="844">
        <v>1295</v>
      </c>
      <c r="F36" s="845"/>
      <c r="G36" s="846" t="s">
        <v>751</v>
      </c>
      <c r="H36" s="847">
        <v>0</v>
      </c>
      <c r="I36" s="848">
        <v>0</v>
      </c>
      <c r="J36" s="848">
        <v>0</v>
      </c>
      <c r="K36" s="848">
        <v>0</v>
      </c>
      <c r="L36" s="848">
        <v>0</v>
      </c>
      <c r="M36" s="848">
        <v>0</v>
      </c>
      <c r="N36" s="848">
        <v>453.33405000000005</v>
      </c>
      <c r="O36" s="848">
        <v>693.74050999999997</v>
      </c>
      <c r="P36" s="849">
        <v>0</v>
      </c>
      <c r="Q36" s="848">
        <v>141.63371999999998</v>
      </c>
      <c r="R36" s="866">
        <v>0</v>
      </c>
      <c r="U36" s="868"/>
      <c r="V36" s="868"/>
      <c r="W36" s="868"/>
    </row>
    <row r="37" spans="1:23">
      <c r="A37" s="864" t="s">
        <v>788</v>
      </c>
      <c r="B37" s="865" t="s">
        <v>789</v>
      </c>
      <c r="C37" s="844">
        <v>215</v>
      </c>
      <c r="D37" s="845"/>
      <c r="E37" s="844">
        <v>150.5</v>
      </c>
      <c r="F37" s="845"/>
      <c r="G37" s="846" t="s">
        <v>751</v>
      </c>
      <c r="H37" s="847">
        <v>0</v>
      </c>
      <c r="I37" s="848">
        <v>0</v>
      </c>
      <c r="J37" s="848">
        <v>0</v>
      </c>
      <c r="K37" s="848">
        <v>0</v>
      </c>
      <c r="L37" s="848">
        <v>0</v>
      </c>
      <c r="M37" s="848">
        <v>0</v>
      </c>
      <c r="N37" s="848">
        <v>53.254596999999997</v>
      </c>
      <c r="O37" s="848">
        <v>74.509029999999996</v>
      </c>
      <c r="P37" s="849">
        <v>0</v>
      </c>
      <c r="Q37" s="848">
        <v>22.575004530516804</v>
      </c>
      <c r="R37" s="866">
        <v>0</v>
      </c>
      <c r="U37" s="868"/>
      <c r="V37" s="868"/>
    </row>
    <row r="38" spans="1:23">
      <c r="A38" s="864" t="s">
        <v>790</v>
      </c>
      <c r="B38" s="865" t="s">
        <v>791</v>
      </c>
      <c r="C38" s="844">
        <v>150</v>
      </c>
      <c r="D38" s="845"/>
      <c r="E38" s="844">
        <v>105</v>
      </c>
      <c r="F38" s="845"/>
      <c r="G38" s="846" t="s">
        <v>751</v>
      </c>
      <c r="H38" s="847">
        <v>0</v>
      </c>
      <c r="I38" s="848">
        <v>0</v>
      </c>
      <c r="J38" s="848">
        <v>0</v>
      </c>
      <c r="K38" s="848">
        <v>0</v>
      </c>
      <c r="L38" s="848">
        <v>0</v>
      </c>
      <c r="M38" s="848">
        <v>0</v>
      </c>
      <c r="N38" s="848">
        <v>37.424370000000003</v>
      </c>
      <c r="O38" s="848">
        <v>54.155214999999998</v>
      </c>
      <c r="P38" s="849">
        <v>2.1774850644680554E-2</v>
      </c>
      <c r="Q38" s="848">
        <v>-4.3294317381727447</v>
      </c>
      <c r="R38" s="866">
        <v>0</v>
      </c>
      <c r="U38" s="868"/>
      <c r="V38" s="868"/>
    </row>
    <row r="39" spans="1:23">
      <c r="A39" s="864" t="s">
        <v>792</v>
      </c>
      <c r="B39" s="865" t="s">
        <v>793</v>
      </c>
      <c r="C39" s="844">
        <v>1867.96</v>
      </c>
      <c r="D39" s="845"/>
      <c r="E39" s="844">
        <v>1307.5719999999999</v>
      </c>
      <c r="F39" s="845"/>
      <c r="G39" s="846" t="s">
        <v>751</v>
      </c>
      <c r="H39" s="847">
        <v>0</v>
      </c>
      <c r="I39" s="848">
        <v>0</v>
      </c>
      <c r="J39" s="848">
        <v>0</v>
      </c>
      <c r="K39" s="848">
        <v>0</v>
      </c>
      <c r="L39" s="848">
        <v>0</v>
      </c>
      <c r="M39" s="848">
        <v>0</v>
      </c>
      <c r="N39" s="848">
        <v>422.35883000000001</v>
      </c>
      <c r="O39" s="848">
        <v>672.87009999999998</v>
      </c>
      <c r="P39" s="849">
        <v>0</v>
      </c>
      <c r="Q39" s="848">
        <v>212.34220317684859</v>
      </c>
      <c r="R39" s="866">
        <v>0</v>
      </c>
      <c r="U39" s="868"/>
      <c r="V39" s="868"/>
    </row>
    <row r="40" spans="1:23">
      <c r="A40" s="864" t="s">
        <v>794</v>
      </c>
      <c r="B40" s="865" t="s">
        <v>795</v>
      </c>
      <c r="C40" s="844">
        <v>420</v>
      </c>
      <c r="D40" s="845"/>
      <c r="E40" s="844">
        <v>294</v>
      </c>
      <c r="F40" s="845"/>
      <c r="G40" s="846" t="s">
        <v>751</v>
      </c>
      <c r="H40" s="847">
        <v>0</v>
      </c>
      <c r="I40" s="848">
        <v>0</v>
      </c>
      <c r="J40" s="848">
        <v>0</v>
      </c>
      <c r="K40" s="848">
        <v>0</v>
      </c>
      <c r="L40" s="848">
        <v>0</v>
      </c>
      <c r="M40" s="848">
        <v>0</v>
      </c>
      <c r="N40" s="848">
        <v>104.34747</v>
      </c>
      <c r="O40" s="848">
        <v>160.25253000000001</v>
      </c>
      <c r="P40" s="849">
        <v>0</v>
      </c>
      <c r="Q40" s="848">
        <v>29.400002907357585</v>
      </c>
      <c r="R40" s="866">
        <v>0</v>
      </c>
      <c r="U40" s="868"/>
      <c r="V40" s="868"/>
    </row>
    <row r="41" spans="1:23" ht="24.6" customHeight="1">
      <c r="A41" s="864" t="s">
        <v>796</v>
      </c>
      <c r="B41" s="865" t="s">
        <v>797</v>
      </c>
      <c r="C41" s="844">
        <v>250</v>
      </c>
      <c r="D41" s="845"/>
      <c r="E41" s="844">
        <v>175</v>
      </c>
      <c r="F41" s="845"/>
      <c r="G41" s="846" t="s">
        <v>751</v>
      </c>
      <c r="H41" s="847">
        <v>0</v>
      </c>
      <c r="I41" s="848">
        <v>0</v>
      </c>
      <c r="J41" s="848">
        <v>0</v>
      </c>
      <c r="K41" s="848">
        <v>0</v>
      </c>
      <c r="L41" s="848">
        <v>0</v>
      </c>
      <c r="M41" s="848">
        <v>0</v>
      </c>
      <c r="N41" s="848">
        <v>62.11159</v>
      </c>
      <c r="O41" s="848">
        <v>82.100909999999999</v>
      </c>
      <c r="P41" s="849">
        <v>4.5375043344078003</v>
      </c>
      <c r="Q41" s="848">
        <v>26.249996915592202</v>
      </c>
      <c r="R41" s="866">
        <v>0</v>
      </c>
      <c r="U41" s="868"/>
      <c r="V41" s="868"/>
    </row>
    <row r="42" spans="1:23" ht="24">
      <c r="A42" s="864" t="s">
        <v>798</v>
      </c>
      <c r="B42" s="865" t="s">
        <v>799</v>
      </c>
      <c r="C42" s="844">
        <v>1425</v>
      </c>
      <c r="D42" s="845"/>
      <c r="E42" s="844">
        <v>997.49999999999989</v>
      </c>
      <c r="F42" s="845"/>
      <c r="G42" s="846" t="s">
        <v>751</v>
      </c>
      <c r="H42" s="847">
        <v>0</v>
      </c>
      <c r="I42" s="848">
        <v>0</v>
      </c>
      <c r="J42" s="848">
        <v>0</v>
      </c>
      <c r="K42" s="848">
        <v>0</v>
      </c>
      <c r="L42" s="848">
        <v>0</v>
      </c>
      <c r="M42" s="848">
        <v>0</v>
      </c>
      <c r="N42" s="848">
        <v>619.38460999999995</v>
      </c>
      <c r="O42" s="848">
        <v>274.38641000000001</v>
      </c>
      <c r="P42" s="849">
        <v>0</v>
      </c>
      <c r="Q42" s="848">
        <v>103.72897858112434</v>
      </c>
      <c r="R42" s="866">
        <v>0</v>
      </c>
      <c r="U42" s="868"/>
      <c r="V42" s="868"/>
    </row>
    <row r="43" spans="1:23">
      <c r="A43" s="864"/>
      <c r="B43" s="865"/>
      <c r="C43" s="844"/>
      <c r="D43" s="845"/>
      <c r="E43" s="844"/>
      <c r="F43" s="845"/>
      <c r="G43" s="846"/>
      <c r="H43" s="847"/>
      <c r="I43" s="848"/>
      <c r="J43" s="848"/>
      <c r="K43" s="848"/>
      <c r="L43" s="848"/>
      <c r="M43" s="848"/>
      <c r="N43" s="848"/>
      <c r="O43" s="849"/>
      <c r="P43" s="849"/>
      <c r="Q43" s="849"/>
      <c r="R43" s="866"/>
      <c r="U43" s="868"/>
      <c r="V43" s="868"/>
    </row>
    <row r="44" spans="1:23" ht="14.45" customHeight="1">
      <c r="A44" s="867"/>
      <c r="B44" s="865"/>
      <c r="C44" s="844"/>
      <c r="D44" s="845"/>
      <c r="E44" s="844"/>
      <c r="F44" s="845"/>
      <c r="G44" s="846"/>
      <c r="H44" s="847"/>
      <c r="I44" s="848"/>
      <c r="J44" s="848"/>
      <c r="K44" s="848"/>
      <c r="L44" s="848"/>
      <c r="M44" s="848"/>
      <c r="N44" s="848"/>
      <c r="O44" s="849"/>
      <c r="P44" s="849"/>
      <c r="Q44" s="849"/>
      <c r="R44" s="866"/>
    </row>
    <row r="45" spans="1:23" ht="36.6" customHeight="1">
      <c r="A45" s="867" t="s">
        <v>800</v>
      </c>
      <c r="B45" s="865"/>
      <c r="C45" s="844"/>
      <c r="D45" s="845"/>
      <c r="E45" s="844"/>
      <c r="F45" s="845"/>
      <c r="G45" s="846"/>
      <c r="H45" s="847"/>
      <c r="I45" s="848"/>
      <c r="J45" s="848"/>
      <c r="K45" s="848"/>
      <c r="L45" s="848"/>
      <c r="M45" s="848"/>
      <c r="N45" s="848"/>
      <c r="O45" s="849"/>
      <c r="P45" s="849"/>
      <c r="Q45" s="849"/>
      <c r="R45" s="866"/>
      <c r="T45" s="943" t="s">
        <v>801</v>
      </c>
    </row>
    <row r="46" spans="1:23" ht="24">
      <c r="A46" s="864" t="s">
        <v>802</v>
      </c>
      <c r="B46" s="865" t="s">
        <v>803</v>
      </c>
      <c r="C46" s="844">
        <v>900.00000000000011</v>
      </c>
      <c r="D46" s="845"/>
      <c r="E46" s="844">
        <v>630</v>
      </c>
      <c r="F46" s="845"/>
      <c r="G46" s="846" t="s">
        <v>751</v>
      </c>
      <c r="H46" s="847"/>
      <c r="I46" s="848"/>
      <c r="J46" s="848"/>
      <c r="K46" s="848"/>
      <c r="L46" s="848"/>
      <c r="M46" s="848"/>
      <c r="N46" s="848"/>
      <c r="O46" s="849">
        <v>472.5</v>
      </c>
      <c r="P46" s="849">
        <v>63</v>
      </c>
      <c r="Q46" s="849">
        <v>94.5</v>
      </c>
      <c r="R46" s="866"/>
    </row>
    <row r="47" spans="1:23" ht="24">
      <c r="A47" s="864" t="s">
        <v>804</v>
      </c>
      <c r="B47" s="865" t="s">
        <v>805</v>
      </c>
      <c r="C47" s="844">
        <v>115.00000000000001</v>
      </c>
      <c r="D47" s="845"/>
      <c r="E47" s="844">
        <v>80.5</v>
      </c>
      <c r="F47" s="845"/>
      <c r="G47" s="846" t="s">
        <v>751</v>
      </c>
      <c r="H47" s="847"/>
      <c r="I47" s="848"/>
      <c r="J47" s="848"/>
      <c r="K47" s="848"/>
      <c r="L47" s="848"/>
      <c r="M47" s="848"/>
      <c r="N47" s="848"/>
      <c r="O47" s="849">
        <v>60.375000000000007</v>
      </c>
      <c r="P47" s="849">
        <v>8.0500000000000007</v>
      </c>
      <c r="Q47" s="849">
        <v>12.074999999999999</v>
      </c>
      <c r="R47" s="866"/>
    </row>
    <row r="48" spans="1:23" ht="24">
      <c r="A48" s="864" t="s">
        <v>806</v>
      </c>
      <c r="B48" s="865" t="s">
        <v>807</v>
      </c>
      <c r="C48" s="844">
        <v>3122.4587999999999</v>
      </c>
      <c r="D48" s="845"/>
      <c r="E48" s="844">
        <v>2185.7211600000001</v>
      </c>
      <c r="F48" s="845"/>
      <c r="G48" s="846" t="s">
        <v>751</v>
      </c>
      <c r="H48" s="847"/>
      <c r="I48" s="848"/>
      <c r="J48" s="848"/>
      <c r="K48" s="848"/>
      <c r="L48" s="848"/>
      <c r="M48" s="848"/>
      <c r="N48" s="848"/>
      <c r="O48" s="849">
        <v>1639.29087</v>
      </c>
      <c r="P48" s="849">
        <v>158.89999999999978</v>
      </c>
      <c r="Q48" s="849">
        <v>238.35</v>
      </c>
      <c r="R48" s="866"/>
    </row>
    <row r="49" spans="1:18" ht="24">
      <c r="A49" s="864" t="s">
        <v>808</v>
      </c>
      <c r="B49" s="865" t="s">
        <v>809</v>
      </c>
      <c r="C49" s="844">
        <v>740</v>
      </c>
      <c r="D49" s="845"/>
      <c r="E49" s="844">
        <v>518</v>
      </c>
      <c r="F49" s="845"/>
      <c r="G49" s="846" t="s">
        <v>751</v>
      </c>
      <c r="H49" s="847"/>
      <c r="I49" s="848"/>
      <c r="J49" s="848"/>
      <c r="K49" s="848"/>
      <c r="L49" s="848"/>
      <c r="M49" s="848"/>
      <c r="N49" s="848"/>
      <c r="O49" s="849">
        <v>388.50000000000006</v>
      </c>
      <c r="P49" s="849">
        <v>51.8</v>
      </c>
      <c r="Q49" s="849">
        <v>-147.25432449879793</v>
      </c>
      <c r="R49" s="866"/>
    </row>
    <row r="50" spans="1:18">
      <c r="A50" s="864"/>
      <c r="B50" s="865"/>
      <c r="C50" s="844"/>
      <c r="D50" s="845"/>
      <c r="E50" s="844"/>
      <c r="F50" s="845"/>
      <c r="G50" s="846"/>
      <c r="H50" s="847"/>
      <c r="I50" s="848"/>
      <c r="J50" s="848"/>
      <c r="K50" s="848"/>
      <c r="L50" s="848"/>
      <c r="M50" s="848"/>
      <c r="N50" s="848"/>
      <c r="O50" s="849"/>
      <c r="P50" s="849"/>
      <c r="Q50" s="849"/>
      <c r="R50" s="866"/>
    </row>
    <row r="51" spans="1:18" ht="14.45" customHeight="1">
      <c r="A51" s="864"/>
      <c r="B51" s="865"/>
      <c r="C51" s="844"/>
      <c r="D51" s="845"/>
      <c r="E51" s="844"/>
      <c r="F51" s="845"/>
      <c r="G51" s="846"/>
      <c r="H51" s="847"/>
      <c r="I51" s="848"/>
      <c r="J51" s="848"/>
      <c r="K51" s="848"/>
      <c r="L51" s="848"/>
      <c r="M51" s="848"/>
      <c r="N51" s="848"/>
      <c r="O51" s="849"/>
      <c r="P51" s="849"/>
      <c r="Q51" s="849"/>
      <c r="R51" s="866"/>
    </row>
    <row r="52" spans="1:18">
      <c r="A52" s="867" t="s">
        <v>810</v>
      </c>
      <c r="B52" s="865"/>
      <c r="C52" s="844"/>
      <c r="D52" s="845"/>
      <c r="E52" s="844"/>
      <c r="F52" s="845"/>
      <c r="G52" s="846"/>
      <c r="H52" s="847"/>
      <c r="I52" s="848"/>
      <c r="J52" s="848"/>
      <c r="K52" s="848"/>
      <c r="L52" s="848"/>
      <c r="M52" s="848"/>
      <c r="N52" s="848"/>
      <c r="O52" s="849"/>
      <c r="P52" s="849"/>
      <c r="Q52" s="849"/>
      <c r="R52" s="866"/>
    </row>
    <row r="53" spans="1:18" ht="36">
      <c r="A53" s="864" t="s">
        <v>811</v>
      </c>
      <c r="B53" s="865" t="s">
        <v>812</v>
      </c>
      <c r="C53" s="844">
        <v>253.1525</v>
      </c>
      <c r="D53" s="845"/>
      <c r="E53" s="844">
        <v>177.20675</v>
      </c>
      <c r="F53" s="845"/>
      <c r="G53" s="846" t="s">
        <v>751</v>
      </c>
      <c r="H53" s="847"/>
      <c r="I53" s="848"/>
      <c r="J53" s="848"/>
      <c r="K53" s="848"/>
      <c r="L53" s="848"/>
      <c r="M53" s="848"/>
      <c r="N53" s="848"/>
      <c r="O53" s="849">
        <v>62.0223625</v>
      </c>
      <c r="P53" s="849">
        <v>97.4637125</v>
      </c>
      <c r="Q53" s="849">
        <v>17.720675</v>
      </c>
      <c r="R53" s="866"/>
    </row>
    <row r="54" spans="1:18">
      <c r="A54" s="864"/>
      <c r="B54" s="865"/>
      <c r="C54" s="844">
        <v>260</v>
      </c>
      <c r="D54" s="845"/>
      <c r="E54" s="844">
        <v>260</v>
      </c>
      <c r="F54" s="845"/>
      <c r="G54" s="846"/>
      <c r="H54" s="847"/>
      <c r="I54" s="848"/>
      <c r="J54" s="848"/>
      <c r="K54" s="848"/>
      <c r="L54" s="848"/>
      <c r="M54" s="848"/>
      <c r="N54" s="848">
        <v>39</v>
      </c>
      <c r="O54" s="849"/>
      <c r="P54" s="849">
        <v>110.5</v>
      </c>
      <c r="Q54" s="849">
        <v>110.5</v>
      </c>
      <c r="R54" s="866"/>
    </row>
    <row r="55" spans="1:18">
      <c r="A55" s="864"/>
      <c r="B55" s="865"/>
      <c r="C55" s="844">
        <v>60</v>
      </c>
      <c r="D55" s="845"/>
      <c r="E55" s="844">
        <v>60</v>
      </c>
      <c r="F55" s="845"/>
      <c r="G55" s="846"/>
      <c r="H55" s="847"/>
      <c r="I55" s="848"/>
      <c r="J55" s="848"/>
      <c r="K55" s="848"/>
      <c r="L55" s="848"/>
      <c r="M55" s="848"/>
      <c r="N55" s="848"/>
      <c r="O55" s="849">
        <v>57.758009999999999</v>
      </c>
      <c r="P55" s="849"/>
      <c r="Q55" s="849"/>
      <c r="R55" s="866"/>
    </row>
    <row r="56" spans="1:18" ht="14.45" customHeight="1">
      <c r="A56" s="864"/>
      <c r="B56" s="865"/>
      <c r="C56" s="844"/>
      <c r="D56" s="845"/>
      <c r="E56" s="844"/>
      <c r="F56" s="845"/>
      <c r="G56" s="846"/>
      <c r="H56" s="847"/>
      <c r="I56" s="848"/>
      <c r="J56" s="848"/>
      <c r="K56" s="848"/>
      <c r="L56" s="848"/>
      <c r="M56" s="848"/>
      <c r="N56" s="848"/>
      <c r="O56" s="849"/>
      <c r="P56" s="849"/>
      <c r="Q56" s="849"/>
      <c r="R56" s="866"/>
    </row>
    <row r="57" spans="1:18" ht="14.45" hidden="1" customHeight="1">
      <c r="A57" s="867"/>
      <c r="B57" s="865"/>
      <c r="C57" s="844"/>
      <c r="D57" s="845"/>
      <c r="E57" s="844"/>
      <c r="F57" s="845"/>
      <c r="G57" s="846"/>
      <c r="H57" s="847"/>
      <c r="I57" s="848"/>
      <c r="J57" s="848"/>
      <c r="K57" s="848"/>
      <c r="L57" s="848"/>
      <c r="M57" s="848"/>
      <c r="N57" s="848"/>
      <c r="O57" s="849"/>
      <c r="P57" s="849"/>
      <c r="Q57" s="849"/>
      <c r="R57" s="866"/>
    </row>
    <row r="58" spans="1:18" hidden="1">
      <c r="A58" s="864"/>
      <c r="B58" s="865"/>
      <c r="C58" s="844"/>
      <c r="D58" s="845"/>
      <c r="E58" s="844"/>
      <c r="F58" s="845"/>
      <c r="G58" s="846"/>
      <c r="H58" s="847"/>
      <c r="I58" s="848"/>
      <c r="J58" s="848"/>
      <c r="K58" s="848"/>
      <c r="L58" s="848"/>
      <c r="M58" s="848"/>
      <c r="N58" s="848"/>
      <c r="O58" s="849"/>
      <c r="P58" s="849"/>
      <c r="Q58" s="849"/>
      <c r="R58" s="866"/>
    </row>
    <row r="59" spans="1:18" hidden="1">
      <c r="A59" s="864"/>
      <c r="B59" s="865"/>
      <c r="C59" s="844"/>
      <c r="D59" s="845"/>
      <c r="E59" s="844"/>
      <c r="F59" s="845"/>
      <c r="G59" s="846"/>
      <c r="H59" s="847"/>
      <c r="I59" s="848"/>
      <c r="J59" s="848"/>
      <c r="K59" s="848"/>
      <c r="L59" s="848"/>
      <c r="M59" s="848"/>
      <c r="N59" s="848"/>
      <c r="O59" s="849"/>
      <c r="P59" s="849"/>
      <c r="Q59" s="849"/>
      <c r="R59" s="866"/>
    </row>
    <row r="60" spans="1:18" ht="14.45" hidden="1" customHeight="1">
      <c r="A60" s="864"/>
      <c r="B60" s="865"/>
      <c r="C60" s="844"/>
      <c r="D60" s="845"/>
      <c r="E60" s="844"/>
      <c r="F60" s="845"/>
      <c r="G60" s="846"/>
      <c r="H60" s="847"/>
      <c r="I60" s="848"/>
      <c r="J60" s="848"/>
      <c r="K60" s="848"/>
      <c r="L60" s="848"/>
      <c r="M60" s="848"/>
      <c r="N60" s="848"/>
      <c r="O60" s="849"/>
      <c r="P60" s="849"/>
      <c r="Q60" s="849"/>
      <c r="R60" s="866"/>
    </row>
    <row r="61" spans="1:18" ht="14.45" hidden="1" customHeight="1">
      <c r="A61" s="867"/>
      <c r="B61" s="865"/>
      <c r="C61" s="844"/>
      <c r="D61" s="845"/>
      <c r="E61" s="844"/>
      <c r="F61" s="845"/>
      <c r="G61" s="846"/>
      <c r="H61" s="847"/>
      <c r="I61" s="848"/>
      <c r="J61" s="848"/>
      <c r="K61" s="848"/>
      <c r="L61" s="848"/>
      <c r="M61" s="848"/>
      <c r="N61" s="848"/>
      <c r="O61" s="849"/>
      <c r="P61" s="849"/>
      <c r="Q61" s="849"/>
      <c r="R61" s="866"/>
    </row>
    <row r="62" spans="1:18" hidden="1">
      <c r="A62" s="867"/>
      <c r="B62" s="865"/>
      <c r="C62" s="844"/>
      <c r="D62" s="845"/>
      <c r="E62" s="844"/>
      <c r="F62" s="845"/>
      <c r="G62" s="846"/>
      <c r="H62" s="847"/>
      <c r="I62" s="848"/>
      <c r="J62" s="848"/>
      <c r="K62" s="848"/>
      <c r="L62" s="848"/>
      <c r="M62" s="848"/>
      <c r="N62" s="848"/>
      <c r="O62" s="849"/>
      <c r="P62" s="849"/>
      <c r="Q62" s="849"/>
      <c r="R62" s="866"/>
    </row>
    <row r="63" spans="1:18" ht="14.45" customHeight="1">
      <c r="A63" s="864"/>
      <c r="B63" s="865"/>
      <c r="C63" s="844"/>
      <c r="D63" s="845"/>
      <c r="E63" s="844"/>
      <c r="F63" s="845"/>
      <c r="G63" s="846"/>
      <c r="H63" s="847"/>
      <c r="I63" s="848"/>
      <c r="J63" s="848"/>
      <c r="K63" s="848"/>
      <c r="L63" s="848"/>
      <c r="M63" s="848"/>
      <c r="N63" s="848"/>
      <c r="O63" s="849"/>
      <c r="P63" s="849"/>
      <c r="Q63" s="849"/>
      <c r="R63" s="866"/>
    </row>
    <row r="64" spans="1:18" ht="14.45" hidden="1" customHeight="1">
      <c r="A64" s="944"/>
      <c r="B64" s="945"/>
      <c r="C64" s="944"/>
      <c r="D64" s="944"/>
      <c r="E64" s="946"/>
      <c r="F64" s="947"/>
      <c r="G64" s="947"/>
      <c r="H64" s="948"/>
      <c r="I64" s="947"/>
      <c r="J64" s="947"/>
      <c r="K64" s="947"/>
      <c r="L64" s="947"/>
      <c r="M64" s="947"/>
      <c r="N64" s="947"/>
      <c r="O64" s="947"/>
      <c r="P64" s="947"/>
      <c r="Q64" s="947"/>
      <c r="R64" s="947"/>
    </row>
    <row r="65" spans="1:18" ht="14.45" hidden="1" customHeight="1">
      <c r="A65" s="944"/>
      <c r="B65" s="945"/>
      <c r="C65" s="944"/>
      <c r="D65" s="944"/>
      <c r="E65" s="946"/>
      <c r="F65" s="947"/>
      <c r="G65" s="947"/>
      <c r="H65" s="948"/>
      <c r="I65" s="947"/>
      <c r="J65" s="947"/>
      <c r="K65" s="947"/>
      <c r="L65" s="947"/>
      <c r="M65" s="947"/>
      <c r="N65" s="947"/>
      <c r="O65" s="947"/>
      <c r="P65" s="947"/>
      <c r="Q65" s="947"/>
      <c r="R65" s="947"/>
    </row>
    <row r="66" spans="1:18" ht="14.45" hidden="1" customHeight="1">
      <c r="A66" s="944"/>
      <c r="B66" s="945"/>
      <c r="C66" s="944"/>
      <c r="D66" s="944"/>
      <c r="E66" s="946"/>
      <c r="F66" s="947"/>
      <c r="G66" s="947"/>
      <c r="H66" s="948"/>
      <c r="I66" s="947"/>
      <c r="J66" s="947"/>
      <c r="K66" s="947"/>
      <c r="L66" s="947"/>
      <c r="M66" s="947"/>
      <c r="N66" s="947"/>
      <c r="O66" s="947"/>
      <c r="P66" s="947"/>
      <c r="Q66" s="947"/>
      <c r="R66" s="947"/>
    </row>
    <row r="67" spans="1:18" ht="14.45" hidden="1" customHeight="1">
      <c r="A67" s="944"/>
      <c r="B67" s="945"/>
      <c r="C67" s="944"/>
      <c r="D67" s="944"/>
      <c r="E67" s="946"/>
      <c r="F67" s="947"/>
      <c r="G67" s="947"/>
      <c r="H67" s="948"/>
      <c r="I67" s="947"/>
      <c r="J67" s="947"/>
      <c r="K67" s="947"/>
      <c r="L67" s="947"/>
      <c r="M67" s="947"/>
      <c r="N67" s="947"/>
      <c r="O67" s="947"/>
      <c r="P67" s="947"/>
      <c r="Q67" s="947"/>
      <c r="R67" s="947"/>
    </row>
    <row r="68" spans="1:18" ht="14.45" hidden="1" customHeight="1">
      <c r="A68" s="944"/>
      <c r="B68" s="945"/>
      <c r="C68" s="944"/>
      <c r="D68" s="944"/>
      <c r="E68" s="946"/>
      <c r="F68" s="947"/>
      <c r="G68" s="947"/>
      <c r="H68" s="948"/>
      <c r="I68" s="947"/>
      <c r="J68" s="947"/>
      <c r="K68" s="947"/>
      <c r="L68" s="947"/>
      <c r="M68" s="947"/>
      <c r="N68" s="947"/>
      <c r="O68" s="947"/>
      <c r="P68" s="947"/>
      <c r="Q68" s="947"/>
      <c r="R68" s="947"/>
    </row>
    <row r="69" spans="1:18" ht="14.45" hidden="1" customHeight="1">
      <c r="A69" s="944"/>
      <c r="B69" s="945"/>
      <c r="C69" s="944"/>
      <c r="D69" s="944"/>
      <c r="E69" s="946"/>
      <c r="F69" s="947"/>
      <c r="G69" s="947"/>
      <c r="H69" s="948"/>
      <c r="I69" s="947"/>
      <c r="J69" s="947"/>
      <c r="K69" s="947"/>
      <c r="L69" s="947"/>
      <c r="M69" s="947"/>
      <c r="N69" s="947"/>
      <c r="O69" s="947"/>
      <c r="P69" s="947"/>
      <c r="Q69" s="947"/>
      <c r="R69" s="947"/>
    </row>
    <row r="70" spans="1:18" ht="14.45" hidden="1" customHeight="1">
      <c r="A70" s="944"/>
      <c r="B70" s="945"/>
      <c r="C70" s="944"/>
      <c r="D70" s="944"/>
      <c r="E70" s="946"/>
      <c r="F70" s="947"/>
      <c r="G70" s="947"/>
      <c r="H70" s="948"/>
      <c r="I70" s="947"/>
      <c r="J70" s="947"/>
      <c r="K70" s="947"/>
      <c r="L70" s="947"/>
      <c r="M70" s="947"/>
      <c r="N70" s="947"/>
      <c r="O70" s="947"/>
      <c r="P70" s="947"/>
      <c r="Q70" s="947"/>
      <c r="R70" s="947"/>
    </row>
    <row r="71" spans="1:18" ht="14.45" hidden="1" customHeight="1">
      <c r="A71" s="944"/>
      <c r="B71" s="945"/>
      <c r="C71" s="944"/>
      <c r="D71" s="944"/>
      <c r="E71" s="946"/>
      <c r="F71" s="947"/>
      <c r="G71" s="947"/>
      <c r="H71" s="948"/>
      <c r="I71" s="947"/>
      <c r="J71" s="947"/>
      <c r="K71" s="947"/>
      <c r="L71" s="947"/>
      <c r="M71" s="947"/>
      <c r="N71" s="947"/>
      <c r="O71" s="947"/>
      <c r="P71" s="947"/>
      <c r="Q71" s="947"/>
      <c r="R71" s="947"/>
    </row>
    <row r="72" spans="1:18" ht="14.45" hidden="1" customHeight="1">
      <c r="A72" s="944"/>
      <c r="B72" s="945"/>
      <c r="C72" s="944"/>
      <c r="D72" s="944"/>
      <c r="E72" s="946"/>
      <c r="F72" s="947"/>
      <c r="G72" s="947"/>
      <c r="H72" s="948"/>
      <c r="I72" s="947"/>
      <c r="J72" s="947"/>
      <c r="K72" s="947"/>
      <c r="L72" s="947"/>
      <c r="M72" s="947"/>
      <c r="N72" s="947"/>
      <c r="O72" s="947"/>
      <c r="P72" s="947"/>
      <c r="Q72" s="947"/>
      <c r="R72" s="947"/>
    </row>
    <row r="73" spans="1:18" ht="14.45" hidden="1" customHeight="1">
      <c r="A73" s="944"/>
      <c r="B73" s="945"/>
      <c r="C73" s="944"/>
      <c r="D73" s="944"/>
      <c r="E73" s="946"/>
      <c r="F73" s="947"/>
      <c r="G73" s="947"/>
      <c r="H73" s="948"/>
      <c r="I73" s="947"/>
      <c r="J73" s="947"/>
      <c r="K73" s="947"/>
      <c r="L73" s="947"/>
      <c r="M73" s="947"/>
      <c r="N73" s="947"/>
      <c r="O73" s="947"/>
      <c r="P73" s="947"/>
      <c r="Q73" s="947"/>
      <c r="R73" s="947"/>
    </row>
    <row r="74" spans="1:18" ht="14.45" hidden="1" customHeight="1">
      <c r="A74" s="944"/>
      <c r="B74" s="945"/>
      <c r="C74" s="944"/>
      <c r="D74" s="944"/>
      <c r="E74" s="946"/>
      <c r="F74" s="947"/>
      <c r="G74" s="947"/>
      <c r="H74" s="948"/>
      <c r="I74" s="947"/>
      <c r="J74" s="947"/>
      <c r="K74" s="947"/>
      <c r="L74" s="947"/>
      <c r="M74" s="947"/>
      <c r="N74" s="947"/>
      <c r="O74" s="947"/>
      <c r="P74" s="947"/>
      <c r="Q74" s="947"/>
      <c r="R74" s="947"/>
    </row>
    <row r="75" spans="1:18" ht="14.45" hidden="1" customHeight="1">
      <c r="A75" s="944"/>
      <c r="B75" s="945"/>
      <c r="C75" s="944"/>
      <c r="D75" s="944"/>
      <c r="E75" s="946"/>
      <c r="F75" s="947"/>
      <c r="G75" s="947"/>
      <c r="H75" s="948"/>
      <c r="I75" s="947"/>
      <c r="J75" s="947"/>
      <c r="K75" s="947"/>
      <c r="L75" s="947"/>
      <c r="M75" s="947"/>
      <c r="N75" s="947"/>
      <c r="O75" s="947"/>
      <c r="P75" s="947"/>
      <c r="Q75" s="947"/>
      <c r="R75" s="947"/>
    </row>
    <row r="76" spans="1:18" ht="14.45" hidden="1" customHeight="1">
      <c r="A76" s="944"/>
      <c r="B76" s="945"/>
      <c r="C76" s="944"/>
      <c r="D76" s="944"/>
      <c r="E76" s="946"/>
      <c r="F76" s="947"/>
      <c r="G76" s="947"/>
      <c r="H76" s="948"/>
      <c r="I76" s="947"/>
      <c r="J76" s="947"/>
      <c r="K76" s="947"/>
      <c r="L76" s="947"/>
      <c r="M76" s="947"/>
      <c r="N76" s="947"/>
      <c r="O76" s="947"/>
      <c r="P76" s="947"/>
      <c r="Q76" s="947"/>
      <c r="R76" s="947"/>
    </row>
    <row r="77" spans="1:18" ht="14.45" hidden="1" customHeight="1">
      <c r="A77" s="944"/>
      <c r="B77" s="945"/>
      <c r="C77" s="944"/>
      <c r="D77" s="944"/>
      <c r="E77" s="946"/>
      <c r="F77" s="947"/>
      <c r="G77" s="947"/>
      <c r="H77" s="948"/>
      <c r="I77" s="947"/>
      <c r="J77" s="947"/>
      <c r="K77" s="947"/>
      <c r="L77" s="947"/>
      <c r="M77" s="947"/>
      <c r="N77" s="947"/>
      <c r="O77" s="947"/>
      <c r="P77" s="947"/>
      <c r="Q77" s="947"/>
      <c r="R77" s="947"/>
    </row>
    <row r="78" spans="1:18" ht="14.45" hidden="1" customHeight="1">
      <c r="A78" s="944"/>
      <c r="B78" s="945"/>
      <c r="C78" s="944"/>
      <c r="D78" s="944"/>
      <c r="E78" s="946"/>
      <c r="F78" s="947"/>
      <c r="G78" s="947"/>
      <c r="H78" s="948"/>
      <c r="I78" s="947"/>
      <c r="J78" s="947"/>
      <c r="K78" s="947"/>
      <c r="L78" s="947"/>
      <c r="M78" s="947"/>
      <c r="N78" s="947"/>
      <c r="O78" s="947"/>
      <c r="P78" s="947"/>
      <c r="Q78" s="947"/>
      <c r="R78" s="947"/>
    </row>
    <row r="79" spans="1:18" ht="14.45" hidden="1" customHeight="1">
      <c r="A79" s="944"/>
      <c r="B79" s="945"/>
      <c r="C79" s="944"/>
      <c r="D79" s="944"/>
      <c r="E79" s="946"/>
      <c r="F79" s="947"/>
      <c r="G79" s="947"/>
      <c r="H79" s="948"/>
      <c r="I79" s="947"/>
      <c r="J79" s="947"/>
      <c r="K79" s="947"/>
      <c r="L79" s="947"/>
      <c r="M79" s="947"/>
      <c r="N79" s="947"/>
      <c r="O79" s="947"/>
      <c r="P79" s="947"/>
      <c r="Q79" s="947"/>
      <c r="R79" s="947"/>
    </row>
    <row r="80" spans="1:18">
      <c r="A80" s="1600" t="s">
        <v>813</v>
      </c>
      <c r="B80" s="1601"/>
      <c r="C80" s="949">
        <f>SUM(C8:C79)</f>
        <v>246885.58705714281</v>
      </c>
      <c r="D80" s="950">
        <f>SUM(D8:D79)</f>
        <v>0</v>
      </c>
      <c r="E80" s="951">
        <f>SUM(E8:E79)</f>
        <v>124139.76217877639</v>
      </c>
      <c r="F80" s="952">
        <f>SUM(F8:F79)</f>
        <v>0</v>
      </c>
      <c r="G80" s="953"/>
      <c r="H80" s="954">
        <f>SUM(H12:H79)</f>
        <v>0</v>
      </c>
      <c r="I80" s="954">
        <f t="shared" ref="I80:R80" si="1">SUM(I12:I79)</f>
        <v>0</v>
      </c>
      <c r="J80" s="954">
        <f t="shared" si="1"/>
        <v>33180.446749602925</v>
      </c>
      <c r="K80" s="954">
        <f t="shared" si="1"/>
        <v>14813.53476</v>
      </c>
      <c r="L80" s="954">
        <f t="shared" si="1"/>
        <v>7770.8913600000005</v>
      </c>
      <c r="M80" s="955">
        <f t="shared" si="1"/>
        <v>34039.99106</v>
      </c>
      <c r="N80" s="955">
        <f t="shared" si="1"/>
        <v>9352.863077</v>
      </c>
      <c r="O80" s="955">
        <f t="shared" si="1"/>
        <v>6603.6969175000004</v>
      </c>
      <c r="P80" s="955">
        <f t="shared" si="1"/>
        <v>3814.7414569982643</v>
      </c>
      <c r="Q80" s="955">
        <f t="shared" si="1"/>
        <v>1035.4256379692874</v>
      </c>
      <c r="R80" s="956">
        <f t="shared" si="1"/>
        <v>8079.9440000000004</v>
      </c>
    </row>
    <row r="81" spans="1:36">
      <c r="A81" s="1600" t="s">
        <v>814</v>
      </c>
      <c r="B81" s="1601"/>
      <c r="C81" s="957">
        <f t="shared" ref="C81:R81" si="2">C80*$B$83</f>
        <v>215427.42555432167</v>
      </c>
      <c r="D81" s="957">
        <f t="shared" si="2"/>
        <v>0</v>
      </c>
      <c r="E81" s="957">
        <f t="shared" si="2"/>
        <v>108321.87368195671</v>
      </c>
      <c r="F81" s="957">
        <f t="shared" si="2"/>
        <v>0</v>
      </c>
      <c r="G81" s="958">
        <f t="shared" si="2"/>
        <v>0</v>
      </c>
      <c r="H81" s="958">
        <f t="shared" si="2"/>
        <v>0</v>
      </c>
      <c r="I81" s="830">
        <f t="shared" si="2"/>
        <v>0</v>
      </c>
      <c r="J81" s="830">
        <f t="shared" si="2"/>
        <v>28952.59422476852</v>
      </c>
      <c r="K81" s="830">
        <f t="shared" si="2"/>
        <v>12925.9941608808</v>
      </c>
      <c r="L81" s="830">
        <f t="shared" si="2"/>
        <v>6780.7243829088011</v>
      </c>
      <c r="M81" s="830">
        <f t="shared" si="2"/>
        <v>29702.6153991348</v>
      </c>
      <c r="N81" s="830">
        <f t="shared" si="2"/>
        <v>8161.1212637286599</v>
      </c>
      <c r="O81" s="1047">
        <f t="shared" si="2"/>
        <v>5762.2538562721502</v>
      </c>
      <c r="P81" s="830">
        <f t="shared" si="2"/>
        <v>3328.6671005475455</v>
      </c>
      <c r="Q81" s="830">
        <f t="shared" si="2"/>
        <v>903.49170317924086</v>
      </c>
      <c r="R81" s="959">
        <f t="shared" si="2"/>
        <v>7050.3975355200009</v>
      </c>
    </row>
    <row r="82" spans="1:36" s="960" customFormat="1"/>
    <row r="83" spans="1:36" s="960" customFormat="1" ht="24">
      <c r="A83" s="961" t="s">
        <v>815</v>
      </c>
      <c r="B83" s="961">
        <v>0.87258000000000002</v>
      </c>
    </row>
    <row r="84" spans="1:36" s="960" customFormat="1"/>
    <row r="86" spans="1:36">
      <c r="A86" s="516" t="s">
        <v>816</v>
      </c>
    </row>
    <row r="87" spans="1:36" ht="20.45" customHeight="1">
      <c r="A87" s="1616" t="s">
        <v>740</v>
      </c>
      <c r="B87" s="1618" t="s">
        <v>741</v>
      </c>
      <c r="C87" s="1616" t="s">
        <v>817</v>
      </c>
      <c r="D87" s="1620"/>
      <c r="E87" s="1620" t="s">
        <v>818</v>
      </c>
      <c r="F87" s="1622"/>
      <c r="G87" s="1611" t="s">
        <v>819</v>
      </c>
      <c r="H87" s="1612"/>
      <c r="I87" s="1613"/>
      <c r="J87" s="1613"/>
      <c r="K87" s="1613"/>
      <c r="L87" s="1613"/>
      <c r="M87" s="1613"/>
      <c r="N87" s="1613"/>
      <c r="O87" s="1613"/>
      <c r="P87" s="1613"/>
      <c r="Q87" s="1613"/>
      <c r="R87" s="1613"/>
    </row>
    <row r="88" spans="1:36" ht="22.35" customHeight="1">
      <c r="A88" s="1617"/>
      <c r="B88" s="1619"/>
      <c r="C88" s="1617"/>
      <c r="D88" s="1621"/>
      <c r="E88" s="1621"/>
      <c r="F88" s="1619"/>
      <c r="G88" s="841">
        <v>2014</v>
      </c>
      <c r="H88" s="842">
        <v>2015</v>
      </c>
      <c r="I88" s="842">
        <v>2016</v>
      </c>
      <c r="J88" s="842">
        <v>2017</v>
      </c>
      <c r="K88" s="842">
        <v>2018</v>
      </c>
      <c r="L88" s="547">
        <v>2019</v>
      </c>
      <c r="M88" s="547">
        <v>2020</v>
      </c>
      <c r="N88" s="547">
        <v>2021</v>
      </c>
      <c r="O88" s="547">
        <v>2022</v>
      </c>
      <c r="P88" s="547">
        <v>2023</v>
      </c>
      <c r="Q88" s="547">
        <v>2024</v>
      </c>
      <c r="R88" s="843" t="s">
        <v>490</v>
      </c>
    </row>
    <row r="89" spans="1:36" s="836" customFormat="1" ht="36">
      <c r="A89" s="933" t="s">
        <v>748</v>
      </c>
      <c r="B89" s="934"/>
      <c r="C89" s="1609"/>
      <c r="D89" s="1610"/>
      <c r="E89" s="1614"/>
      <c r="F89" s="1615"/>
      <c r="G89" s="938"/>
      <c r="H89" s="935"/>
      <c r="I89" s="939"/>
      <c r="J89" s="939"/>
      <c r="K89" s="939"/>
      <c r="L89" s="939"/>
      <c r="M89" s="962"/>
      <c r="N89" s="962"/>
      <c r="O89" s="962"/>
      <c r="P89" s="962"/>
      <c r="Q89" s="962"/>
      <c r="R89" s="936"/>
    </row>
    <row r="90" spans="1:36" ht="24.75">
      <c r="A90" s="864" t="s">
        <v>749</v>
      </c>
      <c r="B90" s="865" t="s">
        <v>820</v>
      </c>
      <c r="C90" s="1609">
        <v>3490.9604608951004</v>
      </c>
      <c r="D90" s="1610"/>
      <c r="E90" s="1609">
        <v>-3490.9604608951004</v>
      </c>
      <c r="F90" s="1610"/>
      <c r="G90" s="847">
        <v>0</v>
      </c>
      <c r="H90" s="844">
        <v>0</v>
      </c>
      <c r="I90" s="848">
        <v>0</v>
      </c>
      <c r="J90" s="848">
        <v>0</v>
      </c>
      <c r="K90" s="848">
        <v>0</v>
      </c>
      <c r="L90" s="848">
        <v>0</v>
      </c>
      <c r="M90" s="848">
        <f>-6843158.69/1000-195179.95/1000+166.7-1901.74/1000</f>
        <v>-6873.5403800000004</v>
      </c>
      <c r="N90" s="849">
        <v>2147.6844299999998</v>
      </c>
      <c r="O90" s="849">
        <v>1234.8954891049007</v>
      </c>
      <c r="P90" s="849">
        <v>0</v>
      </c>
      <c r="Q90" s="849">
        <v>0</v>
      </c>
      <c r="R90" s="866">
        <v>0</v>
      </c>
      <c r="S90"/>
      <c r="T90" s="943" t="s">
        <v>821</v>
      </c>
      <c r="U90"/>
      <c r="V90"/>
      <c r="W90"/>
      <c r="X90"/>
      <c r="Y90"/>
      <c r="Z90"/>
      <c r="AA90"/>
      <c r="AB90"/>
      <c r="AC90"/>
      <c r="AD90"/>
      <c r="AE90"/>
      <c r="AF90"/>
      <c r="AG90"/>
      <c r="AH90"/>
      <c r="AI90"/>
      <c r="AJ90"/>
    </row>
    <row r="91" spans="1:36" ht="15">
      <c r="A91" s="864"/>
      <c r="B91" s="865"/>
      <c r="C91" s="1609"/>
      <c r="D91" s="1610"/>
      <c r="E91" s="1609"/>
      <c r="F91" s="1610"/>
      <c r="G91" s="847"/>
      <c r="H91" s="844"/>
      <c r="I91" s="848"/>
      <c r="J91" s="848"/>
      <c r="K91" s="848"/>
      <c r="L91" s="848"/>
      <c r="M91" s="849"/>
      <c r="N91" s="849"/>
      <c r="O91" s="849"/>
      <c r="P91" s="849"/>
      <c r="Q91" s="849"/>
      <c r="R91" s="866"/>
      <c r="S91"/>
      <c r="T91"/>
      <c r="U91"/>
      <c r="V91"/>
      <c r="W91"/>
      <c r="X91"/>
      <c r="Y91"/>
      <c r="Z91"/>
      <c r="AA91"/>
      <c r="AB91"/>
      <c r="AC91"/>
      <c r="AD91"/>
      <c r="AE91"/>
      <c r="AF91"/>
      <c r="AG91"/>
      <c r="AH91"/>
      <c r="AI91"/>
      <c r="AJ91"/>
    </row>
    <row r="92" spans="1:36" ht="15">
      <c r="A92" s="864"/>
      <c r="B92" s="865"/>
      <c r="C92" s="1609"/>
      <c r="D92" s="1610"/>
      <c r="E92" s="1609"/>
      <c r="F92" s="1610"/>
      <c r="G92" s="847"/>
      <c r="H92" s="844"/>
      <c r="I92" s="848"/>
      <c r="J92" s="848"/>
      <c r="K92" s="848"/>
      <c r="L92" s="848"/>
      <c r="M92" s="849"/>
      <c r="N92" s="849"/>
      <c r="O92" s="849"/>
      <c r="P92" s="849"/>
      <c r="Q92" s="849"/>
      <c r="R92" s="866"/>
      <c r="S92"/>
      <c r="T92" s="963"/>
      <c r="U92"/>
      <c r="V92"/>
      <c r="W92"/>
      <c r="X92"/>
      <c r="Y92"/>
      <c r="Z92"/>
      <c r="AA92"/>
      <c r="AB92"/>
      <c r="AC92"/>
      <c r="AD92"/>
      <c r="AE92"/>
      <c r="AF92"/>
      <c r="AG92"/>
      <c r="AH92"/>
      <c r="AI92"/>
      <c r="AJ92"/>
    </row>
    <row r="93" spans="1:36" ht="15">
      <c r="A93" s="867" t="s">
        <v>755</v>
      </c>
      <c r="B93" s="865"/>
      <c r="C93" s="1609"/>
      <c r="D93" s="1610"/>
      <c r="E93" s="1609"/>
      <c r="F93" s="1610"/>
      <c r="G93" s="847"/>
      <c r="H93" s="844"/>
      <c r="I93" s="848"/>
      <c r="J93" s="848"/>
      <c r="K93" s="848"/>
      <c r="L93" s="848"/>
      <c r="M93" s="849"/>
      <c r="N93" s="849"/>
      <c r="O93" s="849"/>
      <c r="P93" s="849"/>
      <c r="Q93" s="849"/>
      <c r="R93" s="866"/>
      <c r="S93" s="964"/>
      <c r="T93" s="964"/>
      <c r="U93"/>
      <c r="V93"/>
      <c r="AE93"/>
      <c r="AF93"/>
      <c r="AJ93"/>
    </row>
    <row r="94" spans="1:36" ht="24">
      <c r="A94" s="864" t="s">
        <v>757</v>
      </c>
      <c r="B94" s="865" t="s">
        <v>758</v>
      </c>
      <c r="C94" s="1609">
        <v>0</v>
      </c>
      <c r="D94" s="1610"/>
      <c r="E94" s="1609">
        <v>31885.732019773801</v>
      </c>
      <c r="F94" s="1610"/>
      <c r="G94" s="847">
        <v>0</v>
      </c>
      <c r="H94" s="844">
        <v>0</v>
      </c>
      <c r="I94" s="848">
        <v>0</v>
      </c>
      <c r="J94" s="848">
        <v>0</v>
      </c>
      <c r="K94" s="848">
        <v>0</v>
      </c>
      <c r="L94" s="849">
        <v>22385.611810000002</v>
      </c>
      <c r="M94" s="849">
        <v>0</v>
      </c>
      <c r="N94" s="849">
        <v>8044.7653099999998</v>
      </c>
      <c r="O94" s="849">
        <v>0</v>
      </c>
      <c r="P94" s="849">
        <v>0</v>
      </c>
      <c r="Q94" s="965">
        <v>1455.3548997738001</v>
      </c>
      <c r="R94" s="866">
        <v>0</v>
      </c>
      <c r="S94" s="966"/>
      <c r="T94" s="967"/>
      <c r="U94"/>
      <c r="V94"/>
      <c r="W94"/>
      <c r="X94"/>
      <c r="Y94"/>
      <c r="Z94"/>
      <c r="AA94"/>
      <c r="AB94"/>
      <c r="AC94"/>
      <c r="AE94"/>
      <c r="AF94" s="868"/>
      <c r="AG94"/>
      <c r="AH94"/>
      <c r="AI94"/>
    </row>
    <row r="95" spans="1:36" ht="24">
      <c r="A95" s="864" t="s">
        <v>760</v>
      </c>
      <c r="B95" s="865" t="s">
        <v>761</v>
      </c>
      <c r="C95" s="1609">
        <v>0</v>
      </c>
      <c r="D95" s="1610"/>
      <c r="E95" s="1609">
        <v>1948.4486148840001</v>
      </c>
      <c r="F95" s="1610"/>
      <c r="G95" s="847">
        <v>0</v>
      </c>
      <c r="H95" s="844">
        <v>0</v>
      </c>
      <c r="I95" s="848">
        <v>0</v>
      </c>
      <c r="J95" s="848">
        <v>0</v>
      </c>
      <c r="K95" s="848">
        <v>0</v>
      </c>
      <c r="L95" s="849">
        <v>484.09271000000001</v>
      </c>
      <c r="M95" s="849">
        <v>0</v>
      </c>
      <c r="N95" s="849">
        <v>863.25788</v>
      </c>
      <c r="O95" s="849">
        <v>0</v>
      </c>
      <c r="P95" s="849">
        <v>601.09802488399998</v>
      </c>
      <c r="Q95" s="965">
        <v>0</v>
      </c>
      <c r="R95" s="866">
        <v>0</v>
      </c>
      <c r="S95" s="966"/>
      <c r="T95" s="967"/>
      <c r="U95"/>
      <c r="V95"/>
      <c r="W95"/>
      <c r="X95"/>
      <c r="Y95"/>
      <c r="Z95"/>
      <c r="AA95"/>
      <c r="AB95"/>
      <c r="AC95"/>
      <c r="AE95"/>
      <c r="AF95" s="868"/>
      <c r="AG95"/>
      <c r="AH95"/>
      <c r="AI95"/>
    </row>
    <row r="96" spans="1:36" ht="24">
      <c r="A96" s="864" t="s">
        <v>762</v>
      </c>
      <c r="B96" s="865" t="s">
        <v>763</v>
      </c>
      <c r="C96" s="1609">
        <v>0</v>
      </c>
      <c r="D96" s="1610"/>
      <c r="E96" s="1609">
        <v>36476.700215520003</v>
      </c>
      <c r="F96" s="1610"/>
      <c r="G96" s="847">
        <v>0</v>
      </c>
      <c r="H96" s="844">
        <v>0</v>
      </c>
      <c r="I96" s="848">
        <v>0</v>
      </c>
      <c r="J96" s="848">
        <v>0</v>
      </c>
      <c r="K96" s="848">
        <v>0</v>
      </c>
      <c r="L96" s="849">
        <v>8932.6882399999995</v>
      </c>
      <c r="M96" s="849">
        <v>0</v>
      </c>
      <c r="N96" s="849">
        <v>20493.614440000001</v>
      </c>
      <c r="O96" s="849">
        <v>0</v>
      </c>
      <c r="P96" s="849">
        <v>0</v>
      </c>
      <c r="Q96" s="965">
        <v>0</v>
      </c>
      <c r="R96" s="866">
        <v>7050.3975355200009</v>
      </c>
      <c r="S96" s="966"/>
      <c r="T96" s="967"/>
      <c r="U96"/>
      <c r="V96"/>
      <c r="W96"/>
      <c r="X96"/>
      <c r="Y96"/>
      <c r="Z96"/>
      <c r="AA96"/>
      <c r="AB96"/>
      <c r="AC96"/>
      <c r="AE96"/>
      <c r="AF96" s="868"/>
      <c r="AG96"/>
      <c r="AH96"/>
      <c r="AI96"/>
    </row>
    <row r="97" spans="1:36" ht="24">
      <c r="A97" s="864" t="s">
        <v>764</v>
      </c>
      <c r="B97" s="865" t="s">
        <v>765</v>
      </c>
      <c r="C97" s="1609">
        <v>0</v>
      </c>
      <c r="D97" s="1610"/>
      <c r="E97" s="1609">
        <v>6553.1558263366187</v>
      </c>
      <c r="F97" s="1610"/>
      <c r="G97" s="847">
        <v>0</v>
      </c>
      <c r="H97" s="844">
        <v>0</v>
      </c>
      <c r="I97" s="848">
        <v>0</v>
      </c>
      <c r="J97" s="848">
        <v>0</v>
      </c>
      <c r="K97" s="848">
        <v>0</v>
      </c>
      <c r="L97" s="849">
        <v>2866.5456099999997</v>
      </c>
      <c r="M97" s="849">
        <v>821.71101999999996</v>
      </c>
      <c r="N97" s="849">
        <v>0</v>
      </c>
      <c r="O97" s="849">
        <v>2239.2624100000003</v>
      </c>
      <c r="P97" s="849">
        <v>0</v>
      </c>
      <c r="Q97" s="965">
        <v>625.63678633661891</v>
      </c>
      <c r="R97" s="866">
        <v>0</v>
      </c>
      <c r="S97" s="966"/>
      <c r="T97" s="967"/>
      <c r="U97"/>
      <c r="V97"/>
      <c r="W97"/>
      <c r="X97"/>
      <c r="Y97"/>
      <c r="Z97"/>
      <c r="AA97"/>
      <c r="AB97"/>
      <c r="AC97"/>
      <c r="AD97"/>
      <c r="AE97"/>
      <c r="AF97" s="868"/>
      <c r="AG97" s="868"/>
      <c r="AH97" s="837"/>
      <c r="AI97" s="868"/>
      <c r="AJ97" s="868"/>
    </row>
    <row r="98" spans="1:36" ht="24">
      <c r="A98" s="864" t="s">
        <v>766</v>
      </c>
      <c r="B98" s="865" t="s">
        <v>767</v>
      </c>
      <c r="C98" s="1609">
        <v>0</v>
      </c>
      <c r="D98" s="1610"/>
      <c r="E98" s="1609">
        <v>9575.2668999999987</v>
      </c>
      <c r="F98" s="1610"/>
      <c r="G98" s="847">
        <v>0</v>
      </c>
      <c r="H98" s="844">
        <v>0</v>
      </c>
      <c r="I98" s="848">
        <v>0</v>
      </c>
      <c r="J98" s="848">
        <v>0</v>
      </c>
      <c r="K98" s="848">
        <v>0</v>
      </c>
      <c r="L98" s="849">
        <v>3427.48191</v>
      </c>
      <c r="M98" s="849">
        <v>2806.1904199999999</v>
      </c>
      <c r="N98" s="849">
        <v>0</v>
      </c>
      <c r="O98" s="849">
        <v>3341.5945699999997</v>
      </c>
      <c r="P98" s="849">
        <v>0</v>
      </c>
      <c r="Q98" s="965">
        <v>0</v>
      </c>
      <c r="R98" s="866">
        <v>0</v>
      </c>
      <c r="S98" s="966"/>
      <c r="T98" s="967"/>
      <c r="U98"/>
      <c r="V98"/>
      <c r="W98"/>
      <c r="X98"/>
      <c r="Y98"/>
      <c r="Z98"/>
      <c r="AA98"/>
      <c r="AB98"/>
      <c r="AC98"/>
      <c r="AD98"/>
      <c r="AF98" s="868"/>
      <c r="AG98" s="868"/>
      <c r="AH98" s="837"/>
      <c r="AI98" s="868"/>
      <c r="AJ98" s="868"/>
    </row>
    <row r="99" spans="1:36" ht="24">
      <c r="A99" s="864" t="s">
        <v>768</v>
      </c>
      <c r="B99" s="865" t="s">
        <v>769</v>
      </c>
      <c r="C99" s="1609">
        <v>0</v>
      </c>
      <c r="D99" s="1610"/>
      <c r="E99" s="1609">
        <v>4795.5152015836229</v>
      </c>
      <c r="F99" s="1610"/>
      <c r="G99" s="847">
        <v>0</v>
      </c>
      <c r="H99" s="844">
        <v>0</v>
      </c>
      <c r="I99" s="848">
        <v>0</v>
      </c>
      <c r="J99" s="848">
        <v>0</v>
      </c>
      <c r="K99" s="848">
        <v>0</v>
      </c>
      <c r="L99" s="849">
        <v>994.87555000000009</v>
      </c>
      <c r="M99" s="849">
        <v>2328.5236400000003</v>
      </c>
      <c r="N99" s="849">
        <v>0</v>
      </c>
      <c r="O99" s="849">
        <v>658.79105000000004</v>
      </c>
      <c r="P99" s="849">
        <v>0</v>
      </c>
      <c r="Q99" s="965">
        <v>813.32496158362233</v>
      </c>
      <c r="R99" s="866">
        <v>0</v>
      </c>
      <c r="S99" s="966"/>
      <c r="T99" s="967"/>
      <c r="U99"/>
      <c r="V99"/>
      <c r="W99"/>
      <c r="X99"/>
      <c r="Y99"/>
      <c r="Z99"/>
      <c r="AA99"/>
      <c r="AB99"/>
      <c r="AC99"/>
      <c r="AD99"/>
      <c r="AE99"/>
      <c r="AF99" s="868"/>
      <c r="AG99" s="868"/>
      <c r="AH99" s="837"/>
      <c r="AI99" s="868"/>
      <c r="AJ99" s="868"/>
    </row>
    <row r="100" spans="1:36" ht="24">
      <c r="A100" s="864" t="s">
        <v>770</v>
      </c>
      <c r="B100" s="865" t="s">
        <v>771</v>
      </c>
      <c r="C100" s="1609">
        <v>0</v>
      </c>
      <c r="D100" s="1610"/>
      <c r="E100" s="1609">
        <v>1477.9623200000001</v>
      </c>
      <c r="F100" s="1610"/>
      <c r="G100" s="847">
        <v>0</v>
      </c>
      <c r="H100" s="844">
        <v>0</v>
      </c>
      <c r="I100" s="848">
        <v>0</v>
      </c>
      <c r="J100" s="848">
        <v>0</v>
      </c>
      <c r="K100" s="848">
        <v>0</v>
      </c>
      <c r="L100" s="849">
        <v>591.22870999999998</v>
      </c>
      <c r="M100" s="849">
        <v>886.73361</v>
      </c>
      <c r="N100" s="849">
        <v>0</v>
      </c>
      <c r="O100" s="849">
        <v>0</v>
      </c>
      <c r="P100" s="849">
        <v>0</v>
      </c>
      <c r="Q100" s="965">
        <v>0</v>
      </c>
      <c r="R100" s="866">
        <v>0</v>
      </c>
      <c r="S100" s="966"/>
      <c r="T100" s="967"/>
      <c r="U100"/>
      <c r="V100"/>
      <c r="W100"/>
      <c r="X100"/>
      <c r="Y100"/>
      <c r="Z100"/>
      <c r="AA100"/>
      <c r="AB100"/>
      <c r="AC100"/>
      <c r="AD100"/>
      <c r="AE100"/>
      <c r="AF100" s="868"/>
      <c r="AG100" s="868"/>
      <c r="AH100" s="837"/>
      <c r="AI100" s="868"/>
      <c r="AJ100" s="868"/>
    </row>
    <row r="101" spans="1:36" ht="24">
      <c r="A101" s="864" t="s">
        <v>822</v>
      </c>
      <c r="B101" s="865"/>
      <c r="C101" s="1609">
        <v>200.24621999999999</v>
      </c>
      <c r="D101" s="1610"/>
      <c r="E101" s="1609">
        <v>1482.6027302308714</v>
      </c>
      <c r="F101" s="1610"/>
      <c r="G101" s="847">
        <v>0</v>
      </c>
      <c r="H101" s="844">
        <v>0</v>
      </c>
      <c r="I101" s="848">
        <v>0</v>
      </c>
      <c r="J101" s="848">
        <v>0</v>
      </c>
      <c r="K101" s="848">
        <v>0</v>
      </c>
      <c r="L101" s="849">
        <v>638.44830999999999</v>
      </c>
      <c r="M101" s="849">
        <v>197.08169000000001</v>
      </c>
      <c r="N101" s="849">
        <v>860.64572999999996</v>
      </c>
      <c r="O101" s="849">
        <v>63.913550000000001</v>
      </c>
      <c r="P101" s="849">
        <v>102.75591452124185</v>
      </c>
      <c r="Q101" s="965">
        <v>67.297308182460455</v>
      </c>
      <c r="R101" s="866">
        <v>11.809987094314897</v>
      </c>
      <c r="S101"/>
      <c r="T101" s="967"/>
      <c r="U101"/>
      <c r="V101"/>
      <c r="W101"/>
      <c r="X101"/>
      <c r="Y101"/>
      <c r="Z101"/>
      <c r="AA101"/>
      <c r="AB101"/>
      <c r="AC101"/>
      <c r="AD101"/>
      <c r="AE101"/>
      <c r="AF101"/>
      <c r="AG101"/>
      <c r="AH101"/>
      <c r="AI101"/>
      <c r="AJ101"/>
    </row>
    <row r="102" spans="1:36" ht="15">
      <c r="A102" s="864"/>
      <c r="B102" s="865"/>
      <c r="C102" s="931"/>
      <c r="D102" s="932"/>
      <c r="E102" s="931"/>
      <c r="F102" s="932"/>
      <c r="G102" s="847"/>
      <c r="H102" s="844"/>
      <c r="I102" s="848"/>
      <c r="J102" s="848"/>
      <c r="K102" s="848"/>
      <c r="L102" s="849"/>
      <c r="M102" s="849"/>
      <c r="N102" s="849">
        <v>-22010</v>
      </c>
      <c r="O102" s="849">
        <v>21550.6103</v>
      </c>
      <c r="P102" s="849"/>
      <c r="Q102" s="965"/>
      <c r="R102" s="866"/>
      <c r="S102"/>
      <c r="T102" s="1043" t="s">
        <v>823</v>
      </c>
      <c r="U102"/>
      <c r="V102"/>
      <c r="W102"/>
      <c r="X102"/>
      <c r="Y102"/>
      <c r="Z102"/>
      <c r="AA102"/>
      <c r="AB102"/>
      <c r="AC102"/>
      <c r="AD102"/>
      <c r="AE102"/>
      <c r="AF102"/>
      <c r="AG102"/>
      <c r="AH102"/>
      <c r="AI102"/>
      <c r="AJ102"/>
    </row>
    <row r="103" spans="1:36" ht="15">
      <c r="A103" s="864"/>
      <c r="B103" s="865"/>
      <c r="C103" s="931"/>
      <c r="D103" s="932"/>
      <c r="E103" s="931"/>
      <c r="F103" s="932"/>
      <c r="G103" s="847"/>
      <c r="H103" s="844"/>
      <c r="I103" s="848"/>
      <c r="J103" s="848"/>
      <c r="K103" s="848"/>
      <c r="L103" s="968">
        <f>SUM(L90:L101)</f>
        <v>40320.972850000006</v>
      </c>
      <c r="M103" s="968">
        <f t="shared" ref="M103:R103" si="3">SUM(M90:M101)</f>
        <v>166.69999999999962</v>
      </c>
      <c r="N103" s="1046">
        <f>SUM(N90:N102)</f>
        <v>10399.967789999999</v>
      </c>
      <c r="O103" s="968">
        <f>SUM(O90:O102)</f>
        <v>29089.067369104901</v>
      </c>
      <c r="P103" s="968">
        <f t="shared" si="3"/>
        <v>703.85393940524182</v>
      </c>
      <c r="Q103" s="969">
        <f t="shared" si="3"/>
        <v>2961.6139558765017</v>
      </c>
      <c r="R103" s="970">
        <f t="shared" si="3"/>
        <v>7062.2075226143161</v>
      </c>
      <c r="S103" s="971"/>
      <c r="U103"/>
      <c r="V103"/>
      <c r="W103"/>
      <c r="X103"/>
      <c r="Y103"/>
      <c r="Z103"/>
      <c r="AA103"/>
      <c r="AB103"/>
      <c r="AC103"/>
      <c r="AD103"/>
      <c r="AE103"/>
      <c r="AF103"/>
      <c r="AG103"/>
      <c r="AH103"/>
      <c r="AI103"/>
      <c r="AJ103"/>
    </row>
    <row r="104" spans="1:36" ht="15">
      <c r="A104" s="864"/>
      <c r="B104" s="865"/>
      <c r="C104" s="931"/>
      <c r="D104" s="932"/>
      <c r="E104" s="931"/>
      <c r="F104" s="932"/>
      <c r="G104" s="847"/>
      <c r="H104" s="844"/>
      <c r="I104" s="848"/>
      <c r="J104" s="848"/>
      <c r="K104" s="848"/>
      <c r="L104" s="848"/>
      <c r="M104" s="849"/>
      <c r="N104" s="849"/>
      <c r="O104" s="849"/>
      <c r="P104" s="849"/>
      <c r="Q104" s="849"/>
      <c r="R104" s="866"/>
      <c r="S104"/>
      <c r="T104"/>
      <c r="U104"/>
      <c r="V104"/>
      <c r="W104"/>
      <c r="X104"/>
      <c r="Y104"/>
      <c r="Z104"/>
      <c r="AA104"/>
      <c r="AB104"/>
      <c r="AC104"/>
      <c r="AD104"/>
      <c r="AE104"/>
      <c r="AF104"/>
      <c r="AG104"/>
      <c r="AH104"/>
      <c r="AI104"/>
      <c r="AJ104"/>
    </row>
    <row r="105" spans="1:36" ht="15">
      <c r="A105" s="864"/>
      <c r="B105" s="865"/>
      <c r="C105" s="844"/>
      <c r="D105" s="845"/>
      <c r="E105" s="844"/>
      <c r="F105" s="845"/>
      <c r="G105" s="847"/>
      <c r="H105" s="844"/>
      <c r="I105" s="848"/>
      <c r="J105" s="848"/>
      <c r="K105" s="848"/>
      <c r="L105" s="848"/>
      <c r="M105" s="849"/>
      <c r="N105" s="849"/>
      <c r="O105" s="849"/>
      <c r="P105" s="849"/>
      <c r="Q105" s="849"/>
      <c r="R105" s="866"/>
      <c r="S105"/>
      <c r="T105"/>
      <c r="U105"/>
      <c r="V105"/>
      <c r="W105"/>
      <c r="X105"/>
      <c r="Y105"/>
      <c r="Z105"/>
      <c r="AA105"/>
      <c r="AB105"/>
      <c r="AC105"/>
      <c r="AD105"/>
      <c r="AE105"/>
      <c r="AF105"/>
      <c r="AG105"/>
      <c r="AH105"/>
      <c r="AI105"/>
      <c r="AJ105"/>
    </row>
    <row r="106" spans="1:36" ht="15">
      <c r="A106" s="867" t="s">
        <v>772</v>
      </c>
      <c r="B106" s="865"/>
      <c r="C106" s="844"/>
      <c r="D106" s="845"/>
      <c r="E106" s="844"/>
      <c r="F106" s="845"/>
      <c r="G106" s="847"/>
      <c r="H106" s="844"/>
      <c r="I106" s="848"/>
      <c r="J106" s="848"/>
      <c r="K106" s="848"/>
      <c r="L106" s="848"/>
      <c r="M106" s="848"/>
      <c r="N106" s="848"/>
      <c r="O106" s="849"/>
      <c r="P106" s="849"/>
      <c r="Q106" s="849"/>
      <c r="R106" s="866"/>
      <c r="S106"/>
      <c r="T106"/>
      <c r="U106"/>
      <c r="V106"/>
      <c r="W106"/>
      <c r="X106"/>
      <c r="Y106"/>
      <c r="Z106"/>
      <c r="AA106"/>
      <c r="AB106"/>
      <c r="AC106"/>
      <c r="AD106"/>
      <c r="AE106"/>
      <c r="AF106"/>
      <c r="AG106"/>
      <c r="AH106"/>
      <c r="AI106"/>
      <c r="AJ106"/>
    </row>
    <row r="107" spans="1:36" ht="15">
      <c r="A107" s="864"/>
      <c r="B107" s="865"/>
      <c r="C107" s="1609">
        <v>0</v>
      </c>
      <c r="D107" s="1610"/>
      <c r="E107" s="1609">
        <v>34.033940000000001</v>
      </c>
      <c r="F107" s="1610"/>
      <c r="G107" s="847">
        <v>0</v>
      </c>
      <c r="H107" s="844">
        <v>0</v>
      </c>
      <c r="I107" s="848">
        <v>0</v>
      </c>
      <c r="J107" s="848">
        <v>0</v>
      </c>
      <c r="K107" s="848">
        <v>0</v>
      </c>
      <c r="L107" s="848">
        <v>0</v>
      </c>
      <c r="M107" s="848">
        <v>0</v>
      </c>
      <c r="N107" s="848">
        <f>M26*$B$83</f>
        <v>0</v>
      </c>
      <c r="O107" s="849">
        <f t="shared" ref="O107:R107" si="4">N26*$B$83</f>
        <v>0</v>
      </c>
      <c r="P107" s="849">
        <v>34.033940000000001</v>
      </c>
      <c r="Q107" s="849">
        <f t="shared" si="4"/>
        <v>0</v>
      </c>
      <c r="R107" s="866">
        <f t="shared" si="4"/>
        <v>0</v>
      </c>
      <c r="S107"/>
      <c r="T107"/>
      <c r="U107"/>
      <c r="V107"/>
      <c r="W107"/>
      <c r="X107"/>
      <c r="Y107"/>
      <c r="Z107"/>
      <c r="AA107"/>
      <c r="AB107"/>
      <c r="AC107"/>
      <c r="AD107"/>
      <c r="AE107"/>
      <c r="AF107"/>
      <c r="AG107"/>
      <c r="AH107"/>
      <c r="AI107"/>
      <c r="AJ107"/>
    </row>
    <row r="108" spans="1:36" ht="15">
      <c r="A108" s="864"/>
      <c r="B108" s="865"/>
      <c r="C108" s="1609">
        <v>0</v>
      </c>
      <c r="D108" s="1610"/>
      <c r="E108" s="1609">
        <v>8.2049999999999998E-2</v>
      </c>
      <c r="F108" s="1610"/>
      <c r="G108" s="847">
        <v>0</v>
      </c>
      <c r="H108" s="844">
        <v>0</v>
      </c>
      <c r="I108" s="848">
        <v>0</v>
      </c>
      <c r="J108" s="848">
        <v>0</v>
      </c>
      <c r="K108" s="848">
        <v>0</v>
      </c>
      <c r="L108" s="848">
        <v>0</v>
      </c>
      <c r="M108" s="848">
        <v>0</v>
      </c>
      <c r="N108" s="848">
        <f t="shared" ref="N108:R110" si="5">M27*$B$83</f>
        <v>0</v>
      </c>
      <c r="O108" s="849">
        <f t="shared" si="5"/>
        <v>0</v>
      </c>
      <c r="P108" s="849">
        <v>8.2049999999999998E-2</v>
      </c>
      <c r="Q108" s="849">
        <f t="shared" si="5"/>
        <v>0</v>
      </c>
      <c r="R108" s="866">
        <f t="shared" si="5"/>
        <v>0</v>
      </c>
      <c r="S108"/>
      <c r="T108"/>
      <c r="U108"/>
      <c r="V108"/>
      <c r="W108"/>
      <c r="X108"/>
      <c r="Y108"/>
      <c r="Z108"/>
      <c r="AA108"/>
      <c r="AB108"/>
      <c r="AC108"/>
      <c r="AD108"/>
      <c r="AE108"/>
      <c r="AF108"/>
      <c r="AG108"/>
      <c r="AH108"/>
      <c r="AI108"/>
      <c r="AJ108"/>
    </row>
    <row r="109" spans="1:36" ht="15">
      <c r="A109" s="864"/>
      <c r="B109" s="865"/>
      <c r="C109" s="1609">
        <v>0</v>
      </c>
      <c r="D109" s="1610"/>
      <c r="E109" s="1609">
        <v>4.0815016758000002</v>
      </c>
      <c r="F109" s="1610"/>
      <c r="G109" s="847">
        <v>0</v>
      </c>
      <c r="H109" s="844">
        <v>0</v>
      </c>
      <c r="I109" s="848">
        <v>0</v>
      </c>
      <c r="J109" s="848">
        <v>0</v>
      </c>
      <c r="K109" s="848">
        <v>0</v>
      </c>
      <c r="L109" s="848">
        <v>0</v>
      </c>
      <c r="M109" s="848">
        <v>0</v>
      </c>
      <c r="N109" s="848">
        <f t="shared" si="5"/>
        <v>0</v>
      </c>
      <c r="O109" s="849">
        <f t="shared" si="5"/>
        <v>0</v>
      </c>
      <c r="P109" s="849">
        <v>4.0815016758000002</v>
      </c>
      <c r="Q109" s="849">
        <f t="shared" si="5"/>
        <v>0</v>
      </c>
      <c r="R109" s="866">
        <f t="shared" si="5"/>
        <v>0</v>
      </c>
      <c r="S109"/>
      <c r="T109"/>
      <c r="U109"/>
      <c r="V109"/>
      <c r="W109"/>
      <c r="X109"/>
      <c r="Y109"/>
      <c r="Z109"/>
      <c r="AA109"/>
      <c r="AB109"/>
      <c r="AC109"/>
      <c r="AD109"/>
      <c r="AE109"/>
      <c r="AF109"/>
      <c r="AG109"/>
      <c r="AH109"/>
      <c r="AI109"/>
      <c r="AJ109"/>
    </row>
    <row r="110" spans="1:36" ht="15">
      <c r="A110" s="864"/>
      <c r="B110" s="865"/>
      <c r="C110" s="1609">
        <v>0</v>
      </c>
      <c r="D110" s="1610"/>
      <c r="E110" s="1609">
        <v>74.664113940600004</v>
      </c>
      <c r="F110" s="1610"/>
      <c r="G110" s="847">
        <v>0</v>
      </c>
      <c r="H110" s="844">
        <v>0</v>
      </c>
      <c r="I110" s="848">
        <v>0</v>
      </c>
      <c r="J110" s="848">
        <v>0</v>
      </c>
      <c r="K110" s="848">
        <v>0</v>
      </c>
      <c r="L110" s="848">
        <v>0</v>
      </c>
      <c r="M110" s="848">
        <v>0</v>
      </c>
      <c r="N110" s="848">
        <f t="shared" si="5"/>
        <v>0</v>
      </c>
      <c r="O110" s="849">
        <f t="shared" si="5"/>
        <v>0</v>
      </c>
      <c r="P110" s="849">
        <v>74.664113940600004</v>
      </c>
      <c r="Q110" s="849">
        <f t="shared" si="5"/>
        <v>0</v>
      </c>
      <c r="R110" s="866">
        <f t="shared" si="5"/>
        <v>0</v>
      </c>
      <c r="S110"/>
      <c r="T110"/>
      <c r="U110"/>
      <c r="V110"/>
      <c r="W110"/>
      <c r="X110"/>
      <c r="Y110"/>
      <c r="Z110"/>
      <c r="AA110"/>
      <c r="AB110"/>
      <c r="AC110"/>
      <c r="AD110"/>
      <c r="AE110"/>
      <c r="AF110"/>
      <c r="AG110"/>
      <c r="AH110"/>
      <c r="AI110"/>
      <c r="AJ110"/>
    </row>
    <row r="111" spans="1:36" ht="15">
      <c r="A111" s="864"/>
      <c r="B111" s="972"/>
      <c r="C111" s="1609"/>
      <c r="D111" s="1610"/>
      <c r="E111" s="1609"/>
      <c r="F111" s="1610"/>
      <c r="G111" s="847"/>
      <c r="H111" s="844"/>
      <c r="I111" s="848"/>
      <c r="J111" s="848"/>
      <c r="K111" s="848"/>
      <c r="L111" s="848"/>
      <c r="M111" s="849"/>
      <c r="N111" s="849"/>
      <c r="O111" s="849"/>
      <c r="P111" s="849"/>
      <c r="Q111" s="849"/>
      <c r="R111" s="866"/>
      <c r="S111"/>
      <c r="T111"/>
      <c r="U111"/>
      <c r="V111"/>
      <c r="W111"/>
      <c r="X111"/>
      <c r="Y111"/>
      <c r="Z111"/>
      <c r="AA111"/>
      <c r="AB111"/>
      <c r="AC111"/>
      <c r="AD111"/>
      <c r="AE111"/>
      <c r="AF111"/>
      <c r="AG111"/>
      <c r="AH111"/>
      <c r="AI111"/>
      <c r="AJ111"/>
    </row>
    <row r="112" spans="1:36" ht="15">
      <c r="A112" s="864"/>
      <c r="B112" s="972"/>
      <c r="C112" s="1609"/>
      <c r="D112" s="1610"/>
      <c r="E112" s="1609"/>
      <c r="F112" s="1610"/>
      <c r="G112" s="847"/>
      <c r="H112" s="844"/>
      <c r="I112" s="848"/>
      <c r="J112" s="848"/>
      <c r="K112" s="848"/>
      <c r="L112" s="848"/>
      <c r="M112" s="849"/>
      <c r="N112" s="849"/>
      <c r="O112" s="849"/>
      <c r="P112" s="849"/>
      <c r="Q112" s="849"/>
      <c r="R112" s="866"/>
      <c r="S112"/>
      <c r="T112"/>
      <c r="U112"/>
      <c r="V112"/>
      <c r="W112"/>
      <c r="X112"/>
      <c r="Y112"/>
      <c r="Z112"/>
      <c r="AA112"/>
      <c r="AB112"/>
      <c r="AC112"/>
      <c r="AD112"/>
      <c r="AE112"/>
      <c r="AF112"/>
      <c r="AG112"/>
      <c r="AH112"/>
      <c r="AI112"/>
      <c r="AJ112"/>
    </row>
    <row r="113" spans="1:36" ht="51.75">
      <c r="A113" s="867" t="s">
        <v>824</v>
      </c>
      <c r="B113" s="865"/>
      <c r="C113" s="1609"/>
      <c r="D113" s="1610"/>
      <c r="E113" s="1609"/>
      <c r="F113" s="1610"/>
      <c r="G113" s="847"/>
      <c r="H113" s="844"/>
      <c r="I113" s="848"/>
      <c r="J113" s="848"/>
      <c r="K113" s="848"/>
      <c r="L113" s="848"/>
      <c r="M113" s="849"/>
      <c r="N113" s="849"/>
      <c r="O113" s="849"/>
      <c r="P113" s="849"/>
      <c r="Q113" s="849"/>
      <c r="R113" s="866"/>
      <c r="S113"/>
      <c r="T113" s="973" t="s">
        <v>825</v>
      </c>
      <c r="U113"/>
      <c r="V113"/>
      <c r="W113"/>
      <c r="X113"/>
      <c r="Y113"/>
      <c r="Z113"/>
      <c r="AA113"/>
      <c r="AB113"/>
      <c r="AC113"/>
      <c r="AD113"/>
      <c r="AE113"/>
      <c r="AF113"/>
      <c r="AG113"/>
      <c r="AH113"/>
      <c r="AI113"/>
      <c r="AJ113"/>
    </row>
    <row r="114" spans="1:36">
      <c r="A114" s="864" t="s">
        <v>780</v>
      </c>
      <c r="B114" s="972" t="s">
        <v>781</v>
      </c>
      <c r="C114" s="1609">
        <v>0</v>
      </c>
      <c r="D114" s="1610"/>
      <c r="E114" s="1609">
        <v>1120.4666885232</v>
      </c>
      <c r="F114" s="1610"/>
      <c r="G114" s="847">
        <v>0</v>
      </c>
      <c r="H114" s="844">
        <v>0</v>
      </c>
      <c r="I114" s="848">
        <v>0</v>
      </c>
      <c r="J114" s="848">
        <v>0</v>
      </c>
      <c r="K114" s="848">
        <v>0</v>
      </c>
      <c r="L114" s="848">
        <v>0</v>
      </c>
      <c r="M114" s="849">
        <v>0</v>
      </c>
      <c r="N114" s="849">
        <f>M33*$B$83</f>
        <v>0</v>
      </c>
      <c r="O114" s="849">
        <v>364.42005931369999</v>
      </c>
      <c r="P114" s="848">
        <v>668.58242982969989</v>
      </c>
      <c r="Q114" s="849">
        <f>P33*$B$83</f>
        <v>0</v>
      </c>
      <c r="R114" s="866">
        <f>Q33*$B$83</f>
        <v>87.46419937980005</v>
      </c>
    </row>
    <row r="115" spans="1:36">
      <c r="A115" s="864" t="s">
        <v>782</v>
      </c>
      <c r="B115" s="972" t="s">
        <v>783</v>
      </c>
      <c r="C115" s="1609">
        <v>0</v>
      </c>
      <c r="D115" s="1610"/>
      <c r="E115" s="1609">
        <v>268.77640196580001</v>
      </c>
      <c r="F115" s="1610"/>
      <c r="G115" s="847">
        <v>0</v>
      </c>
      <c r="H115" s="844">
        <v>0</v>
      </c>
      <c r="I115" s="848">
        <v>0</v>
      </c>
      <c r="J115" s="848">
        <v>0</v>
      </c>
      <c r="K115" s="848">
        <v>0</v>
      </c>
      <c r="L115" s="848">
        <v>0</v>
      </c>
      <c r="M115" s="849">
        <v>0</v>
      </c>
      <c r="N115" s="849">
        <f t="shared" ref="N115:R123" si="6">M34*$B$83</f>
        <v>0</v>
      </c>
      <c r="O115" s="849">
        <v>92.506499234200007</v>
      </c>
      <c r="P115" s="848">
        <v>147.86960518160001</v>
      </c>
      <c r="Q115" s="849">
        <f t="shared" si="6"/>
        <v>0</v>
      </c>
      <c r="R115" s="866">
        <f t="shared" si="6"/>
        <v>28.400297550000001</v>
      </c>
    </row>
    <row r="116" spans="1:36">
      <c r="A116" s="864" t="s">
        <v>784</v>
      </c>
      <c r="B116" s="972" t="s">
        <v>785</v>
      </c>
      <c r="C116" s="1609">
        <v>0</v>
      </c>
      <c r="D116" s="1610"/>
      <c r="E116" s="1609">
        <v>252.84478964163779</v>
      </c>
      <c r="F116" s="1610"/>
      <c r="G116" s="847">
        <v>0</v>
      </c>
      <c r="H116" s="844">
        <v>0</v>
      </c>
      <c r="I116" s="848">
        <v>0</v>
      </c>
      <c r="J116" s="848">
        <v>0</v>
      </c>
      <c r="K116" s="848">
        <v>0</v>
      </c>
      <c r="L116" s="848">
        <v>0</v>
      </c>
      <c r="M116" s="849">
        <v>0</v>
      </c>
      <c r="N116" s="849">
        <f t="shared" si="6"/>
        <v>0</v>
      </c>
      <c r="O116" s="849">
        <v>83.697556630999998</v>
      </c>
      <c r="P116" s="848">
        <v>126.69251754119999</v>
      </c>
      <c r="Q116" s="849">
        <f t="shared" si="6"/>
        <v>3.0577257689609998</v>
      </c>
      <c r="R116" s="866">
        <f t="shared" si="6"/>
        <v>39.39698970047678</v>
      </c>
    </row>
    <row r="117" spans="1:36" ht="14.45" customHeight="1">
      <c r="A117" s="864" t="s">
        <v>786</v>
      </c>
      <c r="B117" s="972" t="s">
        <v>787</v>
      </c>
      <c r="C117" s="1609">
        <v>0</v>
      </c>
      <c r="D117" s="1610"/>
      <c r="E117" s="1609">
        <v>1115.6083557757001</v>
      </c>
      <c r="F117" s="1610"/>
      <c r="G117" s="847">
        <v>0</v>
      </c>
      <c r="H117" s="844">
        <v>0</v>
      </c>
      <c r="I117" s="848">
        <v>0</v>
      </c>
      <c r="J117" s="848">
        <v>0</v>
      </c>
      <c r="K117" s="848">
        <v>0</v>
      </c>
      <c r="L117" s="848">
        <v>0</v>
      </c>
      <c r="M117" s="849">
        <v>0</v>
      </c>
      <c r="N117" s="849">
        <f t="shared" si="6"/>
        <v>0</v>
      </c>
      <c r="O117" s="849">
        <v>384.78627271870005</v>
      </c>
      <c r="P117" s="848">
        <v>607.2353316594</v>
      </c>
      <c r="Q117" s="849">
        <f t="shared" si="6"/>
        <v>0</v>
      </c>
      <c r="R117" s="866">
        <f t="shared" si="6"/>
        <v>123.58675139759998</v>
      </c>
    </row>
    <row r="118" spans="1:36" ht="14.45" customHeight="1">
      <c r="A118" s="864" t="s">
        <v>788</v>
      </c>
      <c r="B118" s="972" t="s">
        <v>789</v>
      </c>
      <c r="C118" s="1609">
        <v>0</v>
      </c>
      <c r="D118" s="1610"/>
      <c r="E118" s="1609">
        <v>128.56547603663836</v>
      </c>
      <c r="F118" s="1610"/>
      <c r="G118" s="847">
        <v>0</v>
      </c>
      <c r="H118" s="844">
        <v>0</v>
      </c>
      <c r="I118" s="848">
        <v>0</v>
      </c>
      <c r="J118" s="848">
        <v>0</v>
      </c>
      <c r="K118" s="848">
        <v>0</v>
      </c>
      <c r="L118" s="848">
        <v>0</v>
      </c>
      <c r="M118" s="849">
        <v>0</v>
      </c>
      <c r="N118" s="849">
        <f t="shared" si="6"/>
        <v>0</v>
      </c>
      <c r="O118" s="849">
        <v>44.726332279999994</v>
      </c>
      <c r="P118" s="848">
        <v>64.140646303400004</v>
      </c>
      <c r="Q118" s="849">
        <f t="shared" si="6"/>
        <v>0</v>
      </c>
      <c r="R118" s="866">
        <f t="shared" si="6"/>
        <v>19.698497453238353</v>
      </c>
    </row>
    <row r="119" spans="1:36" ht="14.45" customHeight="1">
      <c r="A119" s="864" t="s">
        <v>790</v>
      </c>
      <c r="B119" s="972" t="s">
        <v>791</v>
      </c>
      <c r="C119" s="1609">
        <v>0</v>
      </c>
      <c r="D119" s="1610"/>
      <c r="E119" s="1609">
        <v>75.029867202780764</v>
      </c>
      <c r="F119" s="1610"/>
      <c r="G119" s="847">
        <v>0</v>
      </c>
      <c r="H119" s="844">
        <v>0</v>
      </c>
      <c r="I119" s="848">
        <v>0</v>
      </c>
      <c r="J119" s="848">
        <v>0</v>
      </c>
      <c r="K119" s="848">
        <v>0</v>
      </c>
      <c r="L119" s="848">
        <v>0</v>
      </c>
      <c r="M119" s="849">
        <v>0</v>
      </c>
      <c r="N119" s="849">
        <f t="shared" si="6"/>
        <v>0</v>
      </c>
      <c r="O119" s="849">
        <v>32.000830299600004</v>
      </c>
      <c r="P119" s="848">
        <v>46.787812150100002</v>
      </c>
      <c r="Q119" s="849">
        <f t="shared" si="6"/>
        <v>1.9000299175535359E-2</v>
      </c>
      <c r="R119" s="866">
        <f t="shared" si="6"/>
        <v>-3.7777755460947735</v>
      </c>
    </row>
    <row r="120" spans="1:36" ht="14.45" customHeight="1">
      <c r="A120" s="864" t="s">
        <v>792</v>
      </c>
      <c r="B120" s="972" t="s">
        <v>793</v>
      </c>
      <c r="C120" s="1609">
        <v>0</v>
      </c>
      <c r="D120" s="1610"/>
      <c r="E120" s="1609">
        <v>1123.4552036735545</v>
      </c>
      <c r="F120" s="1610"/>
      <c r="G120" s="847">
        <v>0</v>
      </c>
      <c r="H120" s="844">
        <v>0</v>
      </c>
      <c r="I120" s="848">
        <v>0</v>
      </c>
      <c r="J120" s="848">
        <v>0</v>
      </c>
      <c r="K120" s="848">
        <v>0</v>
      </c>
      <c r="L120" s="848">
        <v>0</v>
      </c>
      <c r="M120" s="849">
        <v>0</v>
      </c>
      <c r="N120" s="849">
        <f t="shared" si="6"/>
        <v>0</v>
      </c>
      <c r="O120" s="849">
        <v>353.15533570449998</v>
      </c>
      <c r="P120" s="848">
        <v>585.01430832100004</v>
      </c>
      <c r="Q120" s="849">
        <f t="shared" si="6"/>
        <v>0</v>
      </c>
      <c r="R120" s="866">
        <f t="shared" si="6"/>
        <v>185.28555964805454</v>
      </c>
    </row>
    <row r="121" spans="1:36" ht="14.45" customHeight="1">
      <c r="A121" s="864" t="s">
        <v>794</v>
      </c>
      <c r="B121" s="972" t="s">
        <v>795</v>
      </c>
      <c r="C121" s="1609">
        <v>0</v>
      </c>
      <c r="D121" s="1610"/>
      <c r="E121" s="1609">
        <v>252.20637382260207</v>
      </c>
      <c r="F121" s="1610"/>
      <c r="G121" s="847">
        <v>0</v>
      </c>
      <c r="H121" s="844">
        <v>0</v>
      </c>
      <c r="I121" s="848">
        <v>0</v>
      </c>
      <c r="J121" s="848">
        <v>0</v>
      </c>
      <c r="K121" s="848">
        <v>0</v>
      </c>
      <c r="L121" s="848">
        <v>0</v>
      </c>
      <c r="M121" s="849">
        <v>0</v>
      </c>
      <c r="N121" s="849">
        <f t="shared" si="6"/>
        <v>0</v>
      </c>
      <c r="O121" s="849">
        <v>87.250137040499993</v>
      </c>
      <c r="P121" s="848">
        <v>139.30238224519999</v>
      </c>
      <c r="Q121" s="849">
        <f t="shared" si="6"/>
        <v>0</v>
      </c>
      <c r="R121" s="866">
        <f t="shared" si="6"/>
        <v>25.653854536902081</v>
      </c>
    </row>
    <row r="122" spans="1:36" ht="14.45" customHeight="1">
      <c r="A122" s="864" t="s">
        <v>796</v>
      </c>
      <c r="B122" s="972" t="s">
        <v>797</v>
      </c>
      <c r="C122" s="1609">
        <v>0</v>
      </c>
      <c r="D122" s="1610"/>
      <c r="E122" s="1609">
        <v>150.38760485482501</v>
      </c>
      <c r="F122" s="1610"/>
      <c r="G122" s="847">
        <v>0</v>
      </c>
      <c r="H122" s="844">
        <v>0</v>
      </c>
      <c r="I122" s="848">
        <v>0</v>
      </c>
      <c r="J122" s="848">
        <v>0</v>
      </c>
      <c r="K122" s="848">
        <v>0</v>
      </c>
      <c r="L122" s="848">
        <v>0</v>
      </c>
      <c r="M122" s="849">
        <v>0</v>
      </c>
      <c r="N122" s="849">
        <f t="shared" si="6"/>
        <v>0</v>
      </c>
      <c r="O122" s="849">
        <v>51.934605978499995</v>
      </c>
      <c r="P122" s="848">
        <v>71.588441035599999</v>
      </c>
      <c r="Q122" s="849">
        <f t="shared" si="6"/>
        <v>3.9593355321175583</v>
      </c>
      <c r="R122" s="866">
        <f t="shared" si="6"/>
        <v>22.905222308607446</v>
      </c>
    </row>
    <row r="123" spans="1:36" ht="14.45" customHeight="1">
      <c r="A123" s="864" t="s">
        <v>798</v>
      </c>
      <c r="B123" s="972" t="s">
        <v>799</v>
      </c>
      <c r="C123" s="1609">
        <v>0</v>
      </c>
      <c r="D123" s="1610"/>
      <c r="E123" s="1609">
        <v>884.84829844091757</v>
      </c>
      <c r="F123" s="1610"/>
      <c r="G123" s="847">
        <v>0</v>
      </c>
      <c r="H123" s="844">
        <v>0</v>
      </c>
      <c r="I123" s="848">
        <v>0</v>
      </c>
      <c r="J123" s="848">
        <v>0</v>
      </c>
      <c r="K123" s="848">
        <v>0</v>
      </c>
      <c r="L123" s="848">
        <v>0</v>
      </c>
      <c r="M123" s="849">
        <v>0</v>
      </c>
      <c r="N123" s="849">
        <f t="shared" si="6"/>
        <v>0</v>
      </c>
      <c r="O123" s="849">
        <v>557.29130284750011</v>
      </c>
      <c r="P123" s="848">
        <v>237.04516346310001</v>
      </c>
      <c r="Q123" s="849">
        <f t="shared" si="6"/>
        <v>0</v>
      </c>
      <c r="R123" s="866">
        <f t="shared" si="6"/>
        <v>90.511832130317472</v>
      </c>
    </row>
    <row r="124" spans="1:36" ht="14.45" customHeight="1">
      <c r="A124" s="864"/>
      <c r="B124" s="865"/>
      <c r="C124" s="844"/>
      <c r="D124" s="845"/>
      <c r="E124" s="844"/>
      <c r="F124" s="845"/>
      <c r="G124" s="847"/>
      <c r="H124" s="844"/>
      <c r="I124" s="848"/>
      <c r="J124" s="848"/>
      <c r="K124" s="848"/>
      <c r="L124" s="848"/>
      <c r="M124" s="848"/>
      <c r="N124" s="848"/>
      <c r="O124" s="849"/>
      <c r="P124" s="849"/>
      <c r="Q124" s="849"/>
      <c r="R124" s="866"/>
    </row>
    <row r="125" spans="1:36" ht="14.45" customHeight="1">
      <c r="A125" s="864"/>
      <c r="B125" s="972"/>
      <c r="C125" s="931"/>
      <c r="D125" s="932"/>
      <c r="E125" s="931"/>
      <c r="F125" s="932"/>
      <c r="G125" s="847"/>
      <c r="H125" s="844"/>
      <c r="I125" s="848"/>
      <c r="J125" s="848"/>
      <c r="K125" s="848"/>
      <c r="L125" s="848"/>
      <c r="M125" s="849"/>
      <c r="N125" s="849"/>
      <c r="O125" s="849"/>
      <c r="P125" s="849"/>
      <c r="Q125" s="849"/>
      <c r="R125" s="866"/>
    </row>
    <row r="126" spans="1:36" ht="14.45" customHeight="1">
      <c r="A126" s="867" t="s">
        <v>800</v>
      </c>
      <c r="B126" s="865"/>
      <c r="C126" s="844"/>
      <c r="D126" s="845"/>
      <c r="E126" s="844"/>
      <c r="F126" s="845"/>
      <c r="G126" s="847"/>
      <c r="H126" s="844"/>
      <c r="I126" s="848"/>
      <c r="J126" s="848"/>
      <c r="K126" s="848"/>
      <c r="L126" s="848"/>
      <c r="M126" s="848"/>
      <c r="N126" s="848"/>
      <c r="O126" s="849"/>
      <c r="P126" s="849"/>
      <c r="Q126" s="849"/>
      <c r="R126" s="866"/>
    </row>
    <row r="127" spans="1:36" ht="24">
      <c r="A127" s="864" t="s">
        <v>802</v>
      </c>
      <c r="B127" s="865" t="s">
        <v>803</v>
      </c>
      <c r="C127" s="1609">
        <v>0</v>
      </c>
      <c r="D127" s="1610"/>
      <c r="E127" s="1609">
        <f t="shared" ref="E127:E130" si="7">SUM(G127:R127)</f>
        <v>545.51069999999993</v>
      </c>
      <c r="F127" s="1610"/>
      <c r="G127" s="847">
        <v>0</v>
      </c>
      <c r="H127" s="844">
        <v>0</v>
      </c>
      <c r="I127" s="848">
        <v>0</v>
      </c>
      <c r="J127" s="848">
        <v>0</v>
      </c>
      <c r="K127" s="848">
        <v>0</v>
      </c>
      <c r="L127" s="848">
        <v>0</v>
      </c>
      <c r="M127" s="849">
        <v>0</v>
      </c>
      <c r="N127" s="849">
        <f t="shared" ref="N127:N130" si="8">M47*$B$83</f>
        <v>0</v>
      </c>
      <c r="O127" s="849">
        <v>0</v>
      </c>
      <c r="P127" s="849">
        <v>408.07934999999998</v>
      </c>
      <c r="Q127" s="849">
        <f>P46*$B$83</f>
        <v>54.972540000000002</v>
      </c>
      <c r="R127" s="866">
        <f>Q46*$B$83</f>
        <v>82.45881</v>
      </c>
    </row>
    <row r="128" spans="1:36" ht="24">
      <c r="A128" s="864" t="s">
        <v>804</v>
      </c>
      <c r="B128" s="865" t="s">
        <v>805</v>
      </c>
      <c r="C128" s="1609">
        <v>0</v>
      </c>
      <c r="D128" s="1610"/>
      <c r="E128" s="1609">
        <f t="shared" si="7"/>
        <v>70.844632500000003</v>
      </c>
      <c r="F128" s="1610"/>
      <c r="G128" s="847">
        <v>0</v>
      </c>
      <c r="H128" s="844">
        <v>0</v>
      </c>
      <c r="I128" s="848">
        <v>0</v>
      </c>
      <c r="J128" s="848">
        <v>0</v>
      </c>
      <c r="K128" s="848">
        <v>0</v>
      </c>
      <c r="L128" s="848">
        <v>0</v>
      </c>
      <c r="M128" s="849">
        <v>0</v>
      </c>
      <c r="N128" s="849">
        <f t="shared" si="8"/>
        <v>0</v>
      </c>
      <c r="O128" s="849">
        <v>0</v>
      </c>
      <c r="P128" s="849">
        <v>53.28396</v>
      </c>
      <c r="Q128" s="849">
        <f t="shared" ref="Q128:R130" si="9">P47*$B$83</f>
        <v>7.0242690000000012</v>
      </c>
      <c r="R128" s="866">
        <f t="shared" si="9"/>
        <v>10.5364035</v>
      </c>
    </row>
    <row r="129" spans="1:20" ht="24">
      <c r="A129" s="864" t="s">
        <v>806</v>
      </c>
      <c r="B129" s="865" t="s">
        <v>807</v>
      </c>
      <c r="C129" s="1609">
        <v>0</v>
      </c>
      <c r="D129" s="1610"/>
      <c r="E129" s="1609">
        <f t="shared" si="7"/>
        <v>1789.0451685329997</v>
      </c>
      <c r="F129" s="1610"/>
      <c r="G129" s="847">
        <v>0</v>
      </c>
      <c r="H129" s="844">
        <v>0</v>
      </c>
      <c r="I129" s="848">
        <v>0</v>
      </c>
      <c r="J129" s="848">
        <v>0</v>
      </c>
      <c r="K129" s="848">
        <v>0</v>
      </c>
      <c r="L129" s="848">
        <v>0</v>
      </c>
      <c r="M129" s="849">
        <v>0</v>
      </c>
      <c r="N129" s="849">
        <f t="shared" si="8"/>
        <v>0</v>
      </c>
      <c r="O129" s="849">
        <v>0</v>
      </c>
      <c r="P129" s="849">
        <v>1442.4127635329999</v>
      </c>
      <c r="Q129" s="849">
        <f t="shared" si="9"/>
        <v>138.6529619999998</v>
      </c>
      <c r="R129" s="866">
        <f t="shared" si="9"/>
        <v>207.979443</v>
      </c>
    </row>
    <row r="130" spans="1:20" ht="24">
      <c r="A130" s="864" t="s">
        <v>808</v>
      </c>
      <c r="B130" s="865" t="s">
        <v>809</v>
      </c>
      <c r="C130" s="1609">
        <v>0</v>
      </c>
      <c r="D130" s="1610"/>
      <c r="E130" s="1609">
        <f t="shared" si="7"/>
        <v>260.74464552883887</v>
      </c>
      <c r="F130" s="1610"/>
      <c r="G130" s="847">
        <v>0</v>
      </c>
      <c r="H130" s="844">
        <v>0</v>
      </c>
      <c r="I130" s="848">
        <v>0</v>
      </c>
      <c r="J130" s="848">
        <v>0</v>
      </c>
      <c r="K130" s="848">
        <v>0</v>
      </c>
      <c r="L130" s="848">
        <v>0</v>
      </c>
      <c r="M130" s="849">
        <v>0</v>
      </c>
      <c r="N130" s="849">
        <f t="shared" si="8"/>
        <v>0</v>
      </c>
      <c r="O130" s="849">
        <v>0</v>
      </c>
      <c r="P130" s="849">
        <v>344.03618</v>
      </c>
      <c r="Q130" s="849">
        <f t="shared" si="9"/>
        <v>45.199643999999999</v>
      </c>
      <c r="R130" s="866">
        <f t="shared" si="9"/>
        <v>-128.49117847116111</v>
      </c>
    </row>
    <row r="131" spans="1:20">
      <c r="A131" s="864"/>
      <c r="B131" s="865"/>
      <c r="C131" s="844"/>
      <c r="D131" s="845"/>
      <c r="E131" s="844"/>
      <c r="F131" s="845"/>
      <c r="G131" s="847"/>
      <c r="H131" s="844"/>
      <c r="I131" s="848"/>
      <c r="J131" s="848"/>
      <c r="K131" s="848"/>
      <c r="L131" s="848"/>
      <c r="M131" s="848"/>
      <c r="N131" s="848"/>
      <c r="O131" s="849"/>
      <c r="P131" s="849"/>
      <c r="Q131" s="849"/>
      <c r="R131" s="866"/>
    </row>
    <row r="132" spans="1:20" ht="14.45" customHeight="1">
      <c r="A132" s="864"/>
      <c r="B132" s="865"/>
      <c r="C132" s="844"/>
      <c r="D132" s="845"/>
      <c r="E132" s="844"/>
      <c r="F132" s="845"/>
      <c r="G132" s="847"/>
      <c r="H132" s="844"/>
      <c r="I132" s="848"/>
      <c r="J132" s="848"/>
      <c r="K132" s="848"/>
      <c r="L132" s="848"/>
      <c r="M132" s="848"/>
      <c r="N132" s="848"/>
      <c r="O132" s="849"/>
      <c r="P132" s="849"/>
      <c r="Q132" s="849"/>
      <c r="R132" s="866"/>
    </row>
    <row r="133" spans="1:20" ht="14.45" customHeight="1">
      <c r="A133" s="867" t="s">
        <v>826</v>
      </c>
      <c r="B133" s="865"/>
      <c r="C133" s="844"/>
      <c r="D133" s="845"/>
      <c r="E133" s="844"/>
      <c r="F133" s="845"/>
      <c r="G133" s="847"/>
      <c r="H133" s="844"/>
      <c r="I133" s="848"/>
      <c r="J133" s="848"/>
      <c r="K133" s="848"/>
      <c r="L133" s="848"/>
      <c r="M133" s="848"/>
      <c r="N133" s="848"/>
      <c r="O133" s="849"/>
      <c r="P133" s="849"/>
      <c r="Q133" s="849"/>
      <c r="R133" s="866"/>
    </row>
    <row r="134" spans="1:20" ht="36">
      <c r="A134" s="864" t="s">
        <v>811</v>
      </c>
      <c r="B134" s="865" t="s">
        <v>812</v>
      </c>
      <c r="C134" s="1609">
        <v>0</v>
      </c>
      <c r="D134" s="1610"/>
      <c r="E134" s="1609">
        <f t="shared" ref="E134" si="10">SUM(G134:R134)</f>
        <v>154.96756648995</v>
      </c>
      <c r="F134" s="1610"/>
      <c r="G134" s="847">
        <v>0</v>
      </c>
      <c r="H134" s="844">
        <v>0</v>
      </c>
      <c r="I134" s="848">
        <v>0</v>
      </c>
      <c r="J134" s="848">
        <v>0</v>
      </c>
      <c r="K134" s="848">
        <v>0</v>
      </c>
      <c r="L134" s="848">
        <v>0</v>
      </c>
      <c r="M134" s="849">
        <v>0</v>
      </c>
      <c r="N134" s="849">
        <f>M53*$B$83</f>
        <v>0</v>
      </c>
      <c r="O134" s="849">
        <v>0</v>
      </c>
      <c r="P134" s="849">
        <v>54.459973645200002</v>
      </c>
      <c r="Q134" s="849">
        <v>85.044886253249999</v>
      </c>
      <c r="R134" s="845">
        <v>15.4627065915</v>
      </c>
    </row>
    <row r="135" spans="1:20">
      <c r="A135" s="864"/>
      <c r="B135" s="865"/>
      <c r="C135" s="844"/>
      <c r="D135" s="845"/>
      <c r="E135" s="844"/>
      <c r="F135" s="845"/>
      <c r="G135" s="847"/>
      <c r="H135" s="844"/>
      <c r="I135" s="848"/>
      <c r="J135" s="848"/>
      <c r="K135" s="848"/>
      <c r="L135" s="848"/>
      <c r="M135" s="848"/>
      <c r="N135" s="848"/>
      <c r="O135" s="849">
        <v>34.771619999999999</v>
      </c>
      <c r="P135" s="849">
        <v>0</v>
      </c>
      <c r="Q135" s="849">
        <v>96.420090000000002</v>
      </c>
      <c r="R135" s="845">
        <v>96.420090000000002</v>
      </c>
    </row>
    <row r="136" spans="1:20" ht="14.45" customHeight="1">
      <c r="A136" s="864"/>
      <c r="B136" s="865"/>
      <c r="C136" s="844"/>
      <c r="D136" s="845"/>
      <c r="E136" s="844"/>
      <c r="F136" s="845"/>
      <c r="G136" s="847"/>
      <c r="H136" s="844"/>
      <c r="I136" s="848"/>
      <c r="J136" s="848"/>
      <c r="K136" s="848"/>
      <c r="L136" s="848"/>
      <c r="M136" s="848"/>
      <c r="N136" s="848"/>
      <c r="O136" s="849">
        <v>0</v>
      </c>
      <c r="P136" s="849">
        <v>49.877910061999998</v>
      </c>
      <c r="Q136" s="849">
        <v>0</v>
      </c>
      <c r="R136" s="845">
        <v>0</v>
      </c>
    </row>
    <row r="137" spans="1:20" ht="14.45" customHeight="1">
      <c r="A137" s="867" t="s">
        <v>827</v>
      </c>
      <c r="B137" s="865"/>
      <c r="C137" s="844"/>
      <c r="D137" s="845"/>
      <c r="E137" s="844"/>
      <c r="F137" s="845"/>
      <c r="G137" s="847"/>
      <c r="H137" s="844"/>
      <c r="I137" s="848"/>
      <c r="J137" s="848"/>
      <c r="K137" s="848"/>
      <c r="L137" s="848"/>
      <c r="M137" s="848"/>
      <c r="N137" s="848"/>
      <c r="O137" s="849"/>
      <c r="P137" s="849"/>
      <c r="Q137" s="849"/>
      <c r="R137" s="866"/>
    </row>
    <row r="138" spans="1:20" ht="14.45" customHeight="1">
      <c r="A138" s="864" t="s">
        <v>828</v>
      </c>
      <c r="B138" s="865"/>
      <c r="C138" s="1609">
        <v>146.23560665418495</v>
      </c>
      <c r="D138" s="1610"/>
      <c r="E138" s="1609">
        <v>-146.23560665418495</v>
      </c>
      <c r="F138" s="1610"/>
      <c r="G138" s="846">
        <v>0</v>
      </c>
      <c r="H138" s="844">
        <v>0</v>
      </c>
      <c r="I138" s="848">
        <v>0</v>
      </c>
      <c r="J138" s="848">
        <v>0</v>
      </c>
      <c r="K138" s="848">
        <v>0</v>
      </c>
      <c r="L138" s="848">
        <v>0</v>
      </c>
      <c r="M138" s="849">
        <v>0</v>
      </c>
      <c r="N138" s="849">
        <f t="shared" ref="N138" si="11">M58*$B$83</f>
        <v>0</v>
      </c>
      <c r="O138" s="849">
        <v>22.131281502747633</v>
      </c>
      <c r="P138" s="849">
        <v>-15.720948559897099</v>
      </c>
      <c r="Q138" s="849">
        <v>-81.388098831111591</v>
      </c>
      <c r="R138" s="866">
        <v>-71.257840765923874</v>
      </c>
      <c r="T138" s="516" t="s">
        <v>829</v>
      </c>
    </row>
    <row r="139" spans="1:20" ht="14.45" hidden="1" customHeight="1">
      <c r="A139" s="864"/>
      <c r="B139" s="865"/>
      <c r="C139" s="844"/>
      <c r="D139" s="845"/>
      <c r="E139" s="844"/>
      <c r="F139" s="845"/>
      <c r="G139" s="846"/>
      <c r="H139" s="847"/>
      <c r="I139" s="848"/>
      <c r="J139" s="848"/>
      <c r="K139" s="848"/>
      <c r="L139" s="848"/>
      <c r="M139" s="848"/>
      <c r="N139" s="848"/>
      <c r="O139" s="849"/>
      <c r="P139" s="849"/>
      <c r="Q139" s="849"/>
      <c r="R139" s="866"/>
    </row>
    <row r="140" spans="1:20" ht="14.45" hidden="1" customHeight="1">
      <c r="A140" s="944"/>
      <c r="B140" s="974"/>
      <c r="C140" s="975"/>
      <c r="D140" s="976"/>
      <c r="E140" s="975"/>
      <c r="F140" s="976"/>
      <c r="G140" s="947"/>
      <c r="H140" s="947"/>
      <c r="I140" s="947"/>
      <c r="J140" s="947"/>
      <c r="K140" s="947"/>
      <c r="L140" s="947"/>
      <c r="M140" s="947"/>
      <c r="N140" s="947"/>
      <c r="O140" s="947"/>
      <c r="P140" s="947"/>
      <c r="Q140" s="947"/>
      <c r="R140" s="947"/>
    </row>
    <row r="141" spans="1:20" ht="14.45" hidden="1" customHeight="1">
      <c r="A141" s="944"/>
      <c r="B141" s="974"/>
      <c r="C141" s="975"/>
      <c r="D141" s="976"/>
      <c r="E141" s="975"/>
      <c r="F141" s="976"/>
      <c r="G141" s="947"/>
      <c r="H141" s="947"/>
      <c r="I141" s="947"/>
      <c r="J141" s="947"/>
      <c r="K141" s="947"/>
      <c r="L141" s="947"/>
      <c r="M141" s="947"/>
      <c r="N141" s="947"/>
      <c r="O141" s="947"/>
      <c r="P141" s="947"/>
      <c r="Q141" s="947"/>
      <c r="R141" s="947"/>
    </row>
    <row r="142" spans="1:20" ht="14.45" hidden="1" customHeight="1">
      <c r="A142" s="944"/>
      <c r="B142" s="974"/>
      <c r="C142" s="975"/>
      <c r="D142" s="976"/>
      <c r="E142" s="975"/>
      <c r="F142" s="976"/>
      <c r="G142" s="947"/>
      <c r="H142" s="947"/>
      <c r="I142" s="947"/>
      <c r="J142" s="947"/>
      <c r="K142" s="947"/>
      <c r="L142" s="947"/>
      <c r="M142" s="947"/>
      <c r="N142" s="947"/>
      <c r="O142" s="947"/>
      <c r="P142" s="947"/>
      <c r="Q142" s="947"/>
      <c r="R142" s="947"/>
    </row>
    <row r="143" spans="1:20" ht="14.45" hidden="1" customHeight="1">
      <c r="A143" s="944"/>
      <c r="B143" s="974"/>
      <c r="C143" s="975"/>
      <c r="D143" s="976"/>
      <c r="E143" s="975"/>
      <c r="F143" s="976"/>
      <c r="G143" s="947"/>
      <c r="H143" s="947"/>
      <c r="I143" s="947"/>
      <c r="J143" s="947"/>
      <c r="K143" s="947"/>
      <c r="L143" s="947"/>
      <c r="M143" s="947"/>
      <c r="N143" s="947"/>
      <c r="O143" s="947"/>
      <c r="P143" s="947"/>
      <c r="Q143" s="947"/>
      <c r="R143" s="947"/>
    </row>
    <row r="144" spans="1:20" ht="14.45" hidden="1" customHeight="1">
      <c r="A144" s="944"/>
      <c r="B144" s="974"/>
      <c r="C144" s="975"/>
      <c r="D144" s="976"/>
      <c r="E144" s="975"/>
      <c r="F144" s="976"/>
      <c r="G144" s="947"/>
      <c r="H144" s="947"/>
      <c r="I144" s="947"/>
      <c r="J144" s="947"/>
      <c r="K144" s="947"/>
      <c r="L144" s="947"/>
      <c r="M144" s="947"/>
      <c r="N144" s="947"/>
      <c r="O144" s="947"/>
      <c r="P144" s="947"/>
      <c r="Q144" s="947"/>
      <c r="R144" s="947"/>
    </row>
    <row r="145" spans="1:18" ht="14.45" hidden="1" customHeight="1">
      <c r="A145" s="944"/>
      <c r="B145" s="974"/>
      <c r="C145" s="975"/>
      <c r="D145" s="976"/>
      <c r="E145" s="975"/>
      <c r="F145" s="976"/>
      <c r="G145" s="947"/>
      <c r="H145" s="947"/>
      <c r="I145" s="947"/>
      <c r="J145" s="947"/>
      <c r="K145" s="947"/>
      <c r="L145" s="947"/>
      <c r="M145" s="947"/>
      <c r="N145" s="947"/>
      <c r="O145" s="947"/>
      <c r="P145" s="947"/>
      <c r="Q145" s="947"/>
      <c r="R145" s="947"/>
    </row>
    <row r="146" spans="1:18" ht="14.45" hidden="1" customHeight="1">
      <c r="A146" s="944"/>
      <c r="B146" s="974"/>
      <c r="C146" s="975"/>
      <c r="D146" s="976"/>
      <c r="E146" s="975"/>
      <c r="F146" s="976"/>
      <c r="G146" s="947"/>
      <c r="H146" s="947"/>
      <c r="I146" s="947"/>
      <c r="J146" s="947"/>
      <c r="K146" s="947"/>
      <c r="L146" s="947"/>
      <c r="M146" s="947"/>
      <c r="N146" s="947"/>
      <c r="O146" s="947"/>
      <c r="P146" s="947"/>
      <c r="Q146" s="947"/>
      <c r="R146" s="947"/>
    </row>
    <row r="147" spans="1:18" ht="14.45" hidden="1" customHeight="1">
      <c r="A147" s="944"/>
      <c r="B147" s="974"/>
      <c r="C147" s="975"/>
      <c r="D147" s="976"/>
      <c r="E147" s="975"/>
      <c r="F147" s="976"/>
      <c r="G147" s="947"/>
      <c r="H147" s="947"/>
      <c r="I147" s="947"/>
      <c r="J147" s="947"/>
      <c r="K147" s="947"/>
      <c r="L147" s="947"/>
      <c r="M147" s="947"/>
      <c r="N147" s="947"/>
      <c r="O147" s="947"/>
      <c r="P147" s="947"/>
      <c r="Q147" s="947"/>
      <c r="R147" s="947"/>
    </row>
    <row r="148" spans="1:18" ht="14.45" hidden="1" customHeight="1">
      <c r="A148" s="944"/>
      <c r="B148" s="974"/>
      <c r="C148" s="975"/>
      <c r="D148" s="976"/>
      <c r="E148" s="975"/>
      <c r="F148" s="976"/>
      <c r="G148" s="947"/>
      <c r="H148" s="947"/>
      <c r="I148" s="947"/>
      <c r="J148" s="947"/>
      <c r="K148" s="947"/>
      <c r="L148" s="947"/>
      <c r="M148" s="947"/>
      <c r="N148" s="947"/>
      <c r="O148" s="947"/>
      <c r="P148" s="947"/>
      <c r="Q148" s="947"/>
      <c r="R148" s="947"/>
    </row>
    <row r="149" spans="1:18" ht="14.45" hidden="1" customHeight="1">
      <c r="A149" s="944"/>
      <c r="B149" s="974"/>
      <c r="C149" s="975"/>
      <c r="D149" s="976"/>
      <c r="E149" s="975"/>
      <c r="F149" s="976"/>
      <c r="G149" s="947"/>
      <c r="H149" s="947"/>
      <c r="I149" s="947"/>
      <c r="J149" s="947"/>
      <c r="K149" s="947"/>
      <c r="L149" s="947"/>
      <c r="M149" s="947"/>
      <c r="N149" s="947"/>
      <c r="O149" s="947"/>
      <c r="P149" s="947"/>
      <c r="Q149" s="947"/>
      <c r="R149" s="947"/>
    </row>
    <row r="150" spans="1:18" ht="14.45" hidden="1" customHeight="1">
      <c r="A150" s="944"/>
      <c r="B150" s="974"/>
      <c r="C150" s="975"/>
      <c r="D150" s="976"/>
      <c r="E150" s="975"/>
      <c r="F150" s="976"/>
      <c r="G150" s="947"/>
      <c r="H150" s="947"/>
      <c r="I150" s="947"/>
      <c r="J150" s="947"/>
      <c r="K150" s="947"/>
      <c r="L150" s="947"/>
      <c r="M150" s="947"/>
      <c r="N150" s="947"/>
      <c r="O150" s="947"/>
      <c r="P150" s="947"/>
      <c r="Q150" s="947"/>
      <c r="R150" s="947"/>
    </row>
    <row r="151" spans="1:18" ht="14.45" hidden="1" customHeight="1">
      <c r="A151" s="944"/>
      <c r="B151" s="974"/>
      <c r="C151" s="975"/>
      <c r="D151" s="976"/>
      <c r="E151" s="975"/>
      <c r="F151" s="976"/>
      <c r="G151" s="947"/>
      <c r="H151" s="947"/>
      <c r="I151" s="947"/>
      <c r="J151" s="947"/>
      <c r="K151" s="947"/>
      <c r="L151" s="947"/>
      <c r="M151" s="947"/>
      <c r="N151" s="947"/>
      <c r="O151" s="947"/>
      <c r="P151" s="947"/>
      <c r="Q151" s="947"/>
      <c r="R151" s="947"/>
    </row>
    <row r="152" spans="1:18" ht="14.45" hidden="1" customHeight="1">
      <c r="A152" s="944"/>
      <c r="B152" s="974"/>
      <c r="C152" s="975"/>
      <c r="D152" s="976"/>
      <c r="E152" s="975"/>
      <c r="F152" s="976"/>
      <c r="G152" s="947"/>
      <c r="H152" s="947"/>
      <c r="I152" s="947"/>
      <c r="J152" s="947"/>
      <c r="K152" s="947"/>
      <c r="L152" s="947"/>
      <c r="M152" s="947"/>
      <c r="N152" s="947"/>
      <c r="O152" s="947"/>
      <c r="P152" s="947"/>
      <c r="Q152" s="947"/>
      <c r="R152" s="947"/>
    </row>
    <row r="153" spans="1:18" ht="14.45" hidden="1" customHeight="1">
      <c r="A153" s="944"/>
      <c r="B153" s="974"/>
      <c r="C153" s="975"/>
      <c r="D153" s="976"/>
      <c r="E153" s="975"/>
      <c r="F153" s="976"/>
      <c r="G153" s="947"/>
      <c r="H153" s="947"/>
      <c r="I153" s="947"/>
      <c r="J153" s="947"/>
      <c r="K153" s="947"/>
      <c r="L153" s="947"/>
      <c r="M153" s="947"/>
      <c r="N153" s="947"/>
      <c r="O153" s="947"/>
      <c r="P153" s="947"/>
      <c r="Q153" s="947"/>
      <c r="R153" s="947"/>
    </row>
    <row r="154" spans="1:18" ht="14.45" hidden="1" customHeight="1">
      <c r="A154" s="944"/>
      <c r="B154" s="974"/>
      <c r="C154" s="975"/>
      <c r="D154" s="976"/>
      <c r="E154" s="975"/>
      <c r="F154" s="976"/>
      <c r="G154" s="947"/>
      <c r="H154" s="947"/>
      <c r="I154" s="947"/>
      <c r="J154" s="947"/>
      <c r="K154" s="947"/>
      <c r="L154" s="947"/>
      <c r="M154" s="947"/>
      <c r="N154" s="947"/>
      <c r="O154" s="947"/>
      <c r="P154" s="947"/>
      <c r="Q154" s="947"/>
      <c r="R154" s="947"/>
    </row>
    <row r="155" spans="1:18" ht="14.45" hidden="1" customHeight="1">
      <c r="A155" s="944"/>
      <c r="B155" s="974"/>
      <c r="C155" s="975"/>
      <c r="D155" s="976"/>
      <c r="E155" s="975"/>
      <c r="F155" s="976"/>
      <c r="G155" s="947"/>
      <c r="H155" s="947"/>
      <c r="I155" s="947"/>
      <c r="J155" s="947"/>
      <c r="K155" s="947"/>
      <c r="L155" s="947"/>
      <c r="M155" s="947"/>
      <c r="N155" s="947"/>
      <c r="O155" s="947"/>
      <c r="P155" s="947"/>
      <c r="Q155" s="947"/>
      <c r="R155" s="947"/>
    </row>
    <row r="156" spans="1:18" ht="14.45" hidden="1" customHeight="1">
      <c r="A156" s="944"/>
      <c r="B156" s="974"/>
      <c r="C156" s="975"/>
      <c r="D156" s="976"/>
      <c r="E156" s="975"/>
      <c r="F156" s="976"/>
      <c r="G156" s="947"/>
      <c r="H156" s="947"/>
      <c r="I156" s="947"/>
      <c r="J156" s="947"/>
      <c r="K156" s="947"/>
      <c r="L156" s="947"/>
      <c r="M156" s="947"/>
      <c r="N156" s="947"/>
      <c r="O156" s="947"/>
      <c r="P156" s="947"/>
      <c r="Q156" s="947"/>
      <c r="R156" s="947"/>
    </row>
    <row r="157" spans="1:18" ht="14.45" hidden="1" customHeight="1">
      <c r="A157" s="944"/>
      <c r="B157" s="974"/>
      <c r="C157" s="975"/>
      <c r="D157" s="976"/>
      <c r="E157" s="975"/>
      <c r="F157" s="976"/>
      <c r="G157" s="947"/>
      <c r="H157" s="947"/>
      <c r="I157" s="947"/>
      <c r="J157" s="947"/>
      <c r="K157" s="947"/>
      <c r="L157" s="947"/>
      <c r="M157" s="947"/>
      <c r="N157" s="947"/>
      <c r="O157" s="947"/>
      <c r="P157" s="947"/>
      <c r="Q157" s="947"/>
      <c r="R157" s="947"/>
    </row>
    <row r="158" spans="1:18" ht="14.45" hidden="1" customHeight="1">
      <c r="A158" s="944"/>
      <c r="B158" s="974"/>
      <c r="C158" s="975"/>
      <c r="D158" s="976"/>
      <c r="E158" s="975"/>
      <c r="F158" s="976"/>
      <c r="G158" s="947"/>
      <c r="H158" s="947"/>
      <c r="I158" s="947"/>
      <c r="J158" s="947"/>
      <c r="K158" s="947"/>
      <c r="L158" s="947"/>
      <c r="M158" s="947"/>
      <c r="N158" s="947"/>
      <c r="O158" s="947"/>
      <c r="P158" s="947"/>
      <c r="Q158" s="947"/>
      <c r="R158" s="947"/>
    </row>
    <row r="159" spans="1:18" ht="14.45" hidden="1" customHeight="1">
      <c r="A159" s="944"/>
      <c r="B159" s="974"/>
      <c r="C159" s="975"/>
      <c r="D159" s="976"/>
      <c r="E159" s="975"/>
      <c r="F159" s="976"/>
      <c r="G159" s="947"/>
      <c r="H159" s="947"/>
      <c r="I159" s="947"/>
      <c r="J159" s="947"/>
      <c r="K159" s="947"/>
      <c r="L159" s="947"/>
      <c r="M159" s="947"/>
      <c r="N159" s="947"/>
      <c r="O159" s="947"/>
      <c r="P159" s="947"/>
      <c r="Q159" s="947"/>
      <c r="R159" s="947"/>
    </row>
    <row r="160" spans="1:18">
      <c r="A160" s="1600" t="s">
        <v>813</v>
      </c>
      <c r="B160" s="1601"/>
      <c r="C160" s="1602">
        <f>SUM(C89:D159)</f>
        <v>3837.4422875492855</v>
      </c>
      <c r="D160" s="1603"/>
      <c r="E160" s="1604">
        <f>SUM(E89:F159)</f>
        <v>98864.351139385486</v>
      </c>
      <c r="F160" s="1605"/>
      <c r="G160" s="977">
        <f>G161/$B$83</f>
        <v>0</v>
      </c>
      <c r="H160" s="977">
        <f t="shared" ref="H160:R160" si="12">H161/$B$83</f>
        <v>0</v>
      </c>
      <c r="I160" s="977">
        <f t="shared" si="12"/>
        <v>0</v>
      </c>
      <c r="J160" s="977">
        <f t="shared" si="12"/>
        <v>0</v>
      </c>
      <c r="K160" s="977">
        <f t="shared" si="12"/>
        <v>0</v>
      </c>
      <c r="L160" s="977">
        <f t="shared" si="12"/>
        <v>46208.912477938989</v>
      </c>
      <c r="M160" s="977">
        <f t="shared" si="12"/>
        <v>191.04265511471684</v>
      </c>
      <c r="N160" s="977">
        <f t="shared" si="12"/>
        <v>11918.641030048819</v>
      </c>
      <c r="O160" s="977">
        <f t="shared" si="12"/>
        <v>35753.442896531946</v>
      </c>
      <c r="P160" s="977">
        <f t="shared" si="12"/>
        <v>6701.2805375234884</v>
      </c>
      <c r="Q160" s="977">
        <f t="shared" si="12"/>
        <v>3798.5930343336927</v>
      </c>
      <c r="R160" s="978">
        <f t="shared" si="12"/>
        <v>9047.2408088973316</v>
      </c>
    </row>
    <row r="161" spans="1:18">
      <c r="A161" s="1600" t="s">
        <v>814</v>
      </c>
      <c r="B161" s="1601"/>
      <c r="C161" s="1606">
        <f>C160*$B$83</f>
        <v>3348.4753912697556</v>
      </c>
      <c r="D161" s="1607"/>
      <c r="E161" s="1606">
        <f>E160*$B$83</f>
        <v>86267.055517204994</v>
      </c>
      <c r="F161" s="1608"/>
      <c r="G161" s="979">
        <f>SUM(G103:G159)</f>
        <v>0</v>
      </c>
      <c r="H161" s="979">
        <f t="shared" ref="H161:R161" si="13">SUM(H103:H159)</f>
        <v>0</v>
      </c>
      <c r="I161" s="979">
        <f t="shared" si="13"/>
        <v>0</v>
      </c>
      <c r="J161" s="979">
        <f t="shared" si="13"/>
        <v>0</v>
      </c>
      <c r="K161" s="979">
        <f t="shared" si="13"/>
        <v>0</v>
      </c>
      <c r="L161" s="979">
        <f t="shared" si="13"/>
        <v>40320.972850000006</v>
      </c>
      <c r="M161" s="979">
        <f t="shared" si="13"/>
        <v>166.69999999999962</v>
      </c>
      <c r="N161" s="979">
        <f t="shared" si="13"/>
        <v>10399.967789999999</v>
      </c>
      <c r="O161" s="979">
        <f t="shared" si="13"/>
        <v>31197.739202655848</v>
      </c>
      <c r="P161" s="979">
        <f t="shared" si="13"/>
        <v>5847.4033714322459</v>
      </c>
      <c r="Q161" s="979">
        <f t="shared" si="13"/>
        <v>3314.5763098988937</v>
      </c>
      <c r="R161" s="980">
        <f t="shared" si="13"/>
        <v>7894.4413850276333</v>
      </c>
    </row>
    <row r="164" spans="1:18" ht="15">
      <c r="A164" s="869" t="s">
        <v>830</v>
      </c>
      <c r="B164"/>
      <c r="C164"/>
      <c r="D164"/>
      <c r="E164"/>
      <c r="F164"/>
      <c r="G164"/>
      <c r="H164"/>
      <c r="I164"/>
      <c r="J164"/>
      <c r="K164"/>
      <c r="L164"/>
      <c r="M164" s="868"/>
      <c r="N164" s="868"/>
      <c r="O164" s="868"/>
      <c r="P164" s="868"/>
      <c r="Q164" s="868"/>
      <c r="R164"/>
    </row>
    <row r="165" spans="1:18" ht="15">
      <c r="A165" s="516" t="s">
        <v>831</v>
      </c>
      <c r="B165"/>
      <c r="C165"/>
      <c r="D165"/>
      <c r="E165"/>
      <c r="F165"/>
      <c r="G165"/>
      <c r="H165"/>
      <c r="I165"/>
      <c r="J165"/>
      <c r="K165"/>
      <c r="L165"/>
      <c r="M165" s="868"/>
      <c r="N165" s="868"/>
      <c r="O165" s="868"/>
      <c r="P165" s="868"/>
      <c r="Q165" s="868"/>
      <c r="R165"/>
    </row>
    <row r="166" spans="1:18" ht="15">
      <c r="A166" s="869"/>
      <c r="B166"/>
      <c r="C166"/>
      <c r="D166"/>
      <c r="E166"/>
      <c r="F166"/>
      <c r="G166"/>
      <c r="H166"/>
      <c r="I166"/>
      <c r="J166"/>
      <c r="K166"/>
      <c r="L166"/>
      <c r="M166" s="868"/>
      <c r="N166" s="868"/>
      <c r="O166" s="868"/>
      <c r="P166" s="868"/>
      <c r="Q166" s="868"/>
      <c r="R166"/>
    </row>
    <row r="167" spans="1:18" ht="15">
      <c r="A167" s="869" t="s">
        <v>832</v>
      </c>
      <c r="B167"/>
      <c r="C167"/>
      <c r="D167"/>
      <c r="E167"/>
      <c r="F167"/>
      <c r="G167"/>
      <c r="H167"/>
      <c r="I167"/>
      <c r="J167"/>
      <c r="K167"/>
      <c r="L167"/>
      <c r="M167" s="868"/>
      <c r="N167" s="868"/>
      <c r="O167" s="868"/>
      <c r="P167" s="868"/>
      <c r="Q167" s="868"/>
      <c r="R167"/>
    </row>
    <row r="168" spans="1:18" ht="15">
      <c r="A168" s="516" t="s">
        <v>833</v>
      </c>
      <c r="B168"/>
      <c r="C168"/>
      <c r="D168"/>
      <c r="E168"/>
      <c r="F168"/>
      <c r="G168"/>
      <c r="H168"/>
      <c r="I168"/>
      <c r="J168"/>
      <c r="K168"/>
      <c r="L168"/>
      <c r="M168" s="868"/>
      <c r="N168" s="868"/>
      <c r="O168" s="868"/>
      <c r="P168" s="868"/>
      <c r="Q168" s="868"/>
      <c r="R168"/>
    </row>
    <row r="169" spans="1:18" ht="15">
      <c r="A169" s="981" t="s">
        <v>834</v>
      </c>
      <c r="B169"/>
      <c r="C169"/>
      <c r="D169"/>
      <c r="E169"/>
      <c r="F169"/>
      <c r="G169"/>
      <c r="H169"/>
      <c r="I169"/>
      <c r="J169"/>
      <c r="K169"/>
      <c r="L169"/>
      <c r="M169" s="868"/>
      <c r="N169" s="868"/>
      <c r="O169" s="868"/>
      <c r="P169" s="868"/>
      <c r="Q169" s="868"/>
      <c r="R169"/>
    </row>
    <row r="170" spans="1:18" ht="15">
      <c r="A170" s="516" t="s">
        <v>835</v>
      </c>
      <c r="B170"/>
      <c r="C170"/>
      <c r="D170"/>
      <c r="E170"/>
      <c r="F170"/>
      <c r="G170"/>
      <c r="H170"/>
      <c r="I170"/>
      <c r="J170"/>
      <c r="K170"/>
      <c r="L170"/>
      <c r="M170"/>
      <c r="N170"/>
      <c r="O170"/>
      <c r="P170"/>
      <c r="Q170"/>
      <c r="R170"/>
    </row>
    <row r="171" spans="1:18" ht="15">
      <c r="A171" s="516" t="s">
        <v>836</v>
      </c>
      <c r="B171" s="870"/>
      <c r="C171"/>
      <c r="D171"/>
      <c r="E171"/>
      <c r="F171" s="850"/>
      <c r="G171" s="850"/>
      <c r="H171" s="851"/>
      <c r="I171" s="850"/>
      <c r="J171" s="850"/>
      <c r="K171" s="852"/>
      <c r="L171" s="853"/>
      <c r="M171" s="853"/>
      <c r="N171" s="853"/>
      <c r="O171" s="853"/>
      <c r="P171" s="853"/>
      <c r="Q171" s="853"/>
      <c r="R171" s="854"/>
    </row>
    <row r="172" spans="1:18" ht="15">
      <c r="A172" s="516" t="s">
        <v>837</v>
      </c>
      <c r="B172"/>
      <c r="C172"/>
      <c r="D172"/>
      <c r="E172"/>
      <c r="F172"/>
      <c r="G172"/>
      <c r="H172"/>
      <c r="I172"/>
      <c r="J172"/>
      <c r="K172"/>
      <c r="L172"/>
      <c r="M172"/>
      <c r="N172"/>
      <c r="O172"/>
      <c r="P172"/>
      <c r="Q172"/>
      <c r="R172"/>
    </row>
    <row r="173" spans="1:18" ht="15">
      <c r="A173" s="981" t="s">
        <v>838</v>
      </c>
      <c r="B173"/>
      <c r="C173"/>
      <c r="D173"/>
      <c r="E173"/>
      <c r="F173"/>
      <c r="G173"/>
      <c r="H173"/>
      <c r="I173"/>
      <c r="J173"/>
      <c r="K173"/>
      <c r="L173"/>
      <c r="M173"/>
      <c r="N173"/>
      <c r="O173"/>
      <c r="P173"/>
      <c r="Q173"/>
      <c r="R173"/>
    </row>
    <row r="174" spans="1:18" ht="15">
      <c r="A174" s="516" t="s">
        <v>839</v>
      </c>
      <c r="B174"/>
      <c r="C174"/>
      <c r="D174"/>
      <c r="E174"/>
      <c r="F174"/>
      <c r="G174"/>
      <c r="H174"/>
      <c r="I174"/>
      <c r="J174"/>
      <c r="K174"/>
      <c r="L174"/>
      <c r="M174"/>
      <c r="N174"/>
      <c r="O174"/>
      <c r="P174"/>
      <c r="Q174"/>
      <c r="R174"/>
    </row>
    <row r="175" spans="1:18" ht="15">
      <c r="A175" s="516" t="s">
        <v>840</v>
      </c>
      <c r="B175"/>
      <c r="C175"/>
      <c r="D175"/>
      <c r="E175"/>
      <c r="F175"/>
      <c r="G175"/>
      <c r="H175"/>
      <c r="I175"/>
      <c r="J175"/>
      <c r="K175"/>
      <c r="L175"/>
      <c r="M175"/>
      <c r="N175"/>
      <c r="O175"/>
      <c r="P175"/>
      <c r="Q175"/>
      <c r="R175"/>
    </row>
    <row r="176" spans="1:18" ht="15">
      <c r="A176" s="516" t="s">
        <v>841</v>
      </c>
      <c r="B176"/>
      <c r="C176"/>
      <c r="D176"/>
      <c r="E176"/>
      <c r="F176"/>
      <c r="G176"/>
      <c r="H176"/>
      <c r="I176"/>
      <c r="J176"/>
      <c r="K176"/>
      <c r="L176"/>
      <c r="M176"/>
      <c r="N176"/>
      <c r="O176"/>
      <c r="P176"/>
      <c r="Q176"/>
      <c r="R176"/>
    </row>
    <row r="177" spans="1:18" ht="15">
      <c r="A177" s="516" t="s">
        <v>842</v>
      </c>
      <c r="B177"/>
      <c r="C177"/>
      <c r="D177"/>
      <c r="E177"/>
      <c r="F177"/>
      <c r="G177"/>
      <c r="H177"/>
      <c r="I177"/>
      <c r="J177"/>
      <c r="K177"/>
      <c r="L177"/>
      <c r="M177"/>
      <c r="N177"/>
      <c r="O177"/>
      <c r="P177"/>
      <c r="Q177"/>
      <c r="R177"/>
    </row>
    <row r="178" spans="1:18" ht="15">
      <c r="B178"/>
      <c r="C178"/>
      <c r="D178"/>
      <c r="E178"/>
      <c r="F178"/>
      <c r="G178"/>
      <c r="H178"/>
      <c r="I178"/>
      <c r="J178"/>
      <c r="K178"/>
      <c r="L178"/>
      <c r="M178"/>
      <c r="N178"/>
      <c r="O178"/>
      <c r="P178"/>
      <c r="Q178"/>
      <c r="R178"/>
    </row>
    <row r="179" spans="1:18" ht="15">
      <c r="B179"/>
      <c r="C179"/>
      <c r="D179"/>
      <c r="E179"/>
      <c r="F179"/>
      <c r="G179"/>
      <c r="H179"/>
      <c r="I179"/>
      <c r="J179"/>
      <c r="K179"/>
      <c r="L179"/>
      <c r="M179"/>
      <c r="N179"/>
      <c r="O179"/>
      <c r="P179"/>
      <c r="Q179"/>
      <c r="R179"/>
    </row>
    <row r="180" spans="1:18" ht="15">
      <c r="B180"/>
      <c r="C180"/>
      <c r="D180"/>
      <c r="E180"/>
      <c r="F180"/>
      <c r="G180"/>
      <c r="H180"/>
      <c r="I180"/>
      <c r="J180"/>
      <c r="K180"/>
      <c r="L180"/>
      <c r="M180"/>
      <c r="N180"/>
      <c r="O180"/>
      <c r="P180"/>
      <c r="Q180"/>
      <c r="R180"/>
    </row>
  </sheetData>
  <mergeCells count="92">
    <mergeCell ref="A1:R1"/>
    <mergeCell ref="A6:A7"/>
    <mergeCell ref="B6:B7"/>
    <mergeCell ref="C6:D6"/>
    <mergeCell ref="E6:F6"/>
    <mergeCell ref="G6:G7"/>
    <mergeCell ref="H6:R6"/>
    <mergeCell ref="C91:D91"/>
    <mergeCell ref="E91:F91"/>
    <mergeCell ref="A80:B80"/>
    <mergeCell ref="A81:B81"/>
    <mergeCell ref="A87:A88"/>
    <mergeCell ref="B87:B88"/>
    <mergeCell ref="C87:D88"/>
    <mergeCell ref="E87:F88"/>
    <mergeCell ref="G87:R87"/>
    <mergeCell ref="C89:D89"/>
    <mergeCell ref="E89:F89"/>
    <mergeCell ref="C90:D90"/>
    <mergeCell ref="E90:F90"/>
    <mergeCell ref="C92:D92"/>
    <mergeCell ref="E92:F92"/>
    <mergeCell ref="C93:D93"/>
    <mergeCell ref="E93:F93"/>
    <mergeCell ref="C94:D94"/>
    <mergeCell ref="E94:F94"/>
    <mergeCell ref="C95:D95"/>
    <mergeCell ref="E95:F95"/>
    <mergeCell ref="C96:D96"/>
    <mergeCell ref="E96:F96"/>
    <mergeCell ref="C97:D97"/>
    <mergeCell ref="E97:F97"/>
    <mergeCell ref="C98:D98"/>
    <mergeCell ref="E98:F98"/>
    <mergeCell ref="C99:D99"/>
    <mergeCell ref="E99:F99"/>
    <mergeCell ref="C100:D100"/>
    <mergeCell ref="E100:F100"/>
    <mergeCell ref="C101:D101"/>
    <mergeCell ref="E101:F101"/>
    <mergeCell ref="C107:D107"/>
    <mergeCell ref="E107:F107"/>
    <mergeCell ref="C108:D108"/>
    <mergeCell ref="E108:F108"/>
    <mergeCell ref="C109:D109"/>
    <mergeCell ref="E109:F109"/>
    <mergeCell ref="C110:D110"/>
    <mergeCell ref="E110:F110"/>
    <mergeCell ref="C111:D111"/>
    <mergeCell ref="E111:F111"/>
    <mergeCell ref="C112:D112"/>
    <mergeCell ref="E112:F112"/>
    <mergeCell ref="C113:D113"/>
    <mergeCell ref="E113:F113"/>
    <mergeCell ref="C114:D114"/>
    <mergeCell ref="E114:F114"/>
    <mergeCell ref="C115:D115"/>
    <mergeCell ref="E115:F115"/>
    <mergeCell ref="C116:D116"/>
    <mergeCell ref="E116:F116"/>
    <mergeCell ref="C117:D117"/>
    <mergeCell ref="E117:F117"/>
    <mergeCell ref="C118:D118"/>
    <mergeCell ref="E118:F118"/>
    <mergeCell ref="C119:D119"/>
    <mergeCell ref="E119:F119"/>
    <mergeCell ref="C120:D120"/>
    <mergeCell ref="E120:F120"/>
    <mergeCell ref="C121:D121"/>
    <mergeCell ref="E121:F121"/>
    <mergeCell ref="C122:D122"/>
    <mergeCell ref="E122:F122"/>
    <mergeCell ref="C123:D123"/>
    <mergeCell ref="E123:F123"/>
    <mergeCell ref="C127:D127"/>
    <mergeCell ref="E127:F127"/>
    <mergeCell ref="C128:D128"/>
    <mergeCell ref="E128:F128"/>
    <mergeCell ref="C129:D129"/>
    <mergeCell ref="E129:F129"/>
    <mergeCell ref="C130:D130"/>
    <mergeCell ref="E130:F130"/>
    <mergeCell ref="C134:D134"/>
    <mergeCell ref="E134:F134"/>
    <mergeCell ref="C138:D138"/>
    <mergeCell ref="E138:F138"/>
    <mergeCell ref="A160:B160"/>
    <mergeCell ref="C160:D160"/>
    <mergeCell ref="E160:F160"/>
    <mergeCell ref="A161:B161"/>
    <mergeCell ref="C161:D161"/>
    <mergeCell ref="E161:F161"/>
  </mergeCells>
  <pageMargins left="0.7" right="0.7" top="0.75" bottom="0.75" header="0.3" footer="0.3"/>
  <pageSetup paperSize="9" scale="21" orientation="landscape"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B1:N28"/>
  <sheetViews>
    <sheetView showGridLines="0" tabSelected="1" zoomScale="70" zoomScaleNormal="70" workbookViewId="0">
      <selection activeCell="A14" sqref="A14"/>
    </sheetView>
  </sheetViews>
  <sheetFormatPr defaultColWidth="8.7109375" defaultRowHeight="12.75"/>
  <cols>
    <col min="1" max="1" width="1.42578125" style="220" customWidth="1"/>
    <col min="2" max="2" width="1.5703125" style="220" customWidth="1"/>
    <col min="3" max="3" width="52.85546875" style="220" customWidth="1"/>
    <col min="4" max="10" width="14" style="220" customWidth="1"/>
    <col min="11" max="11" width="2.7109375" style="220" customWidth="1"/>
    <col min="12" max="13" width="14" style="220" customWidth="1"/>
    <col min="14" max="14" width="1.42578125" style="220" customWidth="1"/>
    <col min="15" max="15" width="1.28515625" style="220" customWidth="1"/>
    <col min="16" max="16384" width="8.7109375" style="220"/>
  </cols>
  <sheetData>
    <row r="1" spans="2:14">
      <c r="D1" s="548"/>
      <c r="E1" s="548"/>
      <c r="F1" s="548"/>
      <c r="G1" s="548"/>
      <c r="H1" s="548"/>
      <c r="I1" s="548"/>
      <c r="J1" s="548"/>
      <c r="K1" s="548"/>
      <c r="L1" s="548"/>
      <c r="M1" s="548"/>
    </row>
    <row r="2" spans="2:14">
      <c r="D2" s="548"/>
      <c r="E2" s="548"/>
      <c r="F2" s="549" t="s">
        <v>843</v>
      </c>
      <c r="G2" s="548"/>
      <c r="H2" s="548"/>
      <c r="I2" s="548"/>
      <c r="J2" s="548"/>
      <c r="K2" s="548"/>
      <c r="L2" s="548"/>
      <c r="M2" s="548"/>
    </row>
    <row r="3" spans="2:14" ht="13.5" thickBot="1">
      <c r="D3" s="548"/>
      <c r="E3" s="548"/>
      <c r="F3" s="548"/>
      <c r="G3" s="548"/>
      <c r="H3" s="548"/>
      <c r="I3" s="548"/>
      <c r="J3" s="548"/>
      <c r="K3" s="548"/>
      <c r="L3" s="548"/>
      <c r="M3" s="548"/>
    </row>
    <row r="4" spans="2:14" ht="18.600000000000001" customHeight="1">
      <c r="B4" s="759"/>
      <c r="C4" s="760"/>
      <c r="D4" s="760"/>
      <c r="E4" s="760"/>
      <c r="F4" s="760"/>
      <c r="G4" s="760"/>
      <c r="H4" s="760"/>
      <c r="I4" s="760"/>
      <c r="J4" s="760"/>
      <c r="K4" s="760"/>
      <c r="L4" s="760"/>
      <c r="M4" s="760"/>
      <c r="N4" s="761"/>
    </row>
    <row r="5" spans="2:14" ht="18.600000000000001" customHeight="1">
      <c r="B5" s="762"/>
      <c r="C5" s="294" t="s">
        <v>844</v>
      </c>
      <c r="N5" s="763"/>
    </row>
    <row r="6" spans="2:14" ht="18.600000000000001" customHeight="1">
      <c r="B6" s="762"/>
      <c r="F6" s="765"/>
      <c r="G6" s="757"/>
      <c r="H6" s="757"/>
      <c r="I6" s="757"/>
      <c r="J6" s="757"/>
      <c r="K6" s="755"/>
      <c r="L6" s="765"/>
      <c r="N6" s="763"/>
    </row>
    <row r="7" spans="2:14" ht="18.600000000000001" customHeight="1">
      <c r="B7" s="762"/>
      <c r="C7" s="551" t="s">
        <v>845</v>
      </c>
      <c r="D7" s="552"/>
      <c r="E7" s="552"/>
      <c r="F7" s="552"/>
      <c r="G7" s="552"/>
      <c r="H7" s="552"/>
      <c r="I7" s="552"/>
      <c r="J7" s="552"/>
      <c r="K7" s="552"/>
      <c r="L7" s="772">
        <f>+'T1'!J66*1000</f>
        <v>679949894.99476302</v>
      </c>
      <c r="N7" s="763"/>
    </row>
    <row r="8" spans="2:14" ht="18.600000000000001" customHeight="1">
      <c r="B8" s="764"/>
      <c r="C8" s="551" t="s">
        <v>846</v>
      </c>
      <c r="D8" s="552"/>
      <c r="E8" s="552"/>
      <c r="F8" s="552"/>
      <c r="G8" s="552"/>
      <c r="H8" s="552"/>
      <c r="I8" s="552"/>
      <c r="J8" s="552"/>
      <c r="K8" s="552"/>
      <c r="L8" s="554">
        <f>'T1 ANSP'!J68*1000</f>
        <v>12593898.8214</v>
      </c>
      <c r="N8" s="763"/>
    </row>
    <row r="9" spans="2:14" ht="18.600000000000001" customHeight="1">
      <c r="B9" s="764"/>
      <c r="C9" s="551" t="s">
        <v>847</v>
      </c>
      <c r="D9" s="552"/>
      <c r="E9" s="552"/>
      <c r="F9" s="552"/>
      <c r="G9" s="552"/>
      <c r="H9" s="552"/>
      <c r="I9" s="552"/>
      <c r="J9" s="552"/>
      <c r="K9" s="552"/>
      <c r="L9" s="555">
        <f>L7/L8</f>
        <v>53.990420650304735</v>
      </c>
      <c r="N9" s="763"/>
    </row>
    <row r="10" spans="2:14" ht="18.600000000000001" customHeight="1">
      <c r="B10" s="764"/>
      <c r="C10" s="553"/>
      <c r="D10" s="553"/>
      <c r="E10" s="553"/>
      <c r="F10" s="553"/>
      <c r="G10" s="553"/>
      <c r="H10" s="553"/>
      <c r="I10" s="553"/>
      <c r="J10" s="553"/>
      <c r="K10" s="553"/>
      <c r="L10" s="553"/>
      <c r="N10" s="763"/>
    </row>
    <row r="11" spans="2:14" ht="18.600000000000001" customHeight="1">
      <c r="B11" s="762"/>
      <c r="N11" s="763"/>
    </row>
    <row r="12" spans="2:14" ht="18.600000000000001" customHeight="1">
      <c r="B12" s="762"/>
      <c r="C12" s="294" t="s">
        <v>848</v>
      </c>
      <c r="D12" s="765"/>
      <c r="E12" s="765"/>
      <c r="F12" s="766"/>
      <c r="G12" s="766"/>
      <c r="H12" s="766"/>
      <c r="I12" s="766"/>
      <c r="J12" s="766"/>
      <c r="K12" s="766"/>
      <c r="L12" s="766"/>
      <c r="N12" s="763"/>
    </row>
    <row r="13" spans="2:14" ht="18.600000000000001" customHeight="1">
      <c r="B13" s="762"/>
      <c r="N13" s="763"/>
    </row>
    <row r="14" spans="2:14" ht="18.600000000000001" customHeight="1">
      <c r="B14" s="762"/>
      <c r="C14" s="556" t="s">
        <v>849</v>
      </c>
      <c r="D14" s="557" t="s">
        <v>850</v>
      </c>
      <c r="E14" s="557" t="s">
        <v>851</v>
      </c>
      <c r="F14" s="551"/>
      <c r="G14" s="558" t="s">
        <v>852</v>
      </c>
      <c r="H14" s="558"/>
      <c r="I14" s="558"/>
      <c r="J14" s="559"/>
      <c r="K14" s="560"/>
      <c r="L14" s="557" t="s">
        <v>853</v>
      </c>
      <c r="M14" s="561" t="s">
        <v>853</v>
      </c>
      <c r="N14" s="763"/>
    </row>
    <row r="15" spans="2:14" ht="18.600000000000001" customHeight="1">
      <c r="B15" s="762"/>
      <c r="C15" s="562" t="str">
        <f>'T1'!A3</f>
        <v>United Kingdom</v>
      </c>
      <c r="D15" s="563" t="s">
        <v>854</v>
      </c>
      <c r="E15" s="563" t="s">
        <v>855</v>
      </c>
      <c r="F15" s="563" t="s">
        <v>856</v>
      </c>
      <c r="G15" s="563" t="s">
        <v>857</v>
      </c>
      <c r="H15" s="563" t="s">
        <v>858</v>
      </c>
      <c r="I15" s="563" t="s">
        <v>859</v>
      </c>
      <c r="J15" s="563" t="s">
        <v>860</v>
      </c>
      <c r="K15" s="560"/>
      <c r="L15" s="563" t="s">
        <v>861</v>
      </c>
      <c r="M15" s="563" t="s">
        <v>862</v>
      </c>
      <c r="N15" s="763"/>
    </row>
    <row r="16" spans="2:14" ht="18.600000000000001" customHeight="1">
      <c r="B16" s="762"/>
      <c r="C16" s="564" t="s">
        <v>863</v>
      </c>
      <c r="D16" s="565"/>
      <c r="E16" s="565"/>
      <c r="F16" s="550">
        <f>'T1'!K61*1000</f>
        <v>790418899.53814805</v>
      </c>
      <c r="G16" s="550">
        <f>'T1'!L61*1000</f>
        <v>775027034.15828109</v>
      </c>
      <c r="H16" s="550">
        <f>'T1'!M61*1000</f>
        <v>790935592.9711231</v>
      </c>
      <c r="I16" s="550">
        <f>'T1'!N61*1000</f>
        <v>813438897.36210394</v>
      </c>
      <c r="J16" s="550">
        <f>'T1'!O61*1000</f>
        <v>854052395.54943454</v>
      </c>
      <c r="K16" s="560"/>
      <c r="L16" s="565"/>
      <c r="M16" s="565"/>
      <c r="N16" s="763"/>
    </row>
    <row r="17" spans="2:14" ht="18.600000000000001" customHeight="1">
      <c r="B17" s="762"/>
      <c r="C17" s="551" t="s">
        <v>864</v>
      </c>
      <c r="D17" s="570">
        <f>'T1'!E66*1000</f>
        <v>692804406.17809629</v>
      </c>
      <c r="E17" s="570">
        <f>L7</f>
        <v>679949894.99476302</v>
      </c>
      <c r="F17" s="571">
        <f>'T1'!K66*1000</f>
        <v>742574476.92388177</v>
      </c>
      <c r="G17" s="571">
        <f>'T1'!L66*1000</f>
        <v>713837537.54389095</v>
      </c>
      <c r="H17" s="571">
        <f>'T1'!M66*1000</f>
        <v>714205973.34073186</v>
      </c>
      <c r="I17" s="571">
        <f>'T1'!N66*1000</f>
        <v>705990404.10763359</v>
      </c>
      <c r="J17" s="571">
        <f>'T1'!O66*1000</f>
        <v>730032559.90366268</v>
      </c>
      <c r="K17" s="560"/>
      <c r="L17" s="572">
        <f>(J17/('T1'!E66*1000))^(1/10)-1</f>
        <v>5.2478639081667833E-3</v>
      </c>
      <c r="M17" s="572">
        <f>(J17/E17)^(1/5)-1</f>
        <v>1.4315504126557244E-2</v>
      </c>
      <c r="N17" s="763"/>
    </row>
    <row r="18" spans="2:14" ht="18.600000000000001" customHeight="1">
      <c r="B18" s="762"/>
      <c r="C18" s="564" t="s">
        <v>865</v>
      </c>
      <c r="D18" s="565"/>
      <c r="E18" s="565"/>
      <c r="F18" s="567">
        <f>+F17/E17-1</f>
        <v>9.2101759835702346E-2</v>
      </c>
      <c r="G18" s="567">
        <f t="shared" ref="G18:J18" si="0">+G17/F17-1</f>
        <v>-3.8699066925965031E-2</v>
      </c>
      <c r="H18" s="567">
        <f t="shared" si="0"/>
        <v>5.1613396250993482E-4</v>
      </c>
      <c r="I18" s="567">
        <f t="shared" si="0"/>
        <v>-1.1503081099517476E-2</v>
      </c>
      <c r="J18" s="567">
        <f t="shared" si="0"/>
        <v>3.4054507902863351E-2</v>
      </c>
      <c r="K18" s="560"/>
      <c r="L18" s="565"/>
      <c r="M18" s="565"/>
      <c r="N18" s="763"/>
    </row>
    <row r="19" spans="2:14" ht="18.600000000000001" customHeight="1">
      <c r="B19" s="762"/>
      <c r="C19" s="564" t="s">
        <v>866</v>
      </c>
      <c r="D19" s="573">
        <f>(('T1'!E68*1000)*(L8/('T1'!J68*1000)))</f>
        <v>9979403</v>
      </c>
      <c r="E19" s="573">
        <f>L8</f>
        <v>12593898.8214</v>
      </c>
      <c r="F19" s="550">
        <f>'T1'!K68*1000</f>
        <v>12647945</v>
      </c>
      <c r="G19" s="550">
        <f>'T1'!L68*1000</f>
        <v>12891000</v>
      </c>
      <c r="H19" s="550">
        <f>'T1'!M68*1000</f>
        <v>13183000</v>
      </c>
      <c r="I19" s="550">
        <f>'T1'!N68*1000</f>
        <v>11715000</v>
      </c>
      <c r="J19" s="550">
        <f>'T1'!O68*1000</f>
        <v>12228000</v>
      </c>
      <c r="K19" s="560"/>
      <c r="L19" s="566">
        <f>(J19/D19)^(1/10)-1</f>
        <v>2.0528380750284736E-2</v>
      </c>
      <c r="M19" s="566">
        <f>(J19/E19)^(1/5)-1</f>
        <v>-5.8794623403910506E-3</v>
      </c>
      <c r="N19" s="763"/>
    </row>
    <row r="20" spans="2:14" s="569" customFormat="1" ht="18.600000000000001" customHeight="1">
      <c r="B20" s="767"/>
      <c r="C20" s="564" t="s">
        <v>865</v>
      </c>
      <c r="D20" s="565"/>
      <c r="E20" s="565"/>
      <c r="F20" s="567">
        <f t="shared" ref="F20:J20" si="1">+F19/E19-1</f>
        <v>4.2914572656533867E-3</v>
      </c>
      <c r="G20" s="567">
        <f t="shared" si="1"/>
        <v>1.9216955797957791E-2</v>
      </c>
      <c r="H20" s="567">
        <f t="shared" si="1"/>
        <v>2.2651462260491861E-2</v>
      </c>
      <c r="I20" s="567">
        <f t="shared" si="1"/>
        <v>-0.11135553364181139</v>
      </c>
      <c r="J20" s="567">
        <f t="shared" si="1"/>
        <v>4.3790012804097334E-2</v>
      </c>
      <c r="K20" s="568"/>
      <c r="L20" s="565"/>
      <c r="M20" s="565"/>
      <c r="N20" s="768"/>
    </row>
    <row r="21" spans="2:14" ht="18.600000000000001" customHeight="1">
      <c r="B21" s="762"/>
      <c r="C21" s="551" t="s">
        <v>867</v>
      </c>
      <c r="D21" s="574">
        <f>D17/D19</f>
        <v>69.423432060825306</v>
      </c>
      <c r="E21" s="574">
        <f>E17/E19</f>
        <v>53.990420650304735</v>
      </c>
      <c r="F21" s="555">
        <f t="shared" ref="F21:J21" si="2">IF(F19=0,0,F17/F19)</f>
        <v>58.711077327097939</v>
      </c>
      <c r="G21" s="555">
        <f t="shared" si="2"/>
        <v>55.37487685547211</v>
      </c>
      <c r="H21" s="555">
        <f t="shared" si="2"/>
        <v>54.176285620930884</v>
      </c>
      <c r="I21" s="555">
        <f t="shared" si="2"/>
        <v>60.263798899499243</v>
      </c>
      <c r="J21" s="555">
        <f t="shared" si="2"/>
        <v>59.701714090911246</v>
      </c>
      <c r="K21" s="560"/>
      <c r="L21" s="572">
        <f>(J21/D21)^(1/10)-1</f>
        <v>-1.4973142472415879E-2</v>
      </c>
      <c r="M21" s="572">
        <f>(J21/E21)^(1/5)-1</f>
        <v>2.031440424165476E-2</v>
      </c>
      <c r="N21" s="763"/>
    </row>
    <row r="22" spans="2:14" s="569" customFormat="1" ht="18.600000000000001" customHeight="1">
      <c r="B22" s="767"/>
      <c r="C22" s="564" t="s">
        <v>865</v>
      </c>
      <c r="D22" s="565"/>
      <c r="E22" s="565"/>
      <c r="F22" s="567">
        <f t="shared" ref="F22:J22" si="3">+F21/E21-1</f>
        <v>8.7435078666433075E-2</v>
      </c>
      <c r="G22" s="567">
        <f t="shared" si="3"/>
        <v>-5.6824037703120389E-2</v>
      </c>
      <c r="H22" s="567">
        <f t="shared" si="3"/>
        <v>-2.1645036569011955E-2</v>
      </c>
      <c r="I22" s="567">
        <f t="shared" si="3"/>
        <v>0.11236490668929244</v>
      </c>
      <c r="J22" s="567">
        <f t="shared" si="3"/>
        <v>-9.3270722863882938E-3</v>
      </c>
      <c r="K22" s="568"/>
      <c r="L22" s="565"/>
      <c r="M22" s="565"/>
      <c r="N22" s="768"/>
    </row>
    <row r="23" spans="2:14" ht="18.600000000000001" customHeight="1">
      <c r="B23" s="762"/>
      <c r="C23" s="564" t="s">
        <v>868</v>
      </c>
      <c r="D23" s="574">
        <f t="shared" ref="D23:J23" si="4">D21/$E$27</f>
        <v>79.258545743603293</v>
      </c>
      <c r="E23" s="574">
        <f t="shared" si="4"/>
        <v>61.639162712084598</v>
      </c>
      <c r="F23" s="555">
        <f t="shared" si="4"/>
        <v>67.028587752748777</v>
      </c>
      <c r="G23" s="555">
        <f t="shared" si="4"/>
        <v>63.219752755099677</v>
      </c>
      <c r="H23" s="555">
        <f t="shared" si="4"/>
        <v>61.851358894831648</v>
      </c>
      <c r="I23" s="555">
        <f t="shared" si="4"/>
        <v>68.801281065655346</v>
      </c>
      <c r="J23" s="555">
        <f t="shared" si="4"/>
        <v>68.159566543759865</v>
      </c>
      <c r="K23" s="560"/>
      <c r="L23" s="572">
        <f>(J23/D23)^(1/10)-1</f>
        <v>-1.4973142472415879E-2</v>
      </c>
      <c r="M23" s="572">
        <f>(J23/E23)^(1/5)-1</f>
        <v>2.031440424165476E-2</v>
      </c>
      <c r="N23" s="763"/>
    </row>
    <row r="24" spans="2:14" s="569" customFormat="1" ht="18.600000000000001" customHeight="1">
      <c r="B24" s="767"/>
      <c r="C24" s="564" t="s">
        <v>865</v>
      </c>
      <c r="D24" s="565"/>
      <c r="E24" s="565"/>
      <c r="F24" s="567">
        <f t="shared" ref="F24:J24" si="5">+F23/E23-1</f>
        <v>8.7435078666433075E-2</v>
      </c>
      <c r="G24" s="567">
        <f t="shared" si="5"/>
        <v>-5.6824037703120278E-2</v>
      </c>
      <c r="H24" s="567">
        <f t="shared" si="5"/>
        <v>-2.1645036569011955E-2</v>
      </c>
      <c r="I24" s="567">
        <f t="shared" si="5"/>
        <v>0.11236490668929244</v>
      </c>
      <c r="J24" s="567">
        <f t="shared" si="5"/>
        <v>-9.3270722863881828E-3</v>
      </c>
      <c r="K24" s="568"/>
      <c r="L24" s="565"/>
      <c r="M24" s="565"/>
      <c r="N24" s="768"/>
    </row>
    <row r="25" spans="2:14" ht="18.600000000000001" customHeight="1">
      <c r="B25" s="762"/>
      <c r="C25" s="575"/>
      <c r="D25" s="576"/>
      <c r="E25" s="576"/>
      <c r="N25" s="763"/>
    </row>
    <row r="26" spans="2:14" ht="18.600000000000001" customHeight="1">
      <c r="B26" s="762"/>
      <c r="C26" s="577" t="s">
        <v>869</v>
      </c>
      <c r="D26" s="776"/>
      <c r="E26" s="756" t="s">
        <v>870</v>
      </c>
      <c r="N26" s="763"/>
    </row>
    <row r="27" spans="2:14" ht="18.600000000000001" customHeight="1">
      <c r="B27" s="762"/>
      <c r="C27" s="564" t="s">
        <v>871</v>
      </c>
      <c r="D27" s="777"/>
      <c r="E27" s="756">
        <v>0.875911</v>
      </c>
      <c r="N27" s="763"/>
    </row>
    <row r="28" spans="2:14" ht="13.5" thickBot="1">
      <c r="B28" s="769"/>
      <c r="C28" s="770"/>
      <c r="D28" s="770"/>
      <c r="E28" s="770"/>
      <c r="F28" s="770"/>
      <c r="G28" s="770"/>
      <c r="H28" s="770"/>
      <c r="I28" s="770"/>
      <c r="J28" s="770"/>
      <c r="K28" s="770"/>
      <c r="L28" s="770"/>
      <c r="M28" s="770"/>
      <c r="N28" s="771"/>
    </row>
  </sheetData>
  <pageMargins left="0.7" right="0.7" top="0.75" bottom="0.75" header="0.3" footer="0.3"/>
  <pageSetup paperSize="9" scale="6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AB120"/>
  <sheetViews>
    <sheetView showGridLines="0" workbookViewId="0">
      <pane xSplit="2" ySplit="9" topLeftCell="E38" activePane="bottomRight" state="frozen"/>
      <selection pane="topRight" activeCell="C1" sqref="C1"/>
      <selection pane="bottomLeft" activeCell="A10" sqref="A10"/>
      <selection pane="bottomRight" activeCell="U68" sqref="U68"/>
    </sheetView>
  </sheetViews>
  <sheetFormatPr defaultColWidth="12.5703125" defaultRowHeight="12"/>
  <cols>
    <col min="1" max="1" width="30.85546875" style="2" customWidth="1"/>
    <col min="2" max="2" width="0.42578125" style="2" customWidth="1"/>
    <col min="3" max="9" width="7.5703125" style="2" customWidth="1"/>
    <col min="10" max="10" width="7.5703125" style="641" customWidth="1"/>
    <col min="11" max="18" width="7.5703125" style="2" customWidth="1"/>
    <col min="19" max="19" width="1.28515625" style="2" customWidth="1"/>
    <col min="20" max="27" width="7.5703125" style="1" customWidth="1"/>
    <col min="28" max="16384" width="12.5703125" style="1"/>
  </cols>
  <sheetData>
    <row r="1" spans="1:28" ht="12" customHeight="1">
      <c r="B1" s="84"/>
      <c r="C1" s="84"/>
      <c r="D1" s="84"/>
      <c r="E1" s="84"/>
      <c r="F1" s="84"/>
      <c r="G1" s="84"/>
      <c r="H1" s="84"/>
      <c r="I1" s="84"/>
      <c r="J1" s="694"/>
      <c r="K1" s="84" t="s">
        <v>315</v>
      </c>
      <c r="L1" s="84"/>
      <c r="M1" s="84"/>
      <c r="N1" s="84"/>
      <c r="O1" s="84"/>
      <c r="P1" s="84"/>
      <c r="Q1" s="84"/>
      <c r="R1" s="84"/>
      <c r="S1" s="84"/>
      <c r="T1" s="84"/>
      <c r="U1" s="84"/>
      <c r="V1" s="84"/>
      <c r="W1" s="84"/>
      <c r="X1" s="84"/>
    </row>
    <row r="2" spans="1:28" ht="12" customHeight="1">
      <c r="E2" s="1580" t="s">
        <v>316</v>
      </c>
      <c r="F2" s="1581"/>
      <c r="G2" s="1581"/>
      <c r="H2" s="1581"/>
      <c r="I2" s="1581"/>
      <c r="J2" s="1581"/>
      <c r="K2" s="1581"/>
      <c r="L2" s="1581"/>
      <c r="M2" s="1581"/>
      <c r="N2" s="1581"/>
      <c r="O2" s="1581"/>
      <c r="P2" s="1581"/>
      <c r="Q2" s="1581"/>
      <c r="R2" s="1581"/>
      <c r="S2" s="1581"/>
      <c r="T2" s="1581"/>
      <c r="U2" s="1581"/>
      <c r="V2" s="1581"/>
      <c r="W2" s="1581"/>
      <c r="X2" s="1581"/>
      <c r="Y2" s="1581"/>
      <c r="Z2" s="1581"/>
      <c r="AA2" s="1581"/>
      <c r="AB2" s="1581"/>
    </row>
    <row r="3" spans="1:28" ht="12" customHeight="1">
      <c r="A3" s="6" t="s">
        <v>317</v>
      </c>
      <c r="B3" s="1"/>
      <c r="C3" s="1"/>
      <c r="D3" s="790"/>
      <c r="E3" s="1581"/>
      <c r="F3" s="1581"/>
      <c r="G3" s="1581"/>
      <c r="H3" s="1581"/>
      <c r="I3" s="1581"/>
      <c r="J3" s="1581"/>
      <c r="K3" s="1581"/>
      <c r="L3" s="1581"/>
      <c r="M3" s="1581"/>
      <c r="N3" s="1581"/>
      <c r="O3" s="1581"/>
      <c r="P3" s="1581"/>
      <c r="Q3" s="1581"/>
      <c r="R3" s="1581"/>
      <c r="S3" s="1581"/>
      <c r="T3" s="1581"/>
      <c r="U3" s="1581"/>
      <c r="V3" s="1581"/>
      <c r="W3" s="1581"/>
      <c r="X3" s="1581"/>
      <c r="Y3" s="1581"/>
      <c r="Z3" s="1581"/>
      <c r="AA3" s="1581"/>
      <c r="AB3" s="1581"/>
    </row>
    <row r="4" spans="1:28" ht="12" customHeight="1">
      <c r="A4" s="7" t="s">
        <v>318</v>
      </c>
      <c r="B4" s="1"/>
      <c r="C4" s="1"/>
      <c r="D4" s="1"/>
      <c r="E4" s="1581"/>
      <c r="F4" s="1581"/>
      <c r="G4" s="1581"/>
      <c r="H4" s="1581"/>
      <c r="I4" s="1581"/>
      <c r="J4" s="1581"/>
      <c r="K4" s="1581"/>
      <c r="L4" s="1581"/>
      <c r="M4" s="1581"/>
      <c r="N4" s="1581"/>
      <c r="O4" s="1581"/>
      <c r="P4" s="1581"/>
      <c r="Q4" s="1581"/>
      <c r="R4" s="1581"/>
      <c r="S4" s="1581"/>
      <c r="T4" s="1581"/>
      <c r="U4" s="1581"/>
      <c r="V4" s="1581"/>
      <c r="W4" s="1581"/>
      <c r="X4" s="1581"/>
      <c r="Y4" s="1581"/>
      <c r="Z4" s="1581"/>
      <c r="AA4" s="1581"/>
      <c r="AB4" s="1581"/>
    </row>
    <row r="5" spans="1:28" ht="12" customHeight="1">
      <c r="A5" s="8" t="s">
        <v>319</v>
      </c>
      <c r="B5" s="1"/>
      <c r="C5" s="1"/>
      <c r="D5" s="1"/>
      <c r="E5" s="1581"/>
      <c r="F5" s="1581"/>
      <c r="G5" s="1581"/>
      <c r="H5" s="1581"/>
      <c r="I5" s="1581"/>
      <c r="J5" s="1581"/>
      <c r="K5" s="1581"/>
      <c r="L5" s="1581"/>
      <c r="M5" s="1581"/>
      <c r="N5" s="1581"/>
      <c r="O5" s="1581"/>
      <c r="P5" s="1581"/>
      <c r="Q5" s="1581"/>
      <c r="R5" s="1581"/>
      <c r="S5" s="1581"/>
      <c r="T5" s="1581"/>
      <c r="U5" s="1581"/>
      <c r="V5" s="1581"/>
      <c r="W5" s="1581"/>
      <c r="X5" s="1581"/>
      <c r="Y5" s="1581"/>
      <c r="Z5" s="1581"/>
      <c r="AA5" s="1581"/>
      <c r="AB5" s="1581"/>
    </row>
    <row r="6" spans="1:28" ht="12" customHeight="1">
      <c r="E6" s="1581"/>
      <c r="F6" s="1581"/>
      <c r="G6" s="1581"/>
      <c r="H6" s="1581"/>
      <c r="I6" s="1581"/>
      <c r="J6" s="1581"/>
      <c r="K6" s="1581"/>
      <c r="L6" s="1581"/>
      <c r="M6" s="1581"/>
      <c r="N6" s="1581"/>
      <c r="O6" s="1581"/>
      <c r="P6" s="1581"/>
      <c r="Q6" s="1581"/>
      <c r="R6" s="1581"/>
      <c r="S6" s="1581"/>
      <c r="T6" s="1581"/>
      <c r="U6" s="1581"/>
      <c r="V6" s="1581"/>
      <c r="W6" s="1581"/>
      <c r="X6" s="1581"/>
      <c r="Y6" s="1581"/>
      <c r="Z6" s="1581"/>
      <c r="AA6" s="1581"/>
      <c r="AB6" s="1581"/>
    </row>
    <row r="7" spans="1:28" s="9" customFormat="1" ht="12" customHeight="1">
      <c r="C7" s="1582" t="s">
        <v>320</v>
      </c>
      <c r="D7" s="1583"/>
      <c r="E7" s="1583"/>
      <c r="F7" s="1583"/>
      <c r="G7" s="1583"/>
      <c r="H7" s="1583"/>
      <c r="I7" s="1583"/>
      <c r="J7" s="1584"/>
      <c r="K7" s="1585" t="s">
        <v>321</v>
      </c>
      <c r="L7" s="1586"/>
      <c r="M7" s="1587"/>
      <c r="N7" s="1585" t="s">
        <v>322</v>
      </c>
      <c r="O7" s="1586"/>
      <c r="P7" s="1586"/>
      <c r="Q7" s="1586"/>
      <c r="R7" s="1587"/>
      <c r="S7" s="10"/>
      <c r="T7" s="1582" t="s">
        <v>323</v>
      </c>
      <c r="U7" s="1583"/>
      <c r="V7" s="1584"/>
      <c r="W7" s="1582" t="s">
        <v>324</v>
      </c>
      <c r="X7" s="1583"/>
      <c r="Y7" s="1583"/>
      <c r="Z7" s="1583"/>
      <c r="AA7" s="1584"/>
    </row>
    <row r="8" spans="1:28" ht="12" customHeight="1">
      <c r="A8" s="1"/>
      <c r="B8" s="1"/>
      <c r="C8" s="1"/>
      <c r="D8" s="1"/>
      <c r="E8" s="1"/>
      <c r="F8" s="1"/>
      <c r="G8" s="1"/>
      <c r="H8" s="1"/>
      <c r="I8" s="1"/>
      <c r="J8" s="108"/>
      <c r="K8" s="1"/>
      <c r="L8" s="1"/>
      <c r="M8" s="1"/>
      <c r="N8" s="1"/>
      <c r="O8" s="1"/>
      <c r="P8" s="1"/>
      <c r="Q8" s="1"/>
      <c r="R8" s="1"/>
      <c r="S8" s="1"/>
    </row>
    <row r="9" spans="1:28" ht="12" customHeight="1">
      <c r="A9" s="11" t="s">
        <v>325</v>
      </c>
      <c r="C9" s="12">
        <v>2012</v>
      </c>
      <c r="D9" s="3">
        <v>2013</v>
      </c>
      <c r="E9" s="3">
        <v>2014</v>
      </c>
      <c r="F9" s="3">
        <v>2015</v>
      </c>
      <c r="G9" s="3">
        <v>2016</v>
      </c>
      <c r="H9" s="3">
        <v>2017</v>
      </c>
      <c r="I9" s="3">
        <v>2018</v>
      </c>
      <c r="J9" s="13">
        <v>2019</v>
      </c>
      <c r="K9" s="12">
        <v>2020</v>
      </c>
      <c r="L9" s="3">
        <v>2021</v>
      </c>
      <c r="M9" s="13">
        <v>2022</v>
      </c>
      <c r="N9" s="12">
        <v>2023</v>
      </c>
      <c r="O9" s="13">
        <v>2024</v>
      </c>
      <c r="P9" s="3">
        <v>2025</v>
      </c>
      <c r="Q9" s="13">
        <v>2026</v>
      </c>
      <c r="R9" s="13">
        <v>2027</v>
      </c>
      <c r="S9" s="14"/>
      <c r="T9" s="12">
        <v>2020</v>
      </c>
      <c r="U9" s="3">
        <v>2021</v>
      </c>
      <c r="V9" s="13">
        <v>2022</v>
      </c>
      <c r="W9" s="1110">
        <v>2023</v>
      </c>
      <c r="X9" s="13">
        <v>2024</v>
      </c>
      <c r="Y9" s="3">
        <v>2025</v>
      </c>
      <c r="Z9" s="13">
        <v>2026</v>
      </c>
      <c r="AA9" s="3">
        <v>2027</v>
      </c>
    </row>
    <row r="10" spans="1:28" ht="12" customHeight="1">
      <c r="T10" s="2"/>
      <c r="U10" s="2"/>
      <c r="V10" s="2"/>
      <c r="W10" s="2"/>
      <c r="X10" s="2"/>
    </row>
    <row r="11" spans="1:28" ht="15.6" customHeight="1">
      <c r="A11" s="15" t="s">
        <v>326</v>
      </c>
      <c r="B11" s="15"/>
      <c r="C11" s="15"/>
      <c r="D11" s="15"/>
      <c r="E11" s="15"/>
      <c r="F11" s="15"/>
      <c r="G11" s="15"/>
      <c r="H11" s="15"/>
      <c r="I11" s="15"/>
      <c r="J11" s="920"/>
      <c r="K11" s="17"/>
      <c r="L11" s="17"/>
      <c r="M11" s="17"/>
      <c r="N11" s="17"/>
      <c r="O11" s="18"/>
      <c r="P11" s="18"/>
      <c r="Q11" s="18"/>
      <c r="R11" s="18"/>
      <c r="S11" s="18"/>
      <c r="T11" s="17"/>
      <c r="U11" s="17"/>
      <c r="V11" s="19"/>
      <c r="W11" s="19"/>
      <c r="X11" s="19"/>
    </row>
    <row r="12" spans="1:28" ht="12" customHeight="1">
      <c r="A12" s="20" t="s">
        <v>327</v>
      </c>
      <c r="B12" s="135"/>
      <c r="C12" s="112">
        <f>'T1 ANSP'!C12+'T1 MET'!C12+'T1 NSA'!C12</f>
        <v>273294.02879998158</v>
      </c>
      <c r="D12" s="113">
        <f>'T1 ANSP'!D12+'T1 MET'!D12+'T1 NSA'!D12</f>
        <v>266644.33535887825</v>
      </c>
      <c r="E12" s="113">
        <f>'T1 ANSP'!E12+'T1 MET'!E12+'T1 NSA'!E12</f>
        <v>250903.61318902334</v>
      </c>
      <c r="F12" s="113">
        <f>'T1 ANSP'!F12+'T1 MET'!F12+'T1 NSA'!F12</f>
        <v>261862</v>
      </c>
      <c r="G12" s="113">
        <f>'T1 ANSP'!G12+'T1 MET'!G12+'T1 NSA'!G12</f>
        <v>274114.85901918181</v>
      </c>
      <c r="H12" s="113">
        <f>'T1 ANSP'!H12+'T1 MET'!H12+'T1 NSA'!H12</f>
        <v>265678.02233058412</v>
      </c>
      <c r="I12" s="113">
        <f>'T1 ANSP'!I12+'T1 MET'!I12+'T1 NSA'!I12</f>
        <v>300362.40697854268</v>
      </c>
      <c r="J12" s="696">
        <f>'T1 ANSP'!J12+'T1 MET'!J12+'T1 NSA'!J12</f>
        <v>311192.90384160704</v>
      </c>
      <c r="K12" s="112">
        <f>'T1 ANSP'!K12+'T1 MET'!K12+'T1 NSA'!K12</f>
        <v>340936.76070971269</v>
      </c>
      <c r="L12" s="113">
        <f>'T1 ANSP'!L12+'T1 MET'!L12+'T1 NSA'!L12</f>
        <v>346313.00785021635</v>
      </c>
      <c r="M12" s="1097">
        <f>'T1 ANSP'!M12+'T1 MET'!M12+'T1 NSA'!M12</f>
        <v>367549.60059141042</v>
      </c>
      <c r="N12" s="112">
        <f>'T1 ANSP'!N12+'T1 MET'!N12+'T1 NSA'!N12</f>
        <v>395057.00021223578</v>
      </c>
      <c r="O12" s="113">
        <f>'T1 ANSP'!O12+'T1 MET'!O12+'T1 NSA'!O12</f>
        <v>407850.72692312981</v>
      </c>
      <c r="P12" s="113">
        <f>'T1 ANSP'!P12+'T1 MET'!P12+'T1 NSA'!P12</f>
        <v>375591.56649377948</v>
      </c>
      <c r="Q12" s="113">
        <f>'T1 ANSP'!Q12+'T1 MET'!Q12+'T1 NSA'!Q12</f>
        <v>382481.57358389412</v>
      </c>
      <c r="R12" s="578">
        <f>'T1 ANSP'!R12+'T1 MET'!R12+'T1 NSA'!R12</f>
        <v>391785.99006547173</v>
      </c>
      <c r="S12" s="114"/>
      <c r="T12" s="112">
        <f>'T1 ANSP'!T12+'T1 MET'!T12+'T1 NSA'!T12</f>
        <v>333613.52181999962</v>
      </c>
      <c r="U12" s="113">
        <f>'T1 ANSP'!U12+'T1 MET'!U12+'T1 NSA'!U12</f>
        <v>298139.78112475149</v>
      </c>
      <c r="V12" s="23"/>
      <c r="W12" s="158"/>
      <c r="X12" s="22"/>
      <c r="Y12" s="22"/>
      <c r="Z12" s="22"/>
      <c r="AA12" s="23"/>
    </row>
    <row r="13" spans="1:28" ht="12" customHeight="1">
      <c r="A13" s="24" t="s">
        <v>328</v>
      </c>
      <c r="B13" s="24"/>
      <c r="C13" s="37">
        <f>'T1 ANSP'!C13+'T1 MET'!C13+'T1 NSA'!C13</f>
        <v>0</v>
      </c>
      <c r="D13" s="5">
        <f>'T1 ANSP'!D13+'T1 MET'!D13+'T1 NSA'!D13</f>
        <v>0</v>
      </c>
      <c r="E13" s="5">
        <f>'T1 ANSP'!E13+'T1 MET'!E13+'T1 NSA'!E13</f>
        <v>0</v>
      </c>
      <c r="F13" s="5">
        <f>'T1 ANSP'!F13+'T1 MET'!F13+'T1 NSA'!F13</f>
        <v>0</v>
      </c>
      <c r="G13" s="5">
        <f>'T1 ANSP'!G13+'T1 MET'!G13+'T1 NSA'!G13</f>
        <v>0</v>
      </c>
      <c r="H13" s="5">
        <f>'T1 ANSP'!H13+'T1 MET'!H13+'T1 NSA'!H13</f>
        <v>0</v>
      </c>
      <c r="I13" s="5">
        <f>'T1 ANSP'!I13+'T1 MET'!I13+'T1 NSA'!I13</f>
        <v>0</v>
      </c>
      <c r="J13" s="697">
        <f>'T1 ANSP'!J13+'T1 MET'!J13+'T1 NSA'!J13</f>
        <v>0</v>
      </c>
      <c r="K13" s="115">
        <f>'T1 ANSP'!K13+'T1 MET'!K13+'T1 NSA'!K13</f>
        <v>86025.087413768648</v>
      </c>
      <c r="L13" s="116">
        <f>'T1 ANSP'!L13+'T1 MET'!L13+'T1 NSA'!L13</f>
        <v>87323.961595434375</v>
      </c>
      <c r="M13" s="1099">
        <f>'T1 ANSP'!M13+'T1 MET'!M13+'T1 NSA'!M13</f>
        <v>88054.769677553079</v>
      </c>
      <c r="N13" s="115">
        <f>'T1 ANSP'!N13+'T1 MET'!N13+'T1 NSA'!N13</f>
        <v>114609.23691820423</v>
      </c>
      <c r="O13" s="116">
        <f>'T1 ANSP'!O13+'T1 MET'!O13+'T1 NSA'!O13</f>
        <v>115348.00435096005</v>
      </c>
      <c r="P13" s="116">
        <f>'T1 ANSP'!P13+'T1 MET'!P13+'T1 NSA'!P13</f>
        <v>80742.033140075786</v>
      </c>
      <c r="Q13" s="116">
        <f>'T1 ANSP'!Q13+'T1 MET'!Q13+'T1 NSA'!Q13</f>
        <v>80576.218296726467</v>
      </c>
      <c r="R13" s="579">
        <f>'T1 ANSP'!R13+'T1 MET'!R13+'T1 NSA'!R13</f>
        <v>81925.138996193738</v>
      </c>
      <c r="S13" s="114"/>
      <c r="T13" s="115">
        <f>'T1 ANSP'!T13+'T1 MET'!T13+'T1 NSA'!T13</f>
        <v>84136.178556512226</v>
      </c>
      <c r="U13" s="116">
        <f>'T1 ANSP'!U13+'T1 MET'!U13+'T1 NSA'!U13</f>
        <v>81444.194100843626</v>
      </c>
      <c r="V13" s="25"/>
      <c r="W13" s="157"/>
      <c r="X13" s="5"/>
      <c r="Y13" s="5"/>
      <c r="Z13" s="5"/>
      <c r="AA13" s="25"/>
    </row>
    <row r="14" spans="1:28" ht="12" customHeight="1">
      <c r="A14" s="24" t="s">
        <v>329</v>
      </c>
      <c r="B14" s="24"/>
      <c r="C14" s="115">
        <f>'T1 ANSP'!C14+'T1 MET'!C14+'T1 NSA'!C14</f>
        <v>166812.46123790042</v>
      </c>
      <c r="D14" s="116">
        <f>'T1 ANSP'!D14+'T1 MET'!D14+'T1 NSA'!D14</f>
        <v>176205.9575758393</v>
      </c>
      <c r="E14" s="116">
        <f>'T1 ANSP'!E14+'T1 MET'!E14+'T1 NSA'!E14</f>
        <v>172580.27287872822</v>
      </c>
      <c r="F14" s="116">
        <f>'T1 ANSP'!F14+'T1 MET'!F14+'T1 NSA'!F14</f>
        <v>157592.41216420001</v>
      </c>
      <c r="G14" s="116">
        <f>'T1 ANSP'!G14+'T1 MET'!G14+'T1 NSA'!G14</f>
        <v>157914.8733340491</v>
      </c>
      <c r="H14" s="116">
        <f>'T1 ANSP'!H14+'T1 MET'!H14+'T1 NSA'!H14</f>
        <v>164356.17029111888</v>
      </c>
      <c r="I14" s="116">
        <f>'T1 ANSP'!I14+'T1 MET'!I14+'T1 NSA'!I14</f>
        <v>171043.8307334242</v>
      </c>
      <c r="J14" s="698">
        <f>'T1 ANSP'!J14+'T1 MET'!J14+'T1 NSA'!J14</f>
        <v>176116.39309002421</v>
      </c>
      <c r="K14" s="115">
        <f>'T1 ANSP'!K14+'T1 MET'!K14+'T1 NSA'!K14</f>
        <v>226067.49410749247</v>
      </c>
      <c r="L14" s="116">
        <f>'T1 ANSP'!L14+'T1 MET'!L14+'T1 NSA'!L14</f>
        <v>230646.83240070936</v>
      </c>
      <c r="M14" s="1099">
        <f>'T1 ANSP'!M14+'T1 MET'!M14+'T1 NSA'!M14</f>
        <v>236031.9215436033</v>
      </c>
      <c r="N14" s="115">
        <f>'T1 ANSP'!N14+'T1 MET'!N14+'T1 NSA'!N14</f>
        <v>217650.24236213212</v>
      </c>
      <c r="O14" s="116">
        <f>'T1 ANSP'!O14+'T1 MET'!O14+'T1 NSA'!O14</f>
        <v>225646.10736766376</v>
      </c>
      <c r="P14" s="116">
        <f>'T1 ANSP'!P14+'T1 MET'!P14+'T1 NSA'!P14</f>
        <v>228537.32261452085</v>
      </c>
      <c r="Q14" s="116">
        <f>'T1 ANSP'!Q14+'T1 MET'!Q14+'T1 NSA'!Q14</f>
        <v>232063.14826157427</v>
      </c>
      <c r="R14" s="579">
        <f>'T1 ANSP'!R14+'T1 MET'!R14+'T1 NSA'!R14</f>
        <v>230251.72877532034</v>
      </c>
      <c r="S14" s="26"/>
      <c r="T14" s="115">
        <f>'T1 ANSP'!T14+'T1 MET'!T14+'T1 NSA'!T14</f>
        <v>181454.05118311854</v>
      </c>
      <c r="U14" s="116">
        <f>'T1 ANSP'!U14+'T1 MET'!U14+'T1 NSA'!U14</f>
        <v>146490.91960680787</v>
      </c>
      <c r="V14" s="25"/>
      <c r="W14" s="157"/>
      <c r="X14" s="5"/>
      <c r="Y14" s="5"/>
      <c r="Z14" s="5"/>
      <c r="AA14" s="25"/>
    </row>
    <row r="15" spans="1:28" ht="12" customHeight="1">
      <c r="A15" s="24" t="s">
        <v>330</v>
      </c>
      <c r="B15" s="24"/>
      <c r="C15" s="115">
        <f>'T1 ANSP'!C15+'T1 MET'!C15+'T1 NSA'!C15</f>
        <v>133258.86124342238</v>
      </c>
      <c r="D15" s="116">
        <f>'T1 ANSP'!D15+'T1 MET'!D15+'T1 NSA'!D15</f>
        <v>157111.24807496319</v>
      </c>
      <c r="E15" s="116">
        <f>'T1 ANSP'!E15+'T1 MET'!E15+'T1 NSA'!E15</f>
        <v>161810.11791998369</v>
      </c>
      <c r="F15" s="116">
        <f>'T1 ANSP'!F15+'T1 MET'!F15+'T1 NSA'!F15</f>
        <v>163484</v>
      </c>
      <c r="G15" s="116">
        <f>'T1 ANSP'!G15+'T1 MET'!G15+'T1 NSA'!G15</f>
        <v>163023.7456750859</v>
      </c>
      <c r="H15" s="116">
        <f>'T1 ANSP'!H15+'T1 MET'!H15+'T1 NSA'!H15</f>
        <v>162602.96257313347</v>
      </c>
      <c r="I15" s="116">
        <f>'T1 ANSP'!I15+'T1 MET'!I15+'T1 NSA'!I15</f>
        <v>156207.0683032485</v>
      </c>
      <c r="J15" s="698">
        <f>'T1 ANSP'!J15+'T1 MET'!J15+'T1 NSA'!J15</f>
        <v>151958.64615167578</v>
      </c>
      <c r="K15" s="115">
        <f>'T1 ANSP'!K15+'T1 MET'!K15+'T1 NSA'!K15</f>
        <v>174584.82190614694</v>
      </c>
      <c r="L15" s="116">
        <f>'T1 ANSP'!L15+'T1 MET'!L15+'T1 NSA'!L15</f>
        <v>146672.77851836776</v>
      </c>
      <c r="M15" s="1099">
        <f>'T1 ANSP'!M15+'T1 MET'!M15+'T1 NSA'!M15</f>
        <v>133212.64901803236</v>
      </c>
      <c r="N15" s="115">
        <f>'T1 ANSP'!N15+'T1 MET'!N15+'T1 NSA'!N15</f>
        <v>122698.39805481596</v>
      </c>
      <c r="O15" s="116">
        <f>'T1 ANSP'!O15+'T1 MET'!O15+'T1 NSA'!O15</f>
        <v>137349.52396066659</v>
      </c>
      <c r="P15" s="116">
        <f>'T1 ANSP'!P15+'T1 MET'!P15+'T1 NSA'!P15</f>
        <v>139247.34239616583</v>
      </c>
      <c r="Q15" s="116">
        <f>'T1 ANSP'!Q15+'T1 MET'!Q15+'T1 NSA'!Q15</f>
        <v>140658.19870785237</v>
      </c>
      <c r="R15" s="579">
        <f>'T1 ANSP'!R15+'T1 MET'!R15+'T1 NSA'!R15</f>
        <v>139522.18950324526</v>
      </c>
      <c r="S15" s="26"/>
      <c r="T15" s="115">
        <f>'T1 ANSP'!T15+'T1 MET'!T15+'T1 NSA'!T15</f>
        <v>174863.0157604987</v>
      </c>
      <c r="U15" s="116">
        <f>'T1 ANSP'!U15+'T1 MET'!U15+'T1 NSA'!U15</f>
        <v>145344.44349204941</v>
      </c>
      <c r="V15" s="25"/>
      <c r="W15" s="157"/>
      <c r="X15" s="5"/>
      <c r="Y15" s="5"/>
      <c r="Z15" s="5"/>
      <c r="AA15" s="25"/>
    </row>
    <row r="16" spans="1:28" ht="12" customHeight="1">
      <c r="A16" s="24" t="s">
        <v>331</v>
      </c>
      <c r="B16" s="24"/>
      <c r="C16" s="115">
        <f>'T1 ANSP'!C16+'T1 MET'!C16+'T1 NSA'!C16</f>
        <v>68586.333573926589</v>
      </c>
      <c r="D16" s="116">
        <f>'T1 ANSP'!D16+'T1 MET'!D16+'T1 NSA'!D16</f>
        <v>68484.105132903715</v>
      </c>
      <c r="E16" s="116">
        <f>'T1 ANSP'!E16+'T1 MET'!E16+'T1 NSA'!E16</f>
        <v>67470.260959165622</v>
      </c>
      <c r="F16" s="116">
        <f>'T1 ANSP'!F16+'T1 MET'!F16+'T1 NSA'!F16</f>
        <v>59072.10170120791</v>
      </c>
      <c r="G16" s="116">
        <f>'T1 ANSP'!G16+'T1 MET'!G16+'T1 NSA'!G16</f>
        <v>54881.084734055432</v>
      </c>
      <c r="H16" s="116">
        <f>'T1 ANSP'!H16+'T1 MET'!H16+'T1 NSA'!H16</f>
        <v>51587.262411978569</v>
      </c>
      <c r="I16" s="116">
        <f>'T1 ANSP'!I16+'T1 MET'!I16+'T1 NSA'!I16</f>
        <v>50812.521077072452</v>
      </c>
      <c r="J16" s="698">
        <f>'T1 ANSP'!J16+'T1 MET'!J16+'T1 NSA'!J16</f>
        <v>50338.378283160229</v>
      </c>
      <c r="K16" s="115">
        <f>'T1 ANSP'!K16+'T1 MET'!K16+'T1 NSA'!K16</f>
        <v>32345.328696393412</v>
      </c>
      <c r="L16" s="116">
        <f>'T1 ANSP'!L16+'T1 MET'!L16+'T1 NSA'!L16</f>
        <v>36222.588888658269</v>
      </c>
      <c r="M16" s="1099">
        <f>'T1 ANSP'!M16+'T1 MET'!M16+'T1 NSA'!M16</f>
        <v>38974.700150811055</v>
      </c>
      <c r="N16" s="115">
        <f>'T1 ANSP'!N16+'T1 MET'!N16+'T1 NSA'!N16</f>
        <v>47080.160758479127</v>
      </c>
      <c r="O16" s="116">
        <f>'T1 ANSP'!O16+'T1 MET'!O16+'T1 NSA'!O16</f>
        <v>47414.09124717208</v>
      </c>
      <c r="P16" s="116">
        <f>'T1 ANSP'!P16+'T1 MET'!P16+'T1 NSA'!P16</f>
        <v>45843.731421701879</v>
      </c>
      <c r="Q16" s="116">
        <f>'T1 ANSP'!Q16+'T1 MET'!Q16+'T1 NSA'!Q16</f>
        <v>44016.697523862349</v>
      </c>
      <c r="R16" s="579">
        <f>'T1 ANSP'!R16+'T1 MET'!R16+'T1 NSA'!R16</f>
        <v>41535.198403188573</v>
      </c>
      <c r="S16" s="26"/>
      <c r="T16" s="115">
        <f>'T1 ANSP'!T16+'T1 MET'!T16+'T1 NSA'!T16</f>
        <v>34509.074339402512</v>
      </c>
      <c r="U16" s="116">
        <f>'T1 ANSP'!U16+'T1 MET'!U16+'T1 NSA'!U16</f>
        <v>42224.769729306252</v>
      </c>
      <c r="V16" s="25"/>
      <c r="W16" s="157"/>
      <c r="X16" s="5"/>
      <c r="Y16" s="5"/>
      <c r="Z16" s="5"/>
      <c r="AA16" s="25"/>
    </row>
    <row r="17" spans="1:27" ht="12" customHeight="1">
      <c r="A17" s="24" t="s">
        <v>332</v>
      </c>
      <c r="B17" s="24"/>
      <c r="C17" s="115">
        <f>'T1 ANSP'!C17+'T1 MET'!C17+'T1 NSA'!C17</f>
        <v>16788.980599745271</v>
      </c>
      <c r="D17" s="116">
        <f>'T1 ANSP'!D17+'T1 MET'!D17+'T1 NSA'!D17</f>
        <v>56386.880571279791</v>
      </c>
      <c r="E17" s="116">
        <f>'T1 ANSP'!E17+'T1 MET'!E17+'T1 NSA'!E17</f>
        <v>17136.890623402516</v>
      </c>
      <c r="F17" s="116">
        <f>'T1 ANSP'!F17+'T1 MET'!F17+'T1 NSA'!F17</f>
        <v>15361</v>
      </c>
      <c r="G17" s="116">
        <f>'T1 ANSP'!G17+'T1 MET'!G17+'T1 NSA'!G17</f>
        <v>16430.435246915833</v>
      </c>
      <c r="H17" s="116">
        <f>'T1 ANSP'!H17+'T1 MET'!H17+'T1 NSA'!H17</f>
        <v>16371.162805851633</v>
      </c>
      <c r="I17" s="116">
        <f>'T1 ANSP'!I17+'T1 MET'!I17+'T1 NSA'!I17</f>
        <v>15933.251804973426</v>
      </c>
      <c r="J17" s="698">
        <f>'T1 ANSP'!J17+'T1 MET'!J17+'T1 NSA'!J17</f>
        <v>19887.396565818206</v>
      </c>
      <c r="K17" s="115">
        <f>'T1 ANSP'!K17+'T1 MET'!K17+'T1 NSA'!K17</f>
        <v>16484.494118402516</v>
      </c>
      <c r="L17" s="116">
        <f>'T1 ANSP'!L17+'T1 MET'!L17+'T1 NSA'!L17</f>
        <v>15171.826500329318</v>
      </c>
      <c r="M17" s="1099">
        <f>'T1 ANSP'!M17+'T1 MET'!M17+'T1 NSA'!M17</f>
        <v>15166.721667265729</v>
      </c>
      <c r="N17" s="115">
        <f>'T1 ANSP'!N17+'T1 MET'!N17+'T1 NSA'!N17</f>
        <v>30953.09597444089</v>
      </c>
      <c r="O17" s="116">
        <f>'T1 ANSP'!O17+'T1 MET'!O17+'T1 NSA'!O17</f>
        <v>35791.946050802297</v>
      </c>
      <c r="P17" s="116">
        <f>'T1 ANSP'!P17+'T1 MET'!P17+'T1 NSA'!P17</f>
        <v>26150.831356208488</v>
      </c>
      <c r="Q17" s="116">
        <f>'T1 ANSP'!Q17+'T1 MET'!Q17+'T1 NSA'!Q17</f>
        <v>24960.064333398212</v>
      </c>
      <c r="R17" s="579">
        <f>'T1 ANSP'!R17+'T1 MET'!R17+'T1 NSA'!R17</f>
        <v>22877.813247574875</v>
      </c>
      <c r="S17" s="26"/>
      <c r="T17" s="115">
        <f>'T1 ANSP'!T17+'T1 MET'!T17+'T1 NSA'!T17</f>
        <v>47753.410205428823</v>
      </c>
      <c r="U17" s="116">
        <f>'T1 ANSP'!U17+'T1 MET'!U17+'T1 NSA'!U17</f>
        <v>12152.814771553432</v>
      </c>
      <c r="V17" s="25"/>
      <c r="W17" s="157"/>
      <c r="X17" s="5"/>
      <c r="Y17" s="5"/>
      <c r="Z17" s="5"/>
      <c r="AA17" s="25"/>
    </row>
    <row r="18" spans="1:27" ht="12" customHeight="1">
      <c r="A18" s="134" t="s">
        <v>333</v>
      </c>
      <c r="B18" s="580"/>
      <c r="C18" s="85">
        <f>'T1 ANSP'!C18+'T1 MET'!C18+'T1 NSA'!C18</f>
        <v>658740.66545497626</v>
      </c>
      <c r="D18" s="86">
        <f>'T1 ANSP'!D18+'T1 MET'!D18+'T1 NSA'!D18</f>
        <v>724832.52671386418</v>
      </c>
      <c r="E18" s="86">
        <f>'T1 ANSP'!E18+'T1 MET'!E18+'T1 NSA'!E18</f>
        <v>669901.15557030332</v>
      </c>
      <c r="F18" s="86">
        <f>'T1 ANSP'!F18+'T1 MET'!F18+'T1 NSA'!F18</f>
        <v>657371.51386540791</v>
      </c>
      <c r="G18" s="86">
        <f>'T1 ANSP'!G18+'T1 MET'!G18+'T1 NSA'!G18</f>
        <v>666364.9980092881</v>
      </c>
      <c r="H18" s="86">
        <f>'T1 ANSP'!H18+'T1 MET'!H18+'T1 NSA'!H18</f>
        <v>660595.58041266666</v>
      </c>
      <c r="I18" s="86">
        <f>'T1 ANSP'!I18+'T1 MET'!I18+'T1 NSA'!I18</f>
        <v>694359.07889726129</v>
      </c>
      <c r="J18" s="699">
        <f>'T1 ANSP'!J18+'T1 MET'!J18+'T1 NSA'!J18</f>
        <v>709493.71793228539</v>
      </c>
      <c r="K18" s="85">
        <f>'T1 ANSP'!K18+'T1 MET'!K18+'T1 NSA'!K18</f>
        <v>790418.89953814808</v>
      </c>
      <c r="L18" s="86">
        <f>'T1 ANSP'!L18+'T1 MET'!L18+'T1 NSA'!L18</f>
        <v>775027.03415828105</v>
      </c>
      <c r="M18" s="801">
        <f>'T1 ANSP'!M18+'T1 MET'!M18+'T1 NSA'!M18</f>
        <v>790935.59297112306</v>
      </c>
      <c r="N18" s="85">
        <f>'T1 ANSP'!N18+'T1 MET'!N18+'T1 NSA'!N18</f>
        <v>813438.89736210392</v>
      </c>
      <c r="O18" s="86">
        <f>'T1 ANSP'!O18+'T1 MET'!O18+'T1 NSA'!O18</f>
        <v>854052.39554943459</v>
      </c>
      <c r="P18" s="86">
        <f>'T1 ANSP'!P18+'T1 MET'!P18+'T1 NSA'!P18</f>
        <v>815370.79428237665</v>
      </c>
      <c r="Q18" s="86">
        <f>'T1 ANSP'!Q18+'T1 MET'!Q18+'T1 NSA'!Q18</f>
        <v>824179.68241058127</v>
      </c>
      <c r="R18" s="630">
        <f>'T1 ANSP'!R18+'T1 MET'!R18+'T1 NSA'!R18</f>
        <v>825972.91999480082</v>
      </c>
      <c r="S18" s="26"/>
      <c r="T18" s="85">
        <f>'T1 ANSP'!T18+'T1 MET'!T18+'T1 NSA'!T18</f>
        <v>772193.07330844819</v>
      </c>
      <c r="U18" s="86">
        <f>'T1 ANSP'!U18+'T1 MET'!U18+'T1 NSA'!U18</f>
        <v>644352.7287244685</v>
      </c>
      <c r="V18" s="630"/>
      <c r="W18" s="1201"/>
      <c r="X18" s="35"/>
      <c r="Y18" s="35"/>
      <c r="Z18" s="35"/>
      <c r="AA18" s="581"/>
    </row>
    <row r="19" spans="1:27" ht="12" customHeight="1">
      <c r="A19" s="102" t="s">
        <v>334</v>
      </c>
      <c r="B19" s="31"/>
      <c r="C19" s="28"/>
      <c r="D19" s="29">
        <f>D18/C18-1</f>
        <v>0.10033062284569882</v>
      </c>
      <c r="E19" s="29">
        <f t="shared" ref="E19:O19" si="0">E18/D18-1</f>
        <v>-7.5784914610000143E-2</v>
      </c>
      <c r="F19" s="29">
        <f t="shared" si="0"/>
        <v>-1.8703717109173512E-2</v>
      </c>
      <c r="G19" s="29">
        <f t="shared" si="0"/>
        <v>1.368097636448784E-2</v>
      </c>
      <c r="H19" s="29">
        <f t="shared" si="0"/>
        <v>-8.6580441857797563E-3</v>
      </c>
      <c r="I19" s="29">
        <f t="shared" si="0"/>
        <v>5.1110693873402724E-2</v>
      </c>
      <c r="J19" s="700">
        <f t="shared" si="0"/>
        <v>2.1796559582773822E-2</v>
      </c>
      <c r="K19" s="28">
        <f t="shared" si="0"/>
        <v>0.11406046249670432</v>
      </c>
      <c r="L19" s="29">
        <f t="shared" si="0"/>
        <v>-1.9473048264484483E-2</v>
      </c>
      <c r="M19" s="1100">
        <f t="shared" si="0"/>
        <v>2.0526456641760227E-2</v>
      </c>
      <c r="N19" s="28">
        <f t="shared" si="0"/>
        <v>2.8451500464719226E-2</v>
      </c>
      <c r="O19" s="29">
        <f t="shared" si="0"/>
        <v>4.9928148652635063E-2</v>
      </c>
      <c r="P19" s="29">
        <f t="shared" ref="P19" si="1">P18/O18-1</f>
        <v>-4.5291836272144725E-2</v>
      </c>
      <c r="Q19" s="29">
        <f t="shared" ref="Q19" si="2">Q18/P18-1</f>
        <v>1.0803536489135013E-2</v>
      </c>
      <c r="R19" s="30">
        <f t="shared" ref="R19" si="3">R18/Q18-1</f>
        <v>2.1757847499646044E-3</v>
      </c>
      <c r="S19" s="27">
        <f>S18/O18-1</f>
        <v>-1</v>
      </c>
      <c r="T19" s="28">
        <f>T18/J18-1</f>
        <v>8.8371966927192513E-2</v>
      </c>
      <c r="U19" s="29">
        <f>U18/K18-1</f>
        <v>-0.18479589860392753</v>
      </c>
      <c r="V19" s="30"/>
      <c r="W19" s="160"/>
      <c r="X19" s="29"/>
      <c r="Y19" s="29"/>
      <c r="Z19" s="29"/>
      <c r="AA19" s="30"/>
    </row>
    <row r="20" spans="1:27" ht="12" customHeight="1">
      <c r="A20" s="31"/>
      <c r="B20" s="31"/>
      <c r="C20" s="31"/>
      <c r="D20" s="31"/>
      <c r="E20" s="31"/>
      <c r="F20" s="31"/>
      <c r="G20" s="31"/>
      <c r="H20" s="31"/>
      <c r="I20" s="31"/>
      <c r="J20" s="701"/>
      <c r="K20" s="32"/>
      <c r="L20" s="32"/>
      <c r="M20" s="32"/>
      <c r="N20" s="32"/>
      <c r="O20" s="32"/>
      <c r="P20" s="32"/>
      <c r="Q20" s="32"/>
      <c r="R20" s="32"/>
      <c r="S20" s="27"/>
      <c r="T20" s="32"/>
      <c r="U20" s="32"/>
      <c r="V20" s="32"/>
      <c r="W20" s="32"/>
      <c r="X20" s="32"/>
      <c r="Y20" s="32"/>
      <c r="Z20" s="32"/>
      <c r="AA20" s="32"/>
    </row>
    <row r="21" spans="1:27" ht="15.6" customHeight="1">
      <c r="A21" s="15" t="s">
        <v>335</v>
      </c>
      <c r="B21" s="15"/>
      <c r="C21" s="15"/>
      <c r="D21" s="15"/>
      <c r="E21" s="15"/>
      <c r="F21" s="15"/>
      <c r="G21" s="15"/>
      <c r="H21" s="15"/>
      <c r="I21" s="15"/>
      <c r="J21" s="695"/>
      <c r="K21" s="17"/>
      <c r="L21" s="17"/>
      <c r="M21" s="17"/>
      <c r="N21" s="17"/>
      <c r="O21" s="18"/>
      <c r="P21" s="18"/>
      <c r="Q21" s="18"/>
      <c r="R21" s="18"/>
      <c r="S21" s="18"/>
      <c r="T21" s="17"/>
      <c r="U21" s="17"/>
      <c r="V21" s="19"/>
      <c r="W21" s="19"/>
      <c r="X21" s="19"/>
      <c r="Y21" s="19"/>
      <c r="Z21" s="19"/>
      <c r="AA21" s="19"/>
    </row>
    <row r="22" spans="1:27" ht="12" customHeight="1">
      <c r="A22" s="135" t="s">
        <v>336</v>
      </c>
      <c r="B22" s="21"/>
      <c r="C22" s="112">
        <f>'T1 ANSP'!C22+'T1 MET'!C22+'T1 NSA'!C22</f>
        <v>475866.84439975489</v>
      </c>
      <c r="D22" s="113">
        <f>'T1 ANSP'!D22+'T1 MET'!D22+'T1 NSA'!D22</f>
        <v>529274.09013056033</v>
      </c>
      <c r="E22" s="113">
        <f>'T1 ANSP'!E22+'T1 MET'!E22+'T1 NSA'!E22</f>
        <v>483032.56711714208</v>
      </c>
      <c r="F22" s="113">
        <f>'T1 ANSP'!F22+'T1 MET'!F22+'T1 NSA'!F22</f>
        <v>477941</v>
      </c>
      <c r="G22" s="113">
        <f>'T1 ANSP'!G22+'T1 MET'!G22+'T1 NSA'!G22</f>
        <v>482523.02444036223</v>
      </c>
      <c r="H22" s="113">
        <f>'T1 ANSP'!H22+'T1 MET'!H22+'T1 NSA'!H22</f>
        <v>475438.55802303128</v>
      </c>
      <c r="I22" s="113">
        <f>'T1 ANSP'!I22+'T1 MET'!I22+'T1 NSA'!I22</f>
        <v>505268.10073549859</v>
      </c>
      <c r="J22" s="696">
        <f>'T1 ANSP'!J22+'T1 MET'!J22+'T1 NSA'!J22</f>
        <v>519551.81901068741</v>
      </c>
      <c r="K22" s="67">
        <f>'T1 ANSP'!K22+'T1 MET'!K22+'T1 NSA'!K22</f>
        <v>583662.53348715848</v>
      </c>
      <c r="L22" s="22">
        <f>'T1 ANSP'!L22+'T1 MET'!L22+'T1 NSA'!L22</f>
        <v>572529.72895907855</v>
      </c>
      <c r="M22" s="1101">
        <f>'T1 ANSP'!M22+'T1 MET'!M22+'T1 NSA'!M22</f>
        <v>585143.34355463635</v>
      </c>
      <c r="N22" s="67">
        <f>'T1 ANSP'!N22+'T1 MET'!N22+'T1 NSA'!N22</f>
        <v>603351.99618457758</v>
      </c>
      <c r="O22" s="22">
        <f>'T1 ANSP'!O22+'T1 MET'!O22+'T1 NSA'!O22</f>
        <v>631934.19187730004</v>
      </c>
      <c r="P22" s="1101">
        <f>'T1 ANSP'!P22+'T1 MET'!P22+'T1 NSA'!P22</f>
        <v>598906.97087480931</v>
      </c>
      <c r="Q22" s="22">
        <f>'T1 ANSP'!Q22+'T1 MET'!Q22+'T1 NSA'!Q22</f>
        <v>604969.24230706517</v>
      </c>
      <c r="R22" s="23">
        <f>'T1 ANSP'!R22+'T1 MET'!R22+'T1 NSA'!R22</f>
        <v>606388.32463422022</v>
      </c>
      <c r="S22" s="26"/>
      <c r="T22" s="67">
        <f>'T1 ANSP'!T22+'T1 MET'!T22+'T1 NSA'!T22</f>
        <v>566495.50213697297</v>
      </c>
      <c r="U22" s="22">
        <f>'T1 ANSP'!U22+'T1 MET'!U22+'T1 NSA'!U22</f>
        <v>466333.66245395876</v>
      </c>
      <c r="V22" s="23"/>
      <c r="W22" s="1202"/>
      <c r="X22" s="33"/>
      <c r="Y22" s="33"/>
      <c r="Z22" s="33"/>
      <c r="AA22" s="34"/>
    </row>
    <row r="23" spans="1:27" ht="12" customHeight="1">
      <c r="A23" s="21" t="s">
        <v>337</v>
      </c>
      <c r="B23" s="24"/>
      <c r="C23" s="115">
        <f>'T1 ANSP'!C23+'T1 MET'!C23+'T1 NSA'!C23</f>
        <v>44565.706443756448</v>
      </c>
      <c r="D23" s="116">
        <f>'T1 ANSP'!D23+'T1 MET'!D23+'T1 NSA'!D23</f>
        <v>48322.283199027763</v>
      </c>
      <c r="E23" s="116">
        <f>'T1 ANSP'!E23+'T1 MET'!E23+'T1 NSA'!E23</f>
        <v>44026.767759847644</v>
      </c>
      <c r="F23" s="116">
        <f>'T1 ANSP'!F23+'T1 MET'!F23+'T1 NSA'!F23</f>
        <v>43483</v>
      </c>
      <c r="G23" s="116">
        <f>'T1 ANSP'!G23+'T1 MET'!G23+'T1 NSA'!G23</f>
        <v>43939.760987408736</v>
      </c>
      <c r="H23" s="116">
        <f>'T1 ANSP'!H23+'T1 MET'!H23+'T1 NSA'!H23</f>
        <v>43293.137536985574</v>
      </c>
      <c r="I23" s="116">
        <f>'T1 ANSP'!I23+'T1 MET'!I23+'T1 NSA'!I23</f>
        <v>46068.707542320655</v>
      </c>
      <c r="J23" s="698">
        <f>'T1 ANSP'!J23+'T1 MET'!J23+'T1 NSA'!J23</f>
        <v>47352.789124803756</v>
      </c>
      <c r="K23" s="37">
        <f>'T1 ANSP'!K23+'T1 MET'!K23+'T1 NSA'!K23</f>
        <v>52712.44404011951</v>
      </c>
      <c r="L23" s="5">
        <f>'T1 ANSP'!L23+'T1 MET'!L23+'T1 NSA'!L23</f>
        <v>51514.148112544404</v>
      </c>
      <c r="M23" s="1098">
        <f>'T1 ANSP'!M23+'T1 MET'!M23+'T1 NSA'!M23</f>
        <v>52619.54532429672</v>
      </c>
      <c r="N23" s="37">
        <f>'T1 ANSP'!N23+'T1 MET'!N23+'T1 NSA'!N23</f>
        <v>53758.347827350539</v>
      </c>
      <c r="O23" s="5">
        <f>'T1 ANSP'!O23+'T1 MET'!O23+'T1 NSA'!O23</f>
        <v>56421.196556791758</v>
      </c>
      <c r="P23" s="1098">
        <f>'T1 ANSP'!P23+'T1 MET'!P23+'T1 NSA'!P23</f>
        <v>53305.987484272933</v>
      </c>
      <c r="Q23" s="5">
        <f>'T1 ANSP'!Q23+'T1 MET'!Q23+'T1 NSA'!Q23</f>
        <v>53760.88269005865</v>
      </c>
      <c r="R23" s="25">
        <f>'T1 ANSP'!R23+'T1 MET'!R23+'T1 NSA'!R23</f>
        <v>53945.038241269001</v>
      </c>
      <c r="S23" s="26"/>
      <c r="T23" s="37">
        <f>'T1 ANSP'!T23+'T1 MET'!T23+'T1 NSA'!T23</f>
        <v>51449.87494073854</v>
      </c>
      <c r="U23" s="5">
        <f>'T1 ANSP'!U23+'T1 MET'!U23+'T1 NSA'!U23</f>
        <v>41618.491585662741</v>
      </c>
      <c r="V23" s="25"/>
      <c r="W23" s="1201"/>
      <c r="X23" s="35"/>
      <c r="Y23" s="35"/>
      <c r="Z23" s="35"/>
      <c r="AA23" s="36"/>
    </row>
    <row r="24" spans="1:27" ht="12" customHeight="1">
      <c r="A24" s="21" t="s">
        <v>338</v>
      </c>
      <c r="B24" s="24"/>
      <c r="C24" s="115">
        <f>'T1 ANSP'!C24+'T1 MET'!C24+'T1 NSA'!C24</f>
        <v>14799.388823928355</v>
      </c>
      <c r="D24" s="116">
        <f>'T1 ANSP'!D24+'T1 MET'!D24+'T1 NSA'!D24</f>
        <v>17654.173655085251</v>
      </c>
      <c r="E24" s="116">
        <f>'T1 ANSP'!E24+'T1 MET'!E24+'T1 NSA'!E24</f>
        <v>16671.4914002638</v>
      </c>
      <c r="F24" s="116">
        <f>'T1 ANSP'!F24+'T1 MET'!F24+'T1 NSA'!F24</f>
        <v>16423</v>
      </c>
      <c r="G24" s="116">
        <f>'T1 ANSP'!G24+'T1 MET'!G24+'T1 NSA'!G24</f>
        <v>16500.731366291278</v>
      </c>
      <c r="H24" s="116">
        <f>'T1 ANSP'!H24+'T1 MET'!H24+'T1 NSA'!H24</f>
        <v>16224.608395705331</v>
      </c>
      <c r="I24" s="116">
        <f>'T1 ANSP'!I24+'T1 MET'!I24+'T1 NSA'!I24</f>
        <v>16673.099235269096</v>
      </c>
      <c r="J24" s="698">
        <f>'T1 ANSP'!J24+'T1 MET'!J24+'T1 NSA'!J24</f>
        <v>16923.494808091436</v>
      </c>
      <c r="K24" s="37">
        <f>'T1 ANSP'!K24+'T1 MET'!K24+'T1 NSA'!K24</f>
        <v>19077.587744503267</v>
      </c>
      <c r="L24" s="5">
        <f>'T1 ANSP'!L24+'T1 MET'!L24+'T1 NSA'!L24</f>
        <v>18643.90275572157</v>
      </c>
      <c r="M24" s="1098">
        <f>'T1 ANSP'!M24+'T1 MET'!M24+'T1 NSA'!M24</f>
        <v>19043.966017513867</v>
      </c>
      <c r="N24" s="37">
        <f>'T1 ANSP'!N24+'T1 MET'!N24+'T1 NSA'!N24</f>
        <v>19456.119258959734</v>
      </c>
      <c r="O24" s="5">
        <f>'T1 ANSP'!O24+'T1 MET'!O24+'T1 NSA'!O24</f>
        <v>20419.852419341929</v>
      </c>
      <c r="P24" s="1098">
        <f>'T1 ANSP'!P24+'T1 MET'!P24+'T1 NSA'!P24</f>
        <v>19292.401861780651</v>
      </c>
      <c r="Q24" s="5">
        <f>'T1 ANSP'!Q24+'T1 MET'!Q24+'T1 NSA'!Q24</f>
        <v>19457.036671662085</v>
      </c>
      <c r="R24" s="25">
        <f>'T1 ANSP'!R24+'T1 MET'!R24+'T1 NSA'!R24</f>
        <v>19523.685899388631</v>
      </c>
      <c r="S24" s="26"/>
      <c r="T24" s="37">
        <f>'T1 ANSP'!T24+'T1 MET'!T24+'T1 NSA'!T24</f>
        <v>18063.962219833778</v>
      </c>
      <c r="U24" s="5">
        <f>'T1 ANSP'!U24+'T1 MET'!U24+'T1 NSA'!U24</f>
        <v>14612.180506091043</v>
      </c>
      <c r="V24" s="25"/>
      <c r="W24" s="1201"/>
      <c r="X24" s="35"/>
      <c r="Y24" s="35"/>
      <c r="Z24" s="35"/>
      <c r="AA24" s="36"/>
    </row>
    <row r="25" spans="1:27" ht="12" customHeight="1">
      <c r="A25" s="21" t="s">
        <v>339</v>
      </c>
      <c r="B25" s="24"/>
      <c r="C25" s="115">
        <f>'T1 ANSP'!C25+'T1 MET'!C25+'T1 NSA'!C25</f>
        <v>30108.616217791292</v>
      </c>
      <c r="D25" s="116">
        <f>'T1 ANSP'!D25+'T1 MET'!D25+'T1 NSA'!D25</f>
        <v>32211.383527911268</v>
      </c>
      <c r="E25" s="116">
        <f>'T1 ANSP'!E25+'T1 MET'!E25+'T1 NSA'!E25</f>
        <v>29348.015199647372</v>
      </c>
      <c r="F25" s="116">
        <f>'T1 ANSP'!F25+'T1 MET'!F25+'T1 NSA'!F25</f>
        <v>28986</v>
      </c>
      <c r="G25" s="116">
        <f>'T1 ANSP'!G25+'T1 MET'!G25+'T1 NSA'!G25</f>
        <v>29290.01693609239</v>
      </c>
      <c r="H25" s="116">
        <f>'T1 ANSP'!H25+'T1 MET'!H25+'T1 NSA'!H25</f>
        <v>28858.981095465129</v>
      </c>
      <c r="I25" s="116">
        <f>'T1 ANSP'!I25+'T1 MET'!I25+'T1 NSA'!I25</f>
        <v>30709.161675347452</v>
      </c>
      <c r="J25" s="698">
        <f>'T1 ANSP'!J25+'T1 MET'!J25+'T1 NSA'!J25</f>
        <v>31565.123802884547</v>
      </c>
      <c r="K25" s="37">
        <f>'T1 ANSP'!K25+'T1 MET'!K25+'T1 NSA'!K25</f>
        <v>35137.841990545938</v>
      </c>
      <c r="L25" s="5">
        <f>'T1 ANSP'!L25+'T1 MET'!L25+'T1 NSA'!L25</f>
        <v>34339.064135946704</v>
      </c>
      <c r="M25" s="1098">
        <f>'T1 ANSP'!M25+'T1 MET'!M25+'T1 NSA'!M25</f>
        <v>35075.916188068986</v>
      </c>
      <c r="N25" s="37">
        <f>'T1 ANSP'!N25+'T1 MET'!N25+'T1 NSA'!N25</f>
        <v>35835.036034234487</v>
      </c>
      <c r="O25" s="5">
        <f>'T1 ANSP'!O25+'T1 MET'!O25+'T1 NSA'!O25</f>
        <v>37610.077195836056</v>
      </c>
      <c r="P25" s="1098">
        <f>'T1 ANSP'!P25+'T1 MET'!P25+'T1 NSA'!P25</f>
        <v>35533.494974105452</v>
      </c>
      <c r="Q25" s="5">
        <f>'T1 ANSP'!Q25+'T1 MET'!Q25+'T1 NSA'!Q25</f>
        <v>35836.725760577618</v>
      </c>
      <c r="R25" s="25">
        <f>'T1 ANSP'!R25+'T1 MET'!R25+'T1 NSA'!R25</f>
        <v>35959.482896543203</v>
      </c>
      <c r="S25" s="26"/>
      <c r="T25" s="37">
        <f>'T1 ANSP'!T25+'T1 MET'!T25+'T1 NSA'!T25</f>
        <v>34296.21997274633</v>
      </c>
      <c r="U25" s="5">
        <f>'T1 ANSP'!U25+'T1 MET'!U25+'T1 NSA'!U25</f>
        <v>27742.670783939764</v>
      </c>
      <c r="V25" s="25"/>
      <c r="W25" s="1201"/>
      <c r="X25" s="35"/>
      <c r="Y25" s="35"/>
      <c r="Z25" s="35"/>
      <c r="AA25" s="36"/>
    </row>
    <row r="26" spans="1:27" ht="12" customHeight="1">
      <c r="A26" s="21" t="s">
        <v>340</v>
      </c>
      <c r="B26" s="24"/>
      <c r="C26" s="115">
        <f>'T1 ANSP'!C26+'T1 MET'!C26+'T1 NSA'!C26</f>
        <v>0</v>
      </c>
      <c r="D26" s="116">
        <f>'T1 ANSP'!D26+'T1 MET'!D26+'T1 NSA'!D26</f>
        <v>0</v>
      </c>
      <c r="E26" s="116">
        <f>'T1 ANSP'!E26+'T1 MET'!E26+'T1 NSA'!E26</f>
        <v>0</v>
      </c>
      <c r="F26" s="116">
        <f>'T1 ANSP'!F26+'T1 MET'!F26+'T1 NSA'!F26</f>
        <v>0</v>
      </c>
      <c r="G26" s="116">
        <f>'T1 ANSP'!G26+'T1 MET'!G26+'T1 NSA'!G26</f>
        <v>0</v>
      </c>
      <c r="H26" s="116">
        <f>'T1 ANSP'!H26+'T1 MET'!H26+'T1 NSA'!H26</f>
        <v>0</v>
      </c>
      <c r="I26" s="116">
        <f>'T1 ANSP'!I26+'T1 MET'!I26+'T1 NSA'!I26</f>
        <v>0</v>
      </c>
      <c r="J26" s="698">
        <f>'T1 ANSP'!J26+'T1 MET'!J26+'T1 NSA'!J26</f>
        <v>0</v>
      </c>
      <c r="K26" s="37">
        <f>'T1 ANSP'!K26+'T1 MET'!K26+'T1 NSA'!K26</f>
        <v>0</v>
      </c>
      <c r="L26" s="5">
        <f>'T1 ANSP'!L26+'T1 MET'!L26+'T1 NSA'!L26</f>
        <v>0</v>
      </c>
      <c r="M26" s="1098">
        <f>'T1 ANSP'!M26+'T1 MET'!M26+'T1 NSA'!M26</f>
        <v>0</v>
      </c>
      <c r="N26" s="37">
        <f>'T1 ANSP'!N26+'T1 MET'!N26+'T1 NSA'!N26</f>
        <v>0</v>
      </c>
      <c r="O26" s="5">
        <f>'T1 ANSP'!O26+'T1 MET'!O26+'T1 NSA'!O26</f>
        <v>0</v>
      </c>
      <c r="P26" s="1098">
        <f>'T1 ANSP'!P26+'T1 MET'!P26+'T1 NSA'!P26</f>
        <v>0</v>
      </c>
      <c r="Q26" s="5">
        <f>'T1 ANSP'!Q26+'T1 MET'!Q26+'T1 NSA'!Q26</f>
        <v>0</v>
      </c>
      <c r="R26" s="25">
        <f>'T1 ANSP'!R26+'T1 MET'!R26+'T1 NSA'!R26</f>
        <v>0</v>
      </c>
      <c r="S26" s="26"/>
      <c r="T26" s="37">
        <f>'T1 ANSP'!T26+'T1 MET'!T26+'T1 NSA'!T26</f>
        <v>0</v>
      </c>
      <c r="U26" s="5">
        <f>'T1 ANSP'!U26+'T1 MET'!U26+'T1 NSA'!U26</f>
        <v>0</v>
      </c>
      <c r="V26" s="25"/>
      <c r="W26" s="1201"/>
      <c r="X26" s="35"/>
      <c r="Y26" s="35"/>
      <c r="Z26" s="35"/>
      <c r="AA26" s="36"/>
    </row>
    <row r="27" spans="1:27" ht="12" customHeight="1">
      <c r="A27" s="21" t="s">
        <v>341</v>
      </c>
      <c r="B27" s="24"/>
      <c r="C27" s="115">
        <f>'T1 ANSP'!C27+'T1 MET'!C27+'T1 NSA'!C27</f>
        <v>3994.9232400000005</v>
      </c>
      <c r="D27" s="116">
        <f>'T1 ANSP'!D27+'T1 MET'!D27+'T1 NSA'!D27</f>
        <v>4045.7114500000007</v>
      </c>
      <c r="E27" s="116">
        <f>'T1 ANSP'!E27+'T1 MET'!E27+'T1 NSA'!E27</f>
        <v>5698.3796600000005</v>
      </c>
      <c r="F27" s="116">
        <f>'T1 ANSP'!F27+'T1 MET'!F27+'T1 NSA'!F27</f>
        <v>4383.6017000000002</v>
      </c>
      <c r="G27" s="116">
        <f>'T1 ANSP'!G27+'T1 MET'!G27+'T1 NSA'!G27</f>
        <v>3474.7876500000007</v>
      </c>
      <c r="H27" s="116">
        <f>'T1 ANSP'!H27+'T1 MET'!H27+'T1 NSA'!H27</f>
        <v>3494.93887</v>
      </c>
      <c r="I27" s="116">
        <f>'T1 ANSP'!I27+'T1 MET'!I27+'T1 NSA'!I27</f>
        <v>3835.3095600000001</v>
      </c>
      <c r="J27" s="698">
        <f>'T1 ANSP'!J27+'T1 MET'!J27+'T1 NSA'!J27</f>
        <v>3516.75</v>
      </c>
      <c r="K27" s="37">
        <f>'T1 ANSP'!K27+'T1 MET'!K27+'T1 NSA'!K27</f>
        <v>4388.4135532197179</v>
      </c>
      <c r="L27" s="5">
        <f>'T1 ANSP'!L27+'T1 MET'!L27+'T1 NSA'!L27</f>
        <v>4288.6530851728121</v>
      </c>
      <c r="M27" s="1098">
        <f>'T1 ANSP'!M27+'T1 MET'!M27+'T1 NSA'!M27</f>
        <v>4380.679554331653</v>
      </c>
      <c r="N27" s="37">
        <f>'T1 ANSP'!N27+'T1 MET'!N27+'T1 NSA'!N27</f>
        <v>4475.4870790034029</v>
      </c>
      <c r="O27" s="5">
        <f>'T1 ANSP'!O27+'T1 MET'!O27+'T1 NSA'!O27</f>
        <v>4697.1744180605665</v>
      </c>
      <c r="P27" s="1098">
        <f>'T1 ANSP'!P27+'T1 MET'!P27+'T1 NSA'!P27</f>
        <v>4437.8272000763327</v>
      </c>
      <c r="Q27" s="5">
        <f>'T1 ANSP'!Q27+'T1 MET'!Q27+'T1 NSA'!Q27</f>
        <v>4475.6981112571029</v>
      </c>
      <c r="R27" s="25">
        <f>'T1 ANSP'!R27+'T1 MET'!R27+'T1 NSA'!R27</f>
        <v>4491.0294192916353</v>
      </c>
      <c r="S27" s="26"/>
      <c r="T27" s="37">
        <f>'T1 ANSP'!T27+'T1 MET'!T27+'T1 NSA'!T27</f>
        <v>3758.0364</v>
      </c>
      <c r="U27" s="5">
        <f>'T1 ANSP'!U27+'T1 MET'!U27+'T1 NSA'!U27</f>
        <v>3039.9258787735589</v>
      </c>
      <c r="V27" s="25"/>
      <c r="W27" s="1201"/>
      <c r="X27" s="35"/>
      <c r="Y27" s="35"/>
      <c r="Z27" s="35"/>
      <c r="AA27" s="36"/>
    </row>
    <row r="28" spans="1:27" ht="12" customHeight="1">
      <c r="A28" s="21" t="s">
        <v>342</v>
      </c>
      <c r="B28" s="24"/>
      <c r="C28" s="115">
        <f>'T1 ANSP'!C28+'T1 MET'!C28+'T1 NSA'!C28</f>
        <v>29130</v>
      </c>
      <c r="D28" s="116">
        <f>'T1 ANSP'!D28+'T1 MET'!D28+'T1 NSA'!D28</f>
        <v>28718</v>
      </c>
      <c r="E28" s="116">
        <f>'T1 ANSP'!E28+'T1 MET'!E28+'T1 NSA'!E28</f>
        <v>28213</v>
      </c>
      <c r="F28" s="116">
        <f>'T1 ANSP'!F28+'T1 MET'!F28+'T1 NSA'!F28</f>
        <v>28438</v>
      </c>
      <c r="G28" s="116">
        <f>'T1 ANSP'!G28+'T1 MET'!G28+'T1 NSA'!G28</f>
        <v>27852.3</v>
      </c>
      <c r="H28" s="116">
        <f>'T1 ANSP'!H28+'T1 MET'!H28+'T1 NSA'!H28</f>
        <v>26446</v>
      </c>
      <c r="I28" s="116">
        <f>'T1 ANSP'!I28+'T1 MET'!I28+'T1 NSA'!I28</f>
        <v>27081.342521957115</v>
      </c>
      <c r="J28" s="698">
        <f>'T1 ANSP'!J28+'T1 MET'!J28+'T1 NSA'!J28</f>
        <v>27756.395069999999</v>
      </c>
      <c r="K28" s="37">
        <f>'T1 ANSP'!K28+'T1 MET'!K28+'T1 NSA'!K28</f>
        <v>30937.954929357504</v>
      </c>
      <c r="L28" s="5">
        <f>'T1 ANSP'!L28+'T1 MET'!L28+'T1 NSA'!L28</f>
        <v>30193.924055224317</v>
      </c>
      <c r="M28" s="1098">
        <f>'T1 ANSP'!M28+'T1 MET'!M28+'T1 NSA'!M28</f>
        <v>31631.804677089873</v>
      </c>
      <c r="N28" s="37">
        <f>'T1 ANSP'!N28+'T1 MET'!N28+'T1 NSA'!N28</f>
        <v>34291.187312470771</v>
      </c>
      <c r="O28" s="5">
        <f>'T1 ANSP'!O28+'T1 MET'!O28+'T1 NSA'!O28</f>
        <v>38640.665612974866</v>
      </c>
      <c r="P28" s="1098">
        <f>'T1 ANSP'!P28+'T1 MET'!P28+'T1 NSA'!P28</f>
        <v>39501.623145362442</v>
      </c>
      <c r="Q28" s="5">
        <f>'T1 ANSP'!Q28+'T1 MET'!Q28+'T1 NSA'!Q28</f>
        <v>39933.780782552552</v>
      </c>
      <c r="R28" s="25">
        <f>'T1 ANSP'!R28+'T1 MET'!R28+'T1 NSA'!R28</f>
        <v>39875.598678985043</v>
      </c>
      <c r="S28" s="26"/>
      <c r="T28" s="37">
        <f>'T1 ANSP'!T28+'T1 MET'!T28+'T1 NSA'!T28</f>
        <v>28865.467896628572</v>
      </c>
      <c r="U28" s="5">
        <f>'T1 ANSP'!U28+'T1 MET'!U28+'T1 NSA'!U28</f>
        <v>29269.24</v>
      </c>
      <c r="V28" s="25"/>
      <c r="W28" s="1201"/>
      <c r="X28" s="35"/>
      <c r="Y28" s="35"/>
      <c r="Z28" s="35"/>
      <c r="AA28" s="36"/>
    </row>
    <row r="29" spans="1:27" ht="12" customHeight="1">
      <c r="A29" s="21" t="s">
        <v>343</v>
      </c>
      <c r="B29" s="24"/>
      <c r="C29" s="115">
        <f>'T1 ANSP'!C29+'T1 MET'!C29+'T1 NSA'!C29</f>
        <v>6865.9599399999997</v>
      </c>
      <c r="D29" s="116">
        <f>'T1 ANSP'!D29+'T1 MET'!D29+'T1 NSA'!D29</f>
        <v>7259.4739599999994</v>
      </c>
      <c r="E29" s="116">
        <f>'T1 ANSP'!E29+'T1 MET'!E29+'T1 NSA'!E29</f>
        <v>7247.9405800000004</v>
      </c>
      <c r="F29" s="116">
        <f>'T1 ANSP'!F29+'T1 MET'!F29+'T1 NSA'!F29</f>
        <v>7066.5</v>
      </c>
      <c r="G29" s="116">
        <f>'T1 ANSP'!G29+'T1 MET'!G29+'T1 NSA'!G29</f>
        <v>6529.3416099999995</v>
      </c>
      <c r="H29" s="116">
        <f>'T1 ANSP'!H29+'T1 MET'!H29+'T1 NSA'!H29</f>
        <v>6492.8854200000005</v>
      </c>
      <c r="I29" s="116">
        <f>'T1 ANSP'!I29+'T1 MET'!I29+'T1 NSA'!I29</f>
        <v>6356.6510900000012</v>
      </c>
      <c r="J29" s="698">
        <f>'T1 ANSP'!J29+'T1 MET'!J29+'T1 NSA'!J29</f>
        <v>6441.4756500000003</v>
      </c>
      <c r="K29" s="37">
        <f>'T1 ANSP'!K29+'T1 MET'!K29+'T1 NSA'!K29</f>
        <v>6139.031938056728</v>
      </c>
      <c r="L29" s="5">
        <f>'T1 ANSP'!L29+'T1 MET'!L29+'T1 NSA'!L29</f>
        <v>6021.0789447829975</v>
      </c>
      <c r="M29" s="1098">
        <f>'T1 ANSP'!M29+'T1 MET'!M29+'T1 NSA'!M29</f>
        <v>6140.1353927634254</v>
      </c>
      <c r="N29" s="37">
        <f>'T1 ANSP'!N29+'T1 MET'!N29+'T1 NSA'!N29</f>
        <v>6250.2098597603544</v>
      </c>
      <c r="O29" s="5">
        <f>'T1 ANSP'!O29+'T1 MET'!O29+'T1 NSA'!O29</f>
        <v>6526.4257012759572</v>
      </c>
      <c r="P29" s="1098">
        <f>'T1 ANSP'!P29+'T1 MET'!P29+'T1 NSA'!P29</f>
        <v>6202.1674969898158</v>
      </c>
      <c r="Q29" s="5">
        <f>'T1 ANSP'!Q29+'T1 MET'!Q29+'T1 NSA'!Q29</f>
        <v>6239.4290538673768</v>
      </c>
      <c r="R29" s="25">
        <f>'T1 ANSP'!R29+'T1 MET'!R29+'T1 NSA'!R29</f>
        <v>6255.38617301466</v>
      </c>
      <c r="S29" s="26"/>
      <c r="T29" s="37">
        <f>'T1 ANSP'!T29+'T1 MET'!T29+'T1 NSA'!T29</f>
        <v>5645.7810500000005</v>
      </c>
      <c r="U29" s="5">
        <f>'T1 ANSP'!U29+'T1 MET'!U29+'T1 NSA'!U29</f>
        <v>4842.3256285031894</v>
      </c>
      <c r="V29" s="25"/>
      <c r="W29" s="1201"/>
      <c r="X29" s="35"/>
      <c r="Y29" s="35"/>
      <c r="Z29" s="35"/>
      <c r="AA29" s="36"/>
    </row>
    <row r="30" spans="1:27" ht="12" customHeight="1">
      <c r="A30" s="21" t="s">
        <v>344</v>
      </c>
      <c r="B30" s="24"/>
      <c r="C30" s="115">
        <f>'T1 ANSP'!C30+'T1 MET'!C30+'T1 NSA'!C30</f>
        <v>53409.226389745265</v>
      </c>
      <c r="D30" s="116">
        <f>'T1 ANSP'!D30+'T1 MET'!D30+'T1 NSA'!D30</f>
        <v>57347.410791279792</v>
      </c>
      <c r="E30" s="116">
        <f>'T1 ANSP'!E30+'T1 MET'!E30+'T1 NSA'!E30</f>
        <v>55662.99385340252</v>
      </c>
      <c r="F30" s="116">
        <f>'T1 ANSP'!F30+'T1 MET'!F30+'T1 NSA'!F30</f>
        <v>50650.412164199995</v>
      </c>
      <c r="G30" s="116">
        <f>'T1 ANSP'!G30+'T1 MET'!G30+'T1 NSA'!G30</f>
        <v>56255.035019133436</v>
      </c>
      <c r="H30" s="116">
        <f>'T1 ANSP'!H30+'T1 MET'!H30+'T1 NSA'!H30</f>
        <v>60346.471071479231</v>
      </c>
      <c r="I30" s="116">
        <f>'T1 ANSP'!I30+'T1 MET'!I30+'T1 NSA'!I30</f>
        <v>58366.706536868303</v>
      </c>
      <c r="J30" s="698">
        <f>'T1 ANSP'!J30+'T1 MET'!J30+'T1 NSA'!J30</f>
        <v>56385.870465818203</v>
      </c>
      <c r="K30" s="37">
        <f>'T1 ANSP'!K30+'T1 MET'!K30+'T1 NSA'!K30</f>
        <v>58363.091855186809</v>
      </c>
      <c r="L30" s="5">
        <f>'T1 ANSP'!L30+'T1 MET'!L30+'T1 NSA'!L30</f>
        <v>57496.53410980956</v>
      </c>
      <c r="M30" s="1098">
        <f>'T1 ANSP'!M30+'T1 MET'!M30+'T1 NSA'!M30</f>
        <v>56900.202262422026</v>
      </c>
      <c r="N30" s="37">
        <f>'T1 ANSP'!N30+'T1 MET'!N30+'T1 NSA'!N30</f>
        <v>57232.513805746959</v>
      </c>
      <c r="O30" s="5">
        <f>'T1 ANSP'!O30+'T1 MET'!O30+'T1 NSA'!O30</f>
        <v>57802.811767853491</v>
      </c>
      <c r="P30" s="1098">
        <f>'T1 ANSP'!P30+'T1 MET'!P30+'T1 NSA'!P30</f>
        <v>58190.321244979539</v>
      </c>
      <c r="Q30" s="5">
        <f>'T1 ANSP'!Q30+'T1 MET'!Q30+'T1 NSA'!Q30</f>
        <v>59506.887033540588</v>
      </c>
      <c r="R30" s="25">
        <f>'T1 ANSP'!R30+'T1 MET'!R30+'T1 NSA'!R30</f>
        <v>59534.374052088351</v>
      </c>
      <c r="S30" s="26"/>
      <c r="T30" s="37">
        <f>'T1 ANSP'!T30+'T1 MET'!T30+'T1 NSA'!T30</f>
        <v>63618.228691528013</v>
      </c>
      <c r="U30" s="5">
        <f>'T1 ANSP'!U30+'T1 MET'!U30+'T1 NSA'!U30</f>
        <v>56894.231887539434</v>
      </c>
      <c r="V30" s="25"/>
      <c r="W30" s="1201"/>
      <c r="X30" s="35"/>
      <c r="Y30" s="35"/>
      <c r="Z30" s="35"/>
      <c r="AA30" s="36"/>
    </row>
    <row r="31" spans="1:27" s="143" customFormat="1" ht="12" customHeight="1">
      <c r="A31" s="141" t="s">
        <v>345</v>
      </c>
      <c r="B31" s="134"/>
      <c r="C31" s="582">
        <f>'T1 ANSP'!C31+'T1 MET'!C31+'T1 NSA'!C31</f>
        <v>658740.66545497626</v>
      </c>
      <c r="D31" s="583">
        <f>'T1 ANSP'!D31+'T1 MET'!D31+'T1 NSA'!D31</f>
        <v>724832.52671386418</v>
      </c>
      <c r="E31" s="583">
        <f>'T1 ANSP'!E31+'T1 MET'!E31+'T1 NSA'!E31</f>
        <v>669901.15557030356</v>
      </c>
      <c r="F31" s="583">
        <f>'T1 ANSP'!F31+'T1 MET'!F31+'T1 NSA'!F31</f>
        <v>657371.51386419998</v>
      </c>
      <c r="G31" s="583">
        <f>'T1 ANSP'!G31+'T1 MET'!G31+'T1 NSA'!G31</f>
        <v>666364.9980092881</v>
      </c>
      <c r="H31" s="583">
        <f>'T1 ANSP'!H31+'T1 MET'!H31+'T1 NSA'!H31</f>
        <v>660595.58041266631</v>
      </c>
      <c r="I31" s="583">
        <f>'T1 ANSP'!I31+'T1 MET'!I31+'T1 NSA'!I31</f>
        <v>694359.07889726129</v>
      </c>
      <c r="J31" s="702">
        <f>'T1 ANSP'!J31+'T1 MET'!J31+'T1 NSA'!J31</f>
        <v>709493.71793228539</v>
      </c>
      <c r="K31" s="85">
        <f>'T1 ANSP'!K31+'T1 MET'!K31+'T1 NSA'!K31</f>
        <v>790418.89953814808</v>
      </c>
      <c r="L31" s="86">
        <f>'T1 ANSP'!L31+'T1 MET'!L31+'T1 NSA'!L31</f>
        <v>775027.03415828093</v>
      </c>
      <c r="M31" s="801">
        <f>'T1 ANSP'!M31+'T1 MET'!M31+'T1 NSA'!M31</f>
        <v>790935.59297112294</v>
      </c>
      <c r="N31" s="85">
        <f>'T1 ANSP'!N31+'T1 MET'!N31+'T1 NSA'!N31</f>
        <v>814650.8973621038</v>
      </c>
      <c r="O31" s="86">
        <f>'T1 ANSP'!O31+'T1 MET'!O31+'T1 NSA'!O31</f>
        <v>854052.39554943482</v>
      </c>
      <c r="P31" s="801">
        <f>'T1 ANSP'!P31+'T1 MET'!P31+'T1 NSA'!P31</f>
        <v>815370.79428237653</v>
      </c>
      <c r="Q31" s="86">
        <f>'T1 ANSP'!Q31+'T1 MET'!Q31+'T1 NSA'!Q31</f>
        <v>824179.68241058127</v>
      </c>
      <c r="R31" s="630">
        <f>'T1 ANSP'!R31+'T1 MET'!R31+'T1 NSA'!R31</f>
        <v>825972.91999480082</v>
      </c>
      <c r="S31" s="87"/>
      <c r="T31" s="85">
        <f>'T1 ANSP'!T31+'T1 MET'!T31+'T1 NSA'!T31</f>
        <v>772193.07330844807</v>
      </c>
      <c r="U31" s="86">
        <f>'T1 ANSP'!U31+'T1 MET'!U31+'T1 NSA'!U31</f>
        <v>644352.72872446862</v>
      </c>
      <c r="V31" s="630"/>
      <c r="W31" s="1203"/>
      <c r="X31" s="95"/>
      <c r="Y31" s="95"/>
      <c r="Z31" s="95"/>
      <c r="AA31" s="142"/>
    </row>
    <row r="32" spans="1:27" ht="12" customHeight="1">
      <c r="A32" s="102" t="s">
        <v>334</v>
      </c>
      <c r="B32" s="470"/>
      <c r="C32" s="28"/>
      <c r="D32" s="29">
        <f t="shared" ref="D32:O32" si="4">D31/C31-1</f>
        <v>0.10033062284569882</v>
      </c>
      <c r="E32" s="29">
        <f t="shared" si="4"/>
        <v>-7.5784914609999809E-2</v>
      </c>
      <c r="F32" s="29">
        <f t="shared" si="4"/>
        <v>-1.8703717110977069E-2</v>
      </c>
      <c r="G32" s="29">
        <f t="shared" si="4"/>
        <v>1.368097636635035E-2</v>
      </c>
      <c r="H32" s="29">
        <f t="shared" si="4"/>
        <v>-8.6580441857802004E-3</v>
      </c>
      <c r="I32" s="29">
        <f t="shared" si="4"/>
        <v>5.111069387340339E-2</v>
      </c>
      <c r="J32" s="700">
        <f t="shared" si="4"/>
        <v>2.1796559582773822E-2</v>
      </c>
      <c r="K32" s="28">
        <f t="shared" si="4"/>
        <v>0.11406046249670432</v>
      </c>
      <c r="L32" s="29">
        <f t="shared" si="4"/>
        <v>-1.9473048264484594E-2</v>
      </c>
      <c r="M32" s="1100">
        <f t="shared" si="4"/>
        <v>2.0526456641760227E-2</v>
      </c>
      <c r="N32" s="28">
        <f t="shared" si="4"/>
        <v>2.9983862910878845E-2</v>
      </c>
      <c r="O32" s="29">
        <f t="shared" si="4"/>
        <v>4.8366114018797202E-2</v>
      </c>
      <c r="P32" s="1100">
        <f t="shared" ref="P32" si="5">P31/O31-1</f>
        <v>-4.5291836272145058E-2</v>
      </c>
      <c r="Q32" s="29">
        <f t="shared" ref="Q32" si="6">Q31/P31-1</f>
        <v>1.0803536489135013E-2</v>
      </c>
      <c r="R32" s="30">
        <f t="shared" ref="R32" si="7">R31/Q31-1</f>
        <v>2.1757847499646044E-3</v>
      </c>
      <c r="S32" s="27">
        <f>S31/O31-1</f>
        <v>-1</v>
      </c>
      <c r="T32" s="28">
        <f>T31/J31-1</f>
        <v>8.8371966927192291E-2</v>
      </c>
      <c r="U32" s="29">
        <f>U31/K31-1</f>
        <v>-0.18479589860392731</v>
      </c>
      <c r="V32" s="30"/>
      <c r="W32" s="1016"/>
      <c r="X32" s="104"/>
      <c r="Y32" s="104"/>
      <c r="Z32" s="104"/>
      <c r="AA32" s="106"/>
    </row>
    <row r="33" spans="1:27" ht="12" customHeight="1">
      <c r="A33" s="31"/>
      <c r="B33" s="32"/>
      <c r="C33" s="32"/>
      <c r="D33" s="32"/>
      <c r="E33" s="32"/>
      <c r="F33" s="32"/>
      <c r="G33" s="32"/>
      <c r="H33" s="32"/>
      <c r="I33" s="32"/>
      <c r="J33" s="703"/>
      <c r="K33" s="32"/>
      <c r="L33" s="32"/>
      <c r="M33" s="32"/>
      <c r="N33" s="32"/>
      <c r="O33" s="32"/>
      <c r="P33" s="32"/>
      <c r="Q33" s="32"/>
      <c r="R33" s="32"/>
      <c r="S33" s="32"/>
      <c r="T33" s="32"/>
      <c r="U33" s="32"/>
      <c r="V33" s="32"/>
      <c r="W33" s="32"/>
      <c r="X33" s="32"/>
      <c r="Y33" s="32"/>
      <c r="Z33" s="32"/>
      <c r="AA33" s="32"/>
    </row>
    <row r="34" spans="1:27" ht="15.6" customHeight="1">
      <c r="A34" s="15" t="s">
        <v>346</v>
      </c>
      <c r="B34" s="15"/>
      <c r="C34" s="15"/>
      <c r="D34" s="15"/>
      <c r="E34" s="15"/>
      <c r="F34" s="15"/>
      <c r="G34" s="15"/>
      <c r="H34" s="15"/>
      <c r="I34" s="15"/>
      <c r="J34" s="695"/>
      <c r="K34" s="17"/>
      <c r="L34" s="17"/>
      <c r="M34" s="17"/>
      <c r="N34" s="17"/>
      <c r="O34" s="18"/>
      <c r="P34" s="18"/>
      <c r="Q34" s="18"/>
      <c r="R34" s="18"/>
      <c r="S34" s="18"/>
      <c r="T34" s="17"/>
      <c r="U34" s="17"/>
      <c r="V34" s="17"/>
      <c r="W34" s="17"/>
      <c r="X34" s="17"/>
      <c r="Y34" s="17"/>
      <c r="Z34" s="17"/>
      <c r="AA34" s="17"/>
    </row>
    <row r="35" spans="1:27" ht="12" customHeight="1">
      <c r="A35" s="15" t="s">
        <v>347</v>
      </c>
      <c r="B35" s="15"/>
      <c r="C35" s="15"/>
      <c r="D35" s="15"/>
      <c r="E35" s="15"/>
      <c r="F35" s="15"/>
      <c r="G35" s="15"/>
      <c r="H35" s="15"/>
      <c r="I35" s="15"/>
      <c r="J35" s="695"/>
      <c r="K35" s="17"/>
      <c r="L35" s="17"/>
      <c r="M35" s="17"/>
      <c r="N35" s="17"/>
      <c r="O35" s="17"/>
      <c r="P35" s="17"/>
      <c r="Q35" s="17"/>
      <c r="R35" s="17"/>
      <c r="S35" s="17"/>
      <c r="T35" s="17"/>
      <c r="U35" s="17"/>
      <c r="V35" s="17"/>
      <c r="W35" s="17"/>
      <c r="X35" s="17"/>
      <c r="Y35" s="17"/>
      <c r="Z35" s="17"/>
      <c r="AA35" s="17"/>
    </row>
    <row r="36" spans="1:27" ht="12" customHeight="1">
      <c r="A36" s="42" t="s">
        <v>348</v>
      </c>
      <c r="B36" s="21"/>
      <c r="C36" s="22">
        <f>'T1 ANSP'!C36+'T1 MET'!C36+'T1 NSA'!C36</f>
        <v>939762.34893289395</v>
      </c>
      <c r="D36" s="22">
        <f>'T1 ANSP'!D36+'T1 MET'!D36+'T1 NSA'!D36</f>
        <v>927485.31138188043</v>
      </c>
      <c r="E36" s="22">
        <f>'T1 ANSP'!E36+'T1 MET'!E36+'T1 NSA'!E36</f>
        <v>865540.31546963041</v>
      </c>
      <c r="F36" s="22">
        <f>'T1 ANSP'!F36+'T1 MET'!F36+'T1 NSA'!F36</f>
        <v>878999.24615940417</v>
      </c>
      <c r="G36" s="22">
        <f>'T1 ANSP'!G36+'T1 MET'!G36+'T1 NSA'!G36</f>
        <v>888721.45849212434</v>
      </c>
      <c r="H36" s="22">
        <f>'T1 ANSP'!H36+'T1 MET'!H36+'T1 NSA'!H36</f>
        <v>908862.2495430382</v>
      </c>
      <c r="I36" s="22">
        <f>'T1 ANSP'!I36+'T1 MET'!I36+'T1 NSA'!I36</f>
        <v>914061.39616952243</v>
      </c>
      <c r="J36" s="704">
        <f>'T1 ANSP'!J36+'T1 MET'!J36+'T1 NSA'!J36</f>
        <v>925829.09386866854</v>
      </c>
      <c r="K36" s="67">
        <f>'T1 ANSP'!K36+'T1 MET'!K36+'T1 NSA'!K36</f>
        <v>1040501.549573938</v>
      </c>
      <c r="L36" s="22">
        <f>'T1 ANSP'!L36+'T1 MET'!L36+'T1 NSA'!L36</f>
        <v>1069147.6541239778</v>
      </c>
      <c r="M36" s="23">
        <f>'T1 ANSP'!M36+'T1 MET'!M36+'T1 NSA'!M36</f>
        <v>1029089.8745305148</v>
      </c>
      <c r="N36" s="158">
        <f>'T1 ANSP'!N36+'T1 MET'!N36+'T1 NSA'!N36</f>
        <v>1149965.9775323176</v>
      </c>
      <c r="O36" s="22">
        <f>'T1 ANSP'!O36+'T1 MET'!O36+'T1 NSA'!O36</f>
        <v>1166102.795258387</v>
      </c>
      <c r="P36" s="22">
        <f>'T1 ANSP'!P36+'T1 MET'!P36+'T1 NSA'!P36</f>
        <v>1147785.9528704255</v>
      </c>
      <c r="Q36" s="22">
        <f>'T1 ANSP'!Q36+'T1 MET'!Q36+'T1 NSA'!Q36</f>
        <v>1114075.4455512161</v>
      </c>
      <c r="R36" s="23">
        <f>'T1 ANSP'!R36+'T1 MET'!R36+'T1 NSA'!R36</f>
        <v>1074384.8335245473</v>
      </c>
      <c r="S36" s="43"/>
      <c r="T36" s="67">
        <f>'T1 ANSP'!T36+'T1 MET'!T36+'T1 NSA'!T36</f>
        <v>914320.4544788287</v>
      </c>
      <c r="U36" s="22">
        <f>'T1 ANSP'!U36+'T1 MET'!U36+'T1 NSA'!U36</f>
        <v>955790.61369604012</v>
      </c>
      <c r="V36" s="23"/>
      <c r="W36" s="1202"/>
      <c r="X36" s="33"/>
      <c r="Y36" s="33"/>
      <c r="Z36" s="33"/>
      <c r="AA36" s="34"/>
    </row>
    <row r="37" spans="1:27" ht="12" customHeight="1">
      <c r="A37" s="44" t="s">
        <v>349</v>
      </c>
      <c r="B37" s="21"/>
      <c r="C37" s="5">
        <f>'T1 ANSP'!C37+'T1 MET'!C37+'T1 NSA'!C37</f>
        <v>41681.571504752705</v>
      </c>
      <c r="D37" s="5">
        <f>'T1 ANSP'!D37+'T1 MET'!D37+'T1 NSA'!D37</f>
        <v>50556.324898349667</v>
      </c>
      <c r="E37" s="5">
        <f>'T1 ANSP'!E37+'T1 MET'!E37+'T1 NSA'!E37</f>
        <v>71694.895182720546</v>
      </c>
      <c r="F37" s="5">
        <f>'T1 ANSP'!F37+'T1 MET'!F37+'T1 NSA'!F37</f>
        <v>98160.82617805757</v>
      </c>
      <c r="G37" s="5">
        <f>'T1 ANSP'!G37+'T1 MET'!G37+'T1 NSA'!G37</f>
        <v>91588.709851581327</v>
      </c>
      <c r="H37" s="5">
        <f>'T1 ANSP'!H37+'T1 MET'!H37+'T1 NSA'!H37</f>
        <v>83411.336557579372</v>
      </c>
      <c r="I37" s="5">
        <f>'T1 ANSP'!I37+'T1 MET'!I37+'T1 NSA'!I37</f>
        <v>90060.633659137544</v>
      </c>
      <c r="J37" s="705">
        <f>'T1 ANSP'!J37+'T1 MET'!J37+'T1 NSA'!J37</f>
        <v>100906.19570759276</v>
      </c>
      <c r="K37" s="37">
        <f>'T1 ANSP'!K37+'T1 MET'!K37+'T1 NSA'!K37</f>
        <v>-71629.776822873624</v>
      </c>
      <c r="L37" s="5">
        <f>'T1 ANSP'!L37+'T1 MET'!L37+'T1 NSA'!L37</f>
        <v>-50773.878665737808</v>
      </c>
      <c r="M37" s="25">
        <f>'T1 ANSP'!M37+'T1 MET'!M37+'T1 NSA'!M37</f>
        <v>62818.535457955906</v>
      </c>
      <c r="N37" s="157">
        <f>'T1 ANSP'!N37+'T1 MET'!N37+'T1 NSA'!N37</f>
        <v>-228643.18755825539</v>
      </c>
      <c r="O37" s="5">
        <f>'T1 ANSP'!O37+'T1 MET'!O37+'T1 NSA'!O37</f>
        <v>-167961.04501235066</v>
      </c>
      <c r="P37" s="5">
        <f>'T1 ANSP'!P37+'T1 MET'!P37+'T1 NSA'!P37</f>
        <v>-155439.11023921333</v>
      </c>
      <c r="Q37" s="5">
        <f>'T1 ANSP'!Q37+'T1 MET'!Q37+'T1 NSA'!Q37</f>
        <v>-121621.36514086137</v>
      </c>
      <c r="R37" s="25">
        <f>'T1 ANSP'!R37+'T1 MET'!R37+'T1 NSA'!R37</f>
        <v>-77438.349388304166</v>
      </c>
      <c r="S37" s="43"/>
      <c r="T37" s="37">
        <f>'T1 ANSP'!T37+'T1 MET'!T37+'T1 NSA'!T37</f>
        <v>-60892.512737082507</v>
      </c>
      <c r="U37" s="5">
        <f>'T1 ANSP'!U37+'T1 MET'!U37+'T1 NSA'!U37</f>
        <v>-25610.968048413662</v>
      </c>
      <c r="V37" s="25"/>
      <c r="W37" s="1201"/>
      <c r="X37" s="35"/>
      <c r="Y37" s="35"/>
      <c r="Z37" s="35"/>
      <c r="AA37" s="36"/>
    </row>
    <row r="38" spans="1:27" ht="12" customHeight="1">
      <c r="A38" s="44" t="s">
        <v>350</v>
      </c>
      <c r="B38" s="21"/>
      <c r="C38" s="5">
        <f>'T1 ANSP'!C38+'T1 MET'!C38+'T1 NSA'!C38</f>
        <v>33017.984782509608</v>
      </c>
      <c r="D38" s="5">
        <f>'T1 ANSP'!D38+'T1 MET'!D38+'T1 NSA'!D38</f>
        <v>37497.43373313854</v>
      </c>
      <c r="E38" s="5">
        <f>'T1 ANSP'!E38+'T1 MET'!E38+'T1 NSA'!E38</f>
        <v>61438.903958662508</v>
      </c>
      <c r="F38" s="5">
        <f>'T1 ANSP'!F38+'T1 MET'!F38+'T1 NSA'!F38</f>
        <v>35862.048843560631</v>
      </c>
      <c r="G38" s="5">
        <f>'T1 ANSP'!G38+'T1 MET'!G38+'T1 NSA'!G38</f>
        <v>-39076.097796684648</v>
      </c>
      <c r="H38" s="5">
        <f>'T1 ANSP'!H38+'T1 MET'!H38+'T1 NSA'!H38</f>
        <v>-107518.25142521536</v>
      </c>
      <c r="I38" s="5">
        <f>'T1 ANSP'!I38+'T1 MET'!I38+'T1 NSA'!I38</f>
        <v>-132865.673564625</v>
      </c>
      <c r="J38" s="705">
        <f>'T1 ANSP'!J38+'T1 MET'!J38+'T1 NSA'!J38</f>
        <v>-163753.35641653041</v>
      </c>
      <c r="K38" s="37">
        <f>'T1 ANSP'!K38+'T1 MET'!K38+'T1 NSA'!K38</f>
        <v>-59243.876670964601</v>
      </c>
      <c r="L38" s="5">
        <f>'T1 ANSP'!L38+'T1 MET'!L38+'T1 NSA'!L38</f>
        <v>2728.9767214246281</v>
      </c>
      <c r="M38" s="25">
        <f>'T1 ANSP'!M38+'T1 MET'!M38+'T1 NSA'!M38</f>
        <v>8315.3324829405137</v>
      </c>
      <c r="N38" s="157">
        <f>'T1 ANSP'!N38+'T1 MET'!N38+'T1 NSA'!N38</f>
        <v>710000.68033222796</v>
      </c>
      <c r="O38" s="5">
        <f>'T1 ANSP'!O38+'T1 MET'!O38+'T1 NSA'!O38</f>
        <v>643157.33628932701</v>
      </c>
      <c r="P38" s="5">
        <f>'T1 ANSP'!P38+'T1 MET'!P38+'T1 NSA'!P38</f>
        <v>594251.85364592914</v>
      </c>
      <c r="Q38" s="5">
        <f>'T1 ANSP'!Q38+'T1 MET'!Q38+'T1 NSA'!Q38</f>
        <v>533279.72786363657</v>
      </c>
      <c r="R38" s="25">
        <f>'T1 ANSP'!R38+'T1 MET'!R38+'T1 NSA'!R38</f>
        <v>445017.60006568086</v>
      </c>
      <c r="S38" s="43"/>
      <c r="T38" s="37">
        <f>'T1 ANSP'!T38+'T1 MET'!T38+'T1 NSA'!T38</f>
        <v>127225.78795391619</v>
      </c>
      <c r="U38" s="5">
        <f>'T1 ANSP'!U38+'T1 MET'!U38+'T1 NSA'!U38</f>
        <v>257431.03622899009</v>
      </c>
      <c r="V38" s="581"/>
      <c r="W38" s="1201"/>
      <c r="X38" s="35"/>
      <c r="Y38" s="35"/>
      <c r="Z38" s="35"/>
      <c r="AA38" s="36"/>
    </row>
    <row r="39" spans="1:27" ht="12" customHeight="1">
      <c r="A39" s="45" t="s">
        <v>351</v>
      </c>
      <c r="B39" s="21"/>
      <c r="C39" s="47">
        <f>'T1 ANSP'!C39+'T1 MET'!C39+'T1 NSA'!C39</f>
        <v>1014461.9052201563</v>
      </c>
      <c r="D39" s="47">
        <f>'T1 ANSP'!D39+'T1 MET'!D39+'T1 NSA'!D39</f>
        <v>1015539.0700133686</v>
      </c>
      <c r="E39" s="47">
        <f>'T1 ANSP'!E39+'T1 MET'!E39+'T1 NSA'!E39</f>
        <v>998674.11461101344</v>
      </c>
      <c r="F39" s="47">
        <f>'T1 ANSP'!F39+'T1 MET'!F39+'T1 NSA'!F39</f>
        <v>1013022.1211810224</v>
      </c>
      <c r="G39" s="47">
        <f>'T1 ANSP'!G39+'T1 MET'!G39+'T1 NSA'!G39</f>
        <v>941234.07054702111</v>
      </c>
      <c r="H39" s="47">
        <f>'T1 ANSP'!H39+'T1 MET'!H39+'T1 NSA'!H39</f>
        <v>884755.33467540215</v>
      </c>
      <c r="I39" s="47">
        <f>'T1 ANSP'!I39+'T1 MET'!I39+'T1 NSA'!I39</f>
        <v>871256.35626403498</v>
      </c>
      <c r="J39" s="706">
        <f>'T1 ANSP'!J39+'T1 MET'!J39+'T1 NSA'!J39</f>
        <v>862981.93315973086</v>
      </c>
      <c r="K39" s="46">
        <f>'T1 ANSP'!K39+'T1 MET'!K39+'T1 NSA'!K39</f>
        <v>909627.89608009974</v>
      </c>
      <c r="L39" s="47">
        <f>'T1 ANSP'!L39+'T1 MET'!L39+'T1 NSA'!L39</f>
        <v>1021102.7521796646</v>
      </c>
      <c r="M39" s="48">
        <f>'T1 ANSP'!M39+'T1 MET'!M39+'T1 NSA'!M39</f>
        <v>1100223.7424714111</v>
      </c>
      <c r="N39" s="159">
        <f>'T1 ANSP'!N39+'T1 MET'!N39+'T1 NSA'!N39</f>
        <v>1631323.4703062903</v>
      </c>
      <c r="O39" s="47">
        <f>'T1 ANSP'!O39+'T1 MET'!O39+'T1 NSA'!O39</f>
        <v>1641299.0865353632</v>
      </c>
      <c r="P39" s="47">
        <f>'T1 ANSP'!P39+'T1 MET'!P39+'T1 NSA'!P39</f>
        <v>1586598.6962771413</v>
      </c>
      <c r="Q39" s="47">
        <f>'T1 ANSP'!Q39+'T1 MET'!Q39+'T1 NSA'!Q39</f>
        <v>1525733.8082739913</v>
      </c>
      <c r="R39" s="48">
        <f>'T1 ANSP'!R39+'T1 MET'!R39+'T1 NSA'!R39</f>
        <v>1441964.084201924</v>
      </c>
      <c r="S39" s="43"/>
      <c r="T39" s="46">
        <f>'T1 ANSP'!T39+'T1 MET'!T39+'T1 NSA'!T39</f>
        <v>980653.72969566239</v>
      </c>
      <c r="U39" s="47">
        <f>'T1 ANSP'!U39+'T1 MET'!U39+'T1 NSA'!U39</f>
        <v>1187610.6818766166</v>
      </c>
      <c r="V39" s="691"/>
      <c r="W39" s="1204"/>
      <c r="X39" s="49"/>
      <c r="Y39" s="49"/>
      <c r="Z39" s="49"/>
      <c r="AA39" s="50"/>
    </row>
    <row r="40" spans="1:27" ht="12" customHeight="1">
      <c r="A40" s="15" t="s">
        <v>352</v>
      </c>
      <c r="B40" s="15"/>
      <c r="C40" s="15"/>
      <c r="D40" s="15"/>
      <c r="E40" s="15"/>
      <c r="F40" s="15"/>
      <c r="G40" s="15"/>
      <c r="H40" s="15"/>
      <c r="I40" s="15"/>
      <c r="J40" s="695"/>
      <c r="K40" s="51"/>
      <c r="L40" s="51"/>
      <c r="M40" s="51"/>
      <c r="N40" s="51"/>
      <c r="O40" s="51"/>
      <c r="P40" s="51"/>
      <c r="Q40" s="51"/>
      <c r="R40" s="51"/>
      <c r="S40" s="51"/>
      <c r="T40" s="51"/>
      <c r="U40" s="51"/>
      <c r="V40" s="16"/>
      <c r="W40" s="16"/>
      <c r="X40" s="16"/>
      <c r="Y40" s="16"/>
      <c r="Z40" s="16"/>
      <c r="AA40" s="16"/>
    </row>
    <row r="41" spans="1:27" ht="12" customHeight="1">
      <c r="A41" s="52" t="s">
        <v>353</v>
      </c>
      <c r="B41" s="21"/>
      <c r="C41" s="584">
        <f t="shared" ref="C41:O41" si="8">C16/C39</f>
        <v>6.7608584630925228E-2</v>
      </c>
      <c r="D41" s="584">
        <f t="shared" si="8"/>
        <v>6.7436209157371155E-2</v>
      </c>
      <c r="E41" s="584">
        <f t="shared" si="8"/>
        <v>6.7559837560669619E-2</v>
      </c>
      <c r="F41" s="584">
        <f t="shared" si="8"/>
        <v>5.8312746055672757E-2</v>
      </c>
      <c r="G41" s="584">
        <f t="shared" si="8"/>
        <v>5.8307584108339756E-2</v>
      </c>
      <c r="H41" s="584">
        <f t="shared" si="8"/>
        <v>5.8306811375039444E-2</v>
      </c>
      <c r="I41" s="584">
        <f t="shared" si="8"/>
        <v>5.832097603850786E-2</v>
      </c>
      <c r="J41" s="707">
        <f t="shared" si="8"/>
        <v>5.8330744073460235E-2</v>
      </c>
      <c r="K41" s="585">
        <f t="shared" si="8"/>
        <v>3.5558857457846871E-2</v>
      </c>
      <c r="L41" s="584">
        <f t="shared" si="8"/>
        <v>3.5473990067441175E-2</v>
      </c>
      <c r="M41" s="1219">
        <f t="shared" si="8"/>
        <v>3.5424340201260285E-2</v>
      </c>
      <c r="N41" s="585">
        <f t="shared" si="8"/>
        <v>2.8860101393403944E-2</v>
      </c>
      <c r="O41" s="584">
        <f t="shared" si="8"/>
        <v>2.8888148196840237E-2</v>
      </c>
      <c r="P41" s="584">
        <f t="shared" ref="P41:R41" si="9">P16/P39</f>
        <v>2.8894345828766557E-2</v>
      </c>
      <c r="Q41" s="584">
        <f t="shared" si="9"/>
        <v>2.8849526231352823E-2</v>
      </c>
      <c r="R41" s="586">
        <f t="shared" si="9"/>
        <v>2.8804599822038448E-2</v>
      </c>
      <c r="S41" s="53"/>
      <c r="T41" s="585">
        <f t="shared" ref="T41:U41" si="10">T16/T39</f>
        <v>3.5189867018720372E-2</v>
      </c>
      <c r="U41" s="584">
        <f t="shared" si="10"/>
        <v>3.5554386949925625E-2</v>
      </c>
      <c r="V41" s="1208"/>
      <c r="W41" s="1205"/>
      <c r="X41" s="587"/>
      <c r="Y41" s="587"/>
      <c r="Z41" s="587"/>
      <c r="AA41" s="588"/>
    </row>
    <row r="42" spans="1:27" ht="12" customHeight="1">
      <c r="A42" s="56" t="s">
        <v>354</v>
      </c>
      <c r="B42" s="21"/>
      <c r="C42" s="589"/>
      <c r="D42" s="590"/>
      <c r="E42" s="590"/>
      <c r="F42" s="590"/>
      <c r="G42" s="590"/>
      <c r="H42" s="590"/>
      <c r="I42" s="590"/>
      <c r="J42" s="708"/>
      <c r="K42" s="591"/>
      <c r="L42" s="592"/>
      <c r="M42" s="1220"/>
      <c r="N42" s="591"/>
      <c r="O42" s="592"/>
      <c r="P42" s="592"/>
      <c r="Q42" s="592"/>
      <c r="R42" s="593"/>
      <c r="S42" s="53"/>
      <c r="T42" s="591"/>
      <c r="U42" s="592"/>
      <c r="V42" s="1209"/>
      <c r="W42" s="1206"/>
      <c r="X42" s="594"/>
      <c r="Y42" s="594"/>
      <c r="Z42" s="594"/>
      <c r="AA42" s="595"/>
    </row>
    <row r="43" spans="1:27" ht="12" customHeight="1">
      <c r="A43" s="56" t="s">
        <v>355</v>
      </c>
      <c r="B43" s="21"/>
      <c r="C43" s="589"/>
      <c r="D43" s="590"/>
      <c r="E43" s="590"/>
      <c r="F43" s="590"/>
      <c r="G43" s="590"/>
      <c r="H43" s="590"/>
      <c r="I43" s="590"/>
      <c r="J43" s="708"/>
      <c r="K43" s="591"/>
      <c r="L43" s="592"/>
      <c r="M43" s="1220"/>
      <c r="N43" s="591"/>
      <c r="O43" s="592"/>
      <c r="P43" s="592"/>
      <c r="Q43" s="592"/>
      <c r="R43" s="593"/>
      <c r="S43" s="53"/>
      <c r="T43" s="591"/>
      <c r="U43" s="592"/>
      <c r="V43" s="1209"/>
      <c r="W43" s="1206"/>
      <c r="X43" s="594"/>
      <c r="Y43" s="594"/>
      <c r="Z43" s="594"/>
      <c r="AA43" s="595"/>
    </row>
    <row r="44" spans="1:27" ht="12" customHeight="1">
      <c r="A44" s="137" t="s">
        <v>356</v>
      </c>
      <c r="B44" s="21"/>
      <c r="C44" s="596"/>
      <c r="D44" s="597"/>
      <c r="E44" s="597"/>
      <c r="F44" s="597"/>
      <c r="G44" s="597"/>
      <c r="H44" s="597"/>
      <c r="I44" s="597"/>
      <c r="J44" s="709"/>
      <c r="K44" s="598"/>
      <c r="L44" s="599"/>
      <c r="M44" s="1109"/>
      <c r="N44" s="598"/>
      <c r="O44" s="599"/>
      <c r="P44" s="599"/>
      <c r="Q44" s="599"/>
      <c r="R44" s="600"/>
      <c r="S44" s="59"/>
      <c r="T44" s="598"/>
      <c r="U44" s="599"/>
      <c r="V44" s="1210"/>
      <c r="W44" s="1207"/>
      <c r="X44" s="602"/>
      <c r="Y44" s="602"/>
      <c r="Z44" s="602"/>
      <c r="AA44" s="603"/>
    </row>
    <row r="45" spans="1:27" ht="5.45" customHeight="1">
      <c r="A45" s="17"/>
      <c r="K45" s="144"/>
      <c r="L45" s="144"/>
      <c r="M45" s="144"/>
      <c r="N45" s="144"/>
      <c r="O45" s="144"/>
      <c r="P45" s="144"/>
      <c r="Q45" s="144"/>
      <c r="R45" s="144"/>
      <c r="S45" s="59"/>
      <c r="T45" s="144"/>
      <c r="U45" s="144"/>
      <c r="V45" s="145"/>
      <c r="W45" s="146"/>
      <c r="X45" s="146"/>
      <c r="Y45" s="146"/>
      <c r="Z45" s="146"/>
      <c r="AA45" s="146"/>
    </row>
    <row r="46" spans="1:27" s="605" customFormat="1" ht="12" customHeight="1">
      <c r="A46" s="71" t="s">
        <v>357</v>
      </c>
      <c r="B46" s="2"/>
      <c r="C46" s="2"/>
      <c r="D46" s="2"/>
      <c r="E46" s="2"/>
      <c r="F46" s="2"/>
      <c r="G46" s="2"/>
      <c r="H46" s="2"/>
      <c r="I46" s="2"/>
      <c r="J46" s="641"/>
      <c r="K46" s="27"/>
      <c r="L46" s="27"/>
      <c r="M46" s="27"/>
      <c r="N46" s="604"/>
      <c r="O46" s="604"/>
      <c r="P46" s="604"/>
      <c r="Q46" s="604"/>
      <c r="R46" s="604"/>
      <c r="S46" s="604"/>
      <c r="T46" s="27"/>
      <c r="U46" s="27"/>
      <c r="V46" s="604"/>
      <c r="W46" s="604"/>
      <c r="X46" s="604"/>
      <c r="Y46" s="604"/>
      <c r="Z46" s="604"/>
      <c r="AA46" s="604"/>
    </row>
    <row r="47" spans="1:27" s="605" customFormat="1" ht="12" customHeight="1">
      <c r="A47" s="126" t="s">
        <v>358</v>
      </c>
      <c r="B47" s="123"/>
      <c r="C47" s="153">
        <f>'T1 ANSP'!C47+'T1 MET'!C47+'T1 NSA'!C47</f>
        <v>0</v>
      </c>
      <c r="D47" s="153">
        <f>'T1 ANSP'!D47+'T1 MET'!D47+'T1 NSA'!D47</f>
        <v>0</v>
      </c>
      <c r="E47" s="153">
        <f>'T1 ANSP'!E47+'T1 MET'!E47+'T1 NSA'!E47</f>
        <v>0</v>
      </c>
      <c r="F47" s="153">
        <f>'T1 ANSP'!F47+'T1 MET'!F47+'T1 NSA'!F47</f>
        <v>8958</v>
      </c>
      <c r="G47" s="153">
        <f>'T1 ANSP'!G47+'T1 MET'!G47+'T1 NSA'!G47</f>
        <v>10651.470209999999</v>
      </c>
      <c r="H47" s="153">
        <f>'T1 ANSP'!H47+'T1 MET'!H47+'T1 NSA'!H47</f>
        <v>11884.69994</v>
      </c>
      <c r="I47" s="153">
        <f>'T1 ANSP'!I47+'T1 MET'!I47+'T1 NSA'!I47</f>
        <v>7436.3770000000004</v>
      </c>
      <c r="J47" s="710">
        <f>'T1 ANSP'!J47+'T1 MET'!J47+'T1 NSA'!J47</f>
        <v>4629.0448500000002</v>
      </c>
      <c r="K47" s="606">
        <f>'T1 ANSP'!K47+'T1 MET'!K47+'T1 NSA'!K47</f>
        <v>5008.7809000000007</v>
      </c>
      <c r="L47" s="153">
        <f>'T1 ANSP'!L47+'T1 MET'!L47+'T1 NSA'!L47</f>
        <v>5497.9521600000007</v>
      </c>
      <c r="M47" s="1221">
        <f>'T1 ANSP'!M47+'T1 MET'!M47+'T1 NSA'!M47</f>
        <v>5518.6840499999989</v>
      </c>
      <c r="N47" s="1222">
        <f>'T1 ANSP'!N47+'T1 MET'!N47+'T1 NSA'!N47</f>
        <v>4628.2220700000007</v>
      </c>
      <c r="O47" s="153">
        <f>'T1 ANSP'!O47+'T1 MET'!O47+'T1 NSA'!O47</f>
        <v>4578.2959900000005</v>
      </c>
      <c r="P47" s="153">
        <f>'T1 ANSP'!P47+'T1 MET'!P47+'T1 NSA'!P47</f>
        <v>4848.9783399999997</v>
      </c>
      <c r="Q47" s="153">
        <f>'T1 ANSP'!Q47+'T1 MET'!Q47+'T1 NSA'!Q47</f>
        <v>5020.6686399999999</v>
      </c>
      <c r="R47" s="218">
        <f>'T1 ANSP'!R47+'T1 MET'!R47+'T1 NSA'!R47</f>
        <v>5144.4383499999994</v>
      </c>
      <c r="S47" s="607"/>
      <c r="T47" s="606">
        <f>'T1 ANSP'!T47+'T1 MET'!T47+'T1 NSA'!T47</f>
        <v>3015.2216100000001</v>
      </c>
      <c r="U47" s="153">
        <f>'T1 ANSP'!U47+'T1 MET'!U47+'T1 NSA'!U47</f>
        <v>2967.009779999999</v>
      </c>
      <c r="V47" s="218"/>
      <c r="W47" s="1223"/>
      <c r="X47" s="608"/>
      <c r="Y47" s="608"/>
      <c r="Z47" s="608"/>
      <c r="AA47" s="609"/>
    </row>
    <row r="48" spans="1:27" ht="5.45" customHeight="1">
      <c r="A48" s="17"/>
      <c r="C48" s="26"/>
      <c r="D48" s="26"/>
      <c r="E48" s="26"/>
      <c r="F48" s="26"/>
      <c r="G48" s="26"/>
      <c r="H48" s="26"/>
      <c r="I48" s="26"/>
      <c r="J48" s="711"/>
      <c r="K48" s="610"/>
      <c r="L48" s="610"/>
      <c r="M48" s="610"/>
      <c r="N48" s="610"/>
      <c r="O48" s="610"/>
      <c r="P48" s="610"/>
      <c r="Q48" s="610"/>
      <c r="R48" s="610"/>
      <c r="S48" s="611"/>
      <c r="T48" s="610"/>
      <c r="U48" s="610"/>
      <c r="V48" s="612"/>
      <c r="W48" s="613"/>
      <c r="X48" s="613"/>
      <c r="Y48" s="613"/>
      <c r="Z48" s="613"/>
      <c r="AA48" s="613"/>
    </row>
    <row r="49" spans="1:27" s="615" customFormat="1" ht="12" customHeight="1">
      <c r="A49" s="71" t="s">
        <v>359</v>
      </c>
      <c r="B49" s="2"/>
      <c r="C49" s="26"/>
      <c r="D49" s="26"/>
      <c r="E49" s="26"/>
      <c r="F49" s="26"/>
      <c r="G49" s="26"/>
      <c r="H49" s="26"/>
      <c r="I49" s="26"/>
      <c r="J49" s="711"/>
      <c r="K49" s="26"/>
      <c r="L49" s="26"/>
      <c r="M49" s="26"/>
      <c r="N49" s="614"/>
      <c r="O49" s="614"/>
      <c r="P49" s="614"/>
      <c r="Q49" s="614"/>
      <c r="R49" s="614"/>
      <c r="S49" s="614"/>
      <c r="T49" s="26"/>
      <c r="U49" s="26"/>
      <c r="V49" s="614"/>
      <c r="W49" s="614"/>
      <c r="X49" s="614"/>
      <c r="Y49" s="614"/>
      <c r="Z49" s="614"/>
      <c r="AA49" s="614"/>
    </row>
    <row r="50" spans="1:27" ht="12" customHeight="1">
      <c r="A50" s="42" t="s">
        <v>360</v>
      </c>
      <c r="B50" s="21"/>
      <c r="C50" s="67">
        <f>'T1 ANSP'!C50+'T1 MET'!C50+'T1 NSA'!C50</f>
        <v>0</v>
      </c>
      <c r="D50" s="22">
        <f>'T1 ANSP'!D50+'T1 MET'!D50+'T1 NSA'!D50</f>
        <v>0</v>
      </c>
      <c r="E50" s="22">
        <f>'T1 ANSP'!E50+'T1 MET'!E50+'T1 NSA'!E50</f>
        <v>0</v>
      </c>
      <c r="F50" s="22">
        <f>'T1 ANSP'!F50+'T1 MET'!F50+'T1 NSA'!F50</f>
        <v>0</v>
      </c>
      <c r="G50" s="22">
        <f>'T1 ANSP'!G50+'T1 MET'!G50+'T1 NSA'!G50</f>
        <v>0</v>
      </c>
      <c r="H50" s="22">
        <f>'T1 ANSP'!H50+'T1 MET'!H50+'T1 NSA'!H50</f>
        <v>0</v>
      </c>
      <c r="I50" s="22">
        <f>'T1 ANSP'!I50+'T1 MET'!I50+'T1 NSA'!I50</f>
        <v>0</v>
      </c>
      <c r="J50" s="712">
        <f>'T1 ANSP'!J50+'T1 MET'!J50+'T1 NSA'!J50</f>
        <v>0</v>
      </c>
      <c r="K50" s="67">
        <f>'T1 ANSP'!K50+'T1 MET'!K50+'T1 NSA'!K50</f>
        <v>170372.82190614694</v>
      </c>
      <c r="L50" s="22">
        <f>'T1 ANSP'!L50+'T1 MET'!L50+'T1 NSA'!L50</f>
        <v>142455.77851836776</v>
      </c>
      <c r="M50" s="23">
        <f>'T1 ANSP'!M50+'T1 MET'!M50+'T1 NSA'!M50</f>
        <v>127877.64901803236</v>
      </c>
      <c r="N50" s="158">
        <f>'T1 ANSP'!N50+'T1 MET'!N50+'T1 NSA'!N50</f>
        <v>118915.3459705002</v>
      </c>
      <c r="O50" s="23">
        <f>'T1 ANSP'!O50+'T1 MET'!O50+'T1 NSA'!O50</f>
        <v>130588.93970616173</v>
      </c>
      <c r="P50" s="23">
        <f>'T1 ANSP'!P50+'T1 MET'!P50+'T1 NSA'!P50</f>
        <v>131307.98972254462</v>
      </c>
      <c r="Q50" s="23">
        <f>'T1 ANSP'!Q50+'T1 MET'!Q50+'T1 NSA'!Q50</f>
        <v>132575.11898075874</v>
      </c>
      <c r="R50" s="23">
        <f>'T1 ANSP'!R50+'T1 MET'!R50+'T1 NSA'!R50</f>
        <v>131443.10977615163</v>
      </c>
      <c r="S50" s="43"/>
      <c r="T50" s="67">
        <f>'T1 ANSP'!T50+'T1 MET'!T50+'T1 NSA'!T50</f>
        <v>170677.0157604987</v>
      </c>
      <c r="U50" s="22">
        <f>'T1 ANSP'!U50+'T1 MET'!U50+'T1 NSA'!U50</f>
        <v>142628.60228247431</v>
      </c>
      <c r="V50" s="23"/>
      <c r="W50" s="158"/>
      <c r="X50" s="22"/>
      <c r="Y50" s="22"/>
      <c r="Z50" s="22"/>
      <c r="AA50" s="616"/>
    </row>
    <row r="51" spans="1:27" ht="12" customHeight="1">
      <c r="A51" s="44" t="s">
        <v>361</v>
      </c>
      <c r="B51" s="21"/>
      <c r="C51" s="37">
        <f>'T1 ANSP'!C51+'T1 MET'!C51+'T1 NSA'!C51</f>
        <v>0</v>
      </c>
      <c r="D51" s="5">
        <f>'T1 ANSP'!D51+'T1 MET'!D51+'T1 NSA'!D51</f>
        <v>0</v>
      </c>
      <c r="E51" s="5">
        <f>'T1 ANSP'!E51+'T1 MET'!E51+'T1 NSA'!E51</f>
        <v>0</v>
      </c>
      <c r="F51" s="5">
        <f>'T1 ANSP'!F51+'T1 MET'!F51+'T1 NSA'!F51</f>
        <v>0</v>
      </c>
      <c r="G51" s="5">
        <f>'T1 ANSP'!G51+'T1 MET'!G51+'T1 NSA'!G51</f>
        <v>0</v>
      </c>
      <c r="H51" s="5">
        <f>'T1 ANSP'!H51+'T1 MET'!H51+'T1 NSA'!H51</f>
        <v>0</v>
      </c>
      <c r="I51" s="5">
        <f>'T1 ANSP'!I51+'T1 MET'!I51+'T1 NSA'!I51</f>
        <v>0</v>
      </c>
      <c r="J51" s="697">
        <f>'T1 ANSP'!J51+'T1 MET'!J51+'T1 NSA'!J51</f>
        <v>0</v>
      </c>
      <c r="K51" s="37">
        <f>'T1 ANSP'!K51+'T1 MET'!K51+'T1 NSA'!K51</f>
        <v>30311.082209330387</v>
      </c>
      <c r="L51" s="5">
        <f>'T1 ANSP'!L51+'T1 MET'!L51+'T1 NSA'!L51</f>
        <v>34194.931201595246</v>
      </c>
      <c r="M51" s="25">
        <f>'T1 ANSP'!M51+'T1 MET'!M51+'T1 NSA'!M51</f>
        <v>36953.63126374803</v>
      </c>
      <c r="N51" s="157">
        <f>'T1 ANSP'!N51+'T1 MET'!N51+'T1 NSA'!N51</f>
        <v>43716.114346954004</v>
      </c>
      <c r="O51" s="25">
        <f>'T1 ANSP'!O51+'T1 MET'!O51+'T1 NSA'!O51</f>
        <v>43898.463007489554</v>
      </c>
      <c r="P51" s="25">
        <f>'T1 ANSP'!P51+'T1 MET'!P51+'T1 NSA'!P51</f>
        <v>42416.936678799007</v>
      </c>
      <c r="Q51" s="25">
        <f>'T1 ANSP'!Q51+'T1 MET'!Q51+'T1 NSA'!Q51</f>
        <v>40914.45098437737</v>
      </c>
      <c r="R51" s="25">
        <f>'T1 ANSP'!R51+'T1 MET'!R51+'T1 NSA'!R51</f>
        <v>38786.183755635211</v>
      </c>
      <c r="S51" s="43"/>
      <c r="T51" s="37">
        <f>'T1 ANSP'!T51+'T1 MET'!T51+'T1 NSA'!T51</f>
        <v>32475.15105233949</v>
      </c>
      <c r="U51" s="5">
        <f>'T1 ANSP'!U51+'T1 MET'!U51+'T1 NSA'!U51</f>
        <v>39590.069729306255</v>
      </c>
      <c r="V51" s="25"/>
      <c r="W51" s="157"/>
      <c r="X51" s="5"/>
      <c r="Y51" s="5"/>
      <c r="Z51" s="5"/>
      <c r="AA51" s="617"/>
    </row>
    <row r="52" spans="1:27" ht="12" customHeight="1">
      <c r="A52" s="137" t="s">
        <v>362</v>
      </c>
      <c r="B52" s="21"/>
      <c r="C52" s="46">
        <f>'T1 ANSP'!C52+'T1 MET'!C52+'T1 NSA'!C52</f>
        <v>0</v>
      </c>
      <c r="D52" s="47">
        <f>'T1 ANSP'!D52+'T1 MET'!D52+'T1 NSA'!D52</f>
        <v>0</v>
      </c>
      <c r="E52" s="47">
        <f>'T1 ANSP'!E52+'T1 MET'!E52+'T1 NSA'!E52</f>
        <v>0</v>
      </c>
      <c r="F52" s="47">
        <f>'T1 ANSP'!F52+'T1 MET'!F52+'T1 NSA'!F52</f>
        <v>0</v>
      </c>
      <c r="G52" s="47">
        <f>'T1 ANSP'!G52+'T1 MET'!G52+'T1 NSA'!G52</f>
        <v>0</v>
      </c>
      <c r="H52" s="47">
        <f>'T1 ANSP'!H52+'T1 MET'!H52+'T1 NSA'!H52</f>
        <v>0</v>
      </c>
      <c r="I52" s="47">
        <f>'T1 ANSP'!I52+'T1 MET'!I52+'T1 NSA'!I52</f>
        <v>0</v>
      </c>
      <c r="J52" s="713">
        <f>'T1 ANSP'!J52+'T1 MET'!J52+'T1 NSA'!J52</f>
        <v>0</v>
      </c>
      <c r="K52" s="46">
        <f>'T1 ANSP'!K52+'T1 MET'!K52+'T1 NSA'!K52</f>
        <v>5535.0826435169929</v>
      </c>
      <c r="L52" s="47">
        <f>'T1 ANSP'!L52+'T1 MET'!L52+'T1 NSA'!L52</f>
        <v>5572.8627877568151</v>
      </c>
      <c r="M52" s="48">
        <f>'T1 ANSP'!M52+'T1 MET'!M52+'T1 NSA'!M52</f>
        <v>5503.031456065165</v>
      </c>
      <c r="N52" s="159">
        <f>'T1 ANSP'!N52+'T1 MET'!N52+'T1 NSA'!N52</f>
        <v>5509.9447430880418</v>
      </c>
      <c r="O52" s="48">
        <f>'T1 ANSP'!O52+'T1 MET'!O52+'T1 NSA'!O52</f>
        <v>5538.0159200036942</v>
      </c>
      <c r="P52" s="48">
        <f>'T1 ANSP'!P52+'T1 MET'!P52+'T1 NSA'!P52</f>
        <v>5517.5611789475633</v>
      </c>
      <c r="Q52" s="48">
        <f>'T1 ANSP'!Q52+'T1 MET'!Q52+'T1 NSA'!Q52</f>
        <v>6181.972673901133</v>
      </c>
      <c r="R52" s="48">
        <f>'T1 ANSP'!R52+'T1 MET'!R52+'T1 NSA'!R52</f>
        <v>6110.7036691245657</v>
      </c>
      <c r="S52" s="611"/>
      <c r="T52" s="46">
        <f>'T1 ANSP'!T52+'T1 MET'!T52+'T1 NSA'!T52</f>
        <v>5504.6754100000007</v>
      </c>
      <c r="U52" s="47">
        <f>'T1 ANSP'!U52+'T1 MET'!U52+'T1 NSA'!U52</f>
        <v>5218.6033700000007</v>
      </c>
      <c r="V52" s="48"/>
      <c r="W52" s="159"/>
      <c r="X52" s="47"/>
      <c r="Y52" s="47"/>
      <c r="Z52" s="47"/>
      <c r="AA52" s="48"/>
    </row>
    <row r="53" spans="1:27" ht="5.45" customHeight="1">
      <c r="A53" s="17"/>
      <c r="K53" s="144"/>
      <c r="L53" s="144"/>
      <c r="M53" s="144"/>
      <c r="N53" s="144"/>
      <c r="O53" s="144"/>
      <c r="P53" s="144"/>
      <c r="Q53" s="144"/>
      <c r="R53" s="144"/>
      <c r="S53" s="59"/>
      <c r="T53" s="144"/>
      <c r="U53" s="144"/>
      <c r="V53" s="145"/>
      <c r="W53" s="146"/>
      <c r="X53" s="146"/>
      <c r="Y53" s="146"/>
      <c r="Z53" s="146"/>
      <c r="AA53" s="146"/>
    </row>
    <row r="54" spans="1:27" s="615" customFormat="1" ht="12" customHeight="1">
      <c r="A54" s="71" t="s">
        <v>363</v>
      </c>
      <c r="B54" s="2"/>
      <c r="C54" s="2"/>
      <c r="D54" s="2"/>
      <c r="E54" s="2"/>
      <c r="F54" s="2"/>
      <c r="G54" s="2"/>
      <c r="H54" s="2"/>
      <c r="I54" s="2"/>
      <c r="J54" s="641"/>
      <c r="K54" s="27"/>
      <c r="L54" s="27"/>
      <c r="M54" s="27"/>
      <c r="N54" s="604"/>
      <c r="O54" s="604"/>
      <c r="P54" s="604"/>
      <c r="Q54" s="604"/>
      <c r="R54" s="604"/>
      <c r="S54" s="604"/>
      <c r="T54" s="27"/>
      <c r="U54" s="27"/>
      <c r="V54" s="604"/>
      <c r="W54" s="604"/>
      <c r="X54" s="604"/>
      <c r="Y54" s="604"/>
      <c r="Z54" s="604"/>
      <c r="AA54" s="604"/>
    </row>
    <row r="55" spans="1:27" s="615" customFormat="1" ht="12" customHeight="1">
      <c r="A55" s="122" t="s">
        <v>364</v>
      </c>
      <c r="B55" s="123"/>
      <c r="C55" s="124"/>
      <c r="D55" s="125"/>
      <c r="E55" s="125"/>
      <c r="F55" s="618"/>
      <c r="G55" s="125"/>
      <c r="H55" s="125"/>
      <c r="I55" s="618"/>
      <c r="J55" s="714"/>
      <c r="K55" s="124"/>
      <c r="L55" s="125"/>
      <c r="M55" s="1028"/>
      <c r="N55" s="1224"/>
      <c r="O55" s="125"/>
      <c r="P55" s="125"/>
      <c r="Q55" s="125"/>
      <c r="R55" s="125"/>
      <c r="S55" s="619"/>
      <c r="T55" s="124"/>
      <c r="U55" s="125"/>
      <c r="V55" s="621"/>
      <c r="W55" s="1211"/>
      <c r="X55" s="620"/>
      <c r="Y55" s="620"/>
      <c r="Z55" s="620"/>
      <c r="AA55" s="621"/>
    </row>
    <row r="56" spans="1:27" ht="12" customHeight="1">
      <c r="A56" s="44" t="s">
        <v>365</v>
      </c>
      <c r="B56" s="21"/>
      <c r="C56" s="37"/>
      <c r="D56" s="5"/>
      <c r="E56" s="5"/>
      <c r="F56" s="5"/>
      <c r="G56" s="5"/>
      <c r="H56" s="5"/>
      <c r="I56" s="5"/>
      <c r="J56" s="697"/>
      <c r="K56" s="37"/>
      <c r="L56" s="5"/>
      <c r="M56" s="25"/>
      <c r="N56" s="157"/>
      <c r="O56" s="5"/>
      <c r="P56" s="5"/>
      <c r="Q56" s="5"/>
      <c r="R56" s="5"/>
      <c r="S56" s="43"/>
      <c r="T56" s="37"/>
      <c r="U56" s="5"/>
      <c r="V56" s="581"/>
      <c r="W56" s="1201"/>
      <c r="X56" s="35"/>
      <c r="Y56" s="35"/>
      <c r="Z56" s="35"/>
      <c r="AA56" s="36"/>
    </row>
    <row r="57" spans="1:27" ht="12" customHeight="1">
      <c r="A57" s="137" t="s">
        <v>366</v>
      </c>
      <c r="B57" s="21"/>
      <c r="C57" s="47">
        <f>'T1 ANSP'!C57+'T1 MET'!C57+'T1 NSA'!C57</f>
        <v>43385.908084145005</v>
      </c>
      <c r="D57" s="47">
        <f>'T1 ANSP'!D57+'T1 MET'!D57+'T1 NSA'!D57</f>
        <v>47045.589743780001</v>
      </c>
      <c r="E57" s="47">
        <f>'T1 ANSP'!E57+'T1 MET'!E57+'T1 NSA'!E57</f>
        <v>45587.837568000003</v>
      </c>
      <c r="F57" s="47">
        <f>'T1 ANSP'!F57+'T1 MET'!F57+'T1 NSA'!F57</f>
        <v>42365.0556</v>
      </c>
      <c r="G57" s="47">
        <f>'T1 ANSP'!G57+'T1 MET'!G57+'T1 NSA'!G57</f>
        <v>48197.375068000001</v>
      </c>
      <c r="H57" s="47">
        <f>'T1 ANSP'!H57+'T1 MET'!H57+'T1 NSA'!H57</f>
        <v>53269.403376000002</v>
      </c>
      <c r="I57" s="47">
        <f>'T1 ANSP'!I57+'T1 MET'!I57+'T1 NSA'!I57</f>
        <v>51490.501011894878</v>
      </c>
      <c r="J57" s="706">
        <f>'T1 ANSP'!J57+'T1 MET'!J57+'T1 NSA'!J57</f>
        <v>49529.050034496198</v>
      </c>
      <c r="K57" s="46">
        <f>'T1 ANSP'!K57+'T1 MET'!K57+'T1 NSA'!K57</f>
        <v>50495.243628480006</v>
      </c>
      <c r="L57" s="47">
        <f>'T1 ANSP'!L57+'T1 MET'!L57+'T1 NSA'!L57</f>
        <v>49807.543279312005</v>
      </c>
      <c r="M57" s="48">
        <f>'T1 ANSP'!M57+'T1 MET'!M57+'T1 NSA'!M57</f>
        <v>49046.220078352002</v>
      </c>
      <c r="N57" s="159">
        <f>'T1 ANSP'!N57+'T1 MET'!N57+'T1 NSA'!N57</f>
        <v>49208.554201403997</v>
      </c>
      <c r="O57" s="47">
        <f>'T1 ANSP'!O57+'T1 MET'!O57+'T1 NSA'!O57</f>
        <v>49381.395926459998</v>
      </c>
      <c r="P57" s="47">
        <f>'T1 ANSP'!P57+'T1 MET'!P57+'T1 NSA'!P57</f>
        <v>50233.880849580994</v>
      </c>
      <c r="Q57" s="47">
        <f>'T1 ANSP'!Q57+'T1 MET'!Q57+'T1 NSA'!Q57</f>
        <v>51482.549076126998</v>
      </c>
      <c r="R57" s="47">
        <f>'T1 ANSP'!R57+'T1 MET'!R57+'T1 NSA'!R57</f>
        <v>51482.549076126998</v>
      </c>
      <c r="S57" s="43"/>
      <c r="T57" s="46">
        <f>'T1 ANSP'!T57+'T1 MET'!T57+'T1 NSA'!T57</f>
        <v>46686.930536099186</v>
      </c>
      <c r="U57" s="47">
        <f>'T1 ANSP'!U57+'T1 MET'!U57+'T1 NSA'!U57</f>
        <v>43198.278483809998</v>
      </c>
      <c r="V57" s="48"/>
      <c r="W57" s="1212"/>
      <c r="X57" s="61"/>
      <c r="Y57" s="61"/>
      <c r="Z57" s="61"/>
      <c r="AA57" s="62"/>
    </row>
    <row r="58" spans="1:27" ht="12" customHeight="1">
      <c r="A58" s="138"/>
      <c r="B58" s="139"/>
      <c r="C58" s="622"/>
      <c r="D58" s="622"/>
      <c r="E58" s="622"/>
      <c r="F58" s="622"/>
      <c r="G58" s="622"/>
      <c r="H58" s="622"/>
      <c r="I58" s="622"/>
      <c r="J58" s="715"/>
      <c r="K58" s="623"/>
      <c r="L58" s="623"/>
      <c r="M58" s="623"/>
      <c r="N58" s="624"/>
      <c r="O58" s="624"/>
      <c r="P58" s="624"/>
      <c r="Q58" s="624"/>
      <c r="R58" s="624"/>
      <c r="S58" s="625"/>
      <c r="T58" s="623"/>
      <c r="U58" s="623"/>
      <c r="V58" s="626"/>
      <c r="W58" s="627"/>
      <c r="X58" s="627"/>
      <c r="Y58" s="627"/>
      <c r="Z58" s="627"/>
      <c r="AA58" s="627"/>
    </row>
    <row r="59" spans="1:27" ht="15.6" customHeight="1">
      <c r="A59" s="15" t="s">
        <v>367</v>
      </c>
      <c r="B59" s="15"/>
      <c r="C59" s="161"/>
      <c r="D59" s="161"/>
      <c r="E59" s="161"/>
      <c r="F59" s="161"/>
      <c r="G59" s="161"/>
      <c r="H59" s="161"/>
      <c r="I59" s="161"/>
      <c r="J59" s="716"/>
      <c r="K59" s="18"/>
      <c r="L59" s="18"/>
      <c r="M59" s="18"/>
      <c r="N59" s="18"/>
      <c r="O59" s="18"/>
      <c r="P59" s="18"/>
      <c r="Q59" s="18"/>
      <c r="R59" s="18"/>
      <c r="S59" s="18"/>
      <c r="T59" s="18"/>
      <c r="U59" s="18"/>
      <c r="V59" s="19"/>
      <c r="W59" s="19"/>
      <c r="X59" s="19"/>
      <c r="Y59" s="19"/>
      <c r="Z59" s="19"/>
      <c r="AA59" s="19"/>
    </row>
    <row r="60" spans="1:27" ht="12" customHeight="1">
      <c r="A60" s="66" t="s">
        <v>368</v>
      </c>
      <c r="B60" s="21"/>
      <c r="C60" s="67">
        <f>'T1 ANSP'!C60+'T1 MET'!C60+'T1 NSA'!C60</f>
        <v>0</v>
      </c>
      <c r="D60" s="22">
        <f>'T1 ANSP'!D60+'T1 MET'!D60+'T1 NSA'!D60</f>
        <v>0</v>
      </c>
      <c r="E60" s="22">
        <f>'T1 ANSP'!E60+'T1 MET'!E60+'T1 NSA'!E60</f>
        <v>0</v>
      </c>
      <c r="F60" s="22">
        <f>'T1 ANSP'!F60+'T1 MET'!F60+'T1 NSA'!F60</f>
        <v>0</v>
      </c>
      <c r="G60" s="22">
        <f>'T1 ANSP'!G60+'T1 MET'!G60+'T1 NSA'!G60</f>
        <v>0</v>
      </c>
      <c r="H60" s="22">
        <f>'T1 ANSP'!H60+'T1 MET'!H60+'T1 NSA'!H60</f>
        <v>0</v>
      </c>
      <c r="I60" s="22">
        <f>'T1 ANSP'!I60+'T1 MET'!I60+'T1 NSA'!I60</f>
        <v>0</v>
      </c>
      <c r="J60" s="704">
        <f>'T1 ANSP'!J60+'T1 MET'!J60+'T1 NSA'!J60</f>
        <v>0</v>
      </c>
      <c r="K60" s="67">
        <f>'T1 ANSP'!K60+'T1 MET'!K60+'T1 NSA'!K60</f>
        <v>0</v>
      </c>
      <c r="L60" s="22">
        <f>'T1 ANSP'!L60+'T1 MET'!L60+'T1 NSA'!L60</f>
        <v>0</v>
      </c>
      <c r="M60" s="1101">
        <f>'T1 ANSP'!M60+'T1 MET'!M60+'T1 NSA'!M60</f>
        <v>0</v>
      </c>
      <c r="N60" s="67">
        <f>'T1 ANSP'!N60+'T1 MET'!N60+'T1 NSA'!N60</f>
        <v>0</v>
      </c>
      <c r="O60" s="22">
        <f>'T1 ANSP'!O60+'T1 MET'!O60+'T1 NSA'!O60</f>
        <v>0</v>
      </c>
      <c r="P60" s="22">
        <f>'T1 ANSP'!P60+'T1 MET'!P60+'T1 NSA'!P60</f>
        <v>0</v>
      </c>
      <c r="Q60" s="22">
        <f>'T1 ANSP'!Q60+'T1 MET'!Q60+'T1 NSA'!Q60</f>
        <v>0</v>
      </c>
      <c r="R60" s="23">
        <f>'T1 ANSP'!R60+'T1 MET'!R60+'T1 NSA'!R60</f>
        <v>0</v>
      </c>
      <c r="S60" s="26"/>
      <c r="T60" s="67">
        <f>'T1 ANSP'!T60+'T1 MET'!T60+'T1 NSA'!T60</f>
        <v>0</v>
      </c>
      <c r="U60" s="22">
        <f>'T1 ANSP'!U60+'T1 MET'!U60+'T1 NSA'!U60</f>
        <v>0</v>
      </c>
      <c r="V60" s="22"/>
      <c r="W60" s="33"/>
      <c r="X60" s="33"/>
      <c r="Y60" s="33"/>
      <c r="Z60" s="33"/>
      <c r="AA60" s="34"/>
    </row>
    <row r="61" spans="1:27" s="143" customFormat="1" ht="12" customHeight="1">
      <c r="A61" s="147" t="s">
        <v>369</v>
      </c>
      <c r="B61" s="7"/>
      <c r="C61" s="148">
        <f>'T1 ANSP'!C61+'T1 MET'!C61+'T1 NSA'!C61</f>
        <v>658740.66545497626</v>
      </c>
      <c r="D61" s="149">
        <f>'T1 ANSP'!D61+'T1 MET'!D61+'T1 NSA'!D61</f>
        <v>724832.52671386418</v>
      </c>
      <c r="E61" s="149">
        <f>'T1 ANSP'!E61+'T1 MET'!E61+'T1 NSA'!E61</f>
        <v>669901.15557030332</v>
      </c>
      <c r="F61" s="149">
        <f>'T1 ANSP'!F61+'T1 MET'!F61+'T1 NSA'!F61</f>
        <v>657371.51386540791</v>
      </c>
      <c r="G61" s="149">
        <f>'T1 ANSP'!G61+'T1 MET'!G61+'T1 NSA'!G61</f>
        <v>666364.9980092881</v>
      </c>
      <c r="H61" s="149">
        <f>'T1 ANSP'!H61+'T1 MET'!H61+'T1 NSA'!H61</f>
        <v>660595.58041266666</v>
      </c>
      <c r="I61" s="149">
        <f>'T1 ANSP'!I61+'T1 MET'!I61+'T1 NSA'!I61</f>
        <v>694359.07889726129</v>
      </c>
      <c r="J61" s="717">
        <f>'T1 ANSP'!J61+'T1 MET'!J61+'T1 NSA'!J61</f>
        <v>709493.71793228539</v>
      </c>
      <c r="K61" s="148">
        <f>'T1 ANSP'!K61+'T1 MET'!K61+'T1 NSA'!K61</f>
        <v>790418.89953814808</v>
      </c>
      <c r="L61" s="149">
        <f>'T1 ANSP'!L61+'T1 MET'!L61+'T1 NSA'!L61</f>
        <v>775027.03415828105</v>
      </c>
      <c r="M61" s="926">
        <f>'T1 ANSP'!M61+'T1 MET'!M61+'T1 NSA'!M61</f>
        <v>790935.59297112306</v>
      </c>
      <c r="N61" s="148">
        <f>'T1 ANSP'!N61+'T1 MET'!N61+'T1 NSA'!N61</f>
        <v>813438.89736210392</v>
      </c>
      <c r="O61" s="149">
        <f>'T1 ANSP'!O61+'T1 MET'!O61+'T1 NSA'!O61</f>
        <v>854052.39554943459</v>
      </c>
      <c r="P61" s="149">
        <f>'T1 ANSP'!P61+'T1 MET'!P61+'T1 NSA'!P61</f>
        <v>815370.79428237665</v>
      </c>
      <c r="Q61" s="149">
        <f>'T1 ANSP'!Q61+'T1 MET'!Q61+'T1 NSA'!Q61</f>
        <v>824179.68241058127</v>
      </c>
      <c r="R61" s="150">
        <f>'T1 ANSP'!R61+'T1 MET'!R61+'T1 NSA'!R61</f>
        <v>825972.91999480082</v>
      </c>
      <c r="S61" s="87"/>
      <c r="T61" s="148">
        <f>'T1 ANSP'!T61+'T1 MET'!T61+'T1 NSA'!T61</f>
        <v>772193.07330844819</v>
      </c>
      <c r="U61" s="149">
        <f>'T1 ANSP'!U61+'T1 MET'!U61+'T1 NSA'!U61</f>
        <v>644352.7287244685</v>
      </c>
      <c r="V61" s="149"/>
      <c r="W61" s="69"/>
      <c r="X61" s="69"/>
      <c r="Y61" s="69"/>
      <c r="Z61" s="69"/>
      <c r="AA61" s="70"/>
    </row>
    <row r="62" spans="1:27" s="77" customFormat="1" ht="12" customHeight="1">
      <c r="A62" s="17"/>
      <c r="B62" s="2"/>
      <c r="C62" s="2"/>
      <c r="D62" s="2"/>
      <c r="E62" s="2"/>
      <c r="F62" s="2"/>
      <c r="G62" s="2"/>
      <c r="H62" s="2"/>
      <c r="I62" s="2"/>
      <c r="J62" s="641"/>
      <c r="K62" s="65"/>
      <c r="L62" s="65"/>
      <c r="M62" s="65"/>
      <c r="N62" s="65"/>
      <c r="O62" s="65"/>
      <c r="P62" s="65"/>
      <c r="Q62" s="65"/>
      <c r="R62" s="65"/>
      <c r="S62" s="64"/>
      <c r="T62" s="65"/>
      <c r="U62" s="65"/>
      <c r="V62" s="63"/>
      <c r="W62" s="63"/>
      <c r="X62" s="63"/>
      <c r="Y62" s="63"/>
      <c r="Z62" s="63"/>
      <c r="AA62" s="63"/>
    </row>
    <row r="63" spans="1:27" ht="15.6" customHeight="1">
      <c r="A63" s="15" t="s">
        <v>370</v>
      </c>
      <c r="B63" s="15"/>
      <c r="C63" s="15"/>
      <c r="D63" s="15"/>
      <c r="E63" s="15"/>
      <c r="F63" s="15"/>
      <c r="G63" s="15"/>
      <c r="H63" s="15"/>
      <c r="I63" s="15"/>
      <c r="J63" s="695"/>
      <c r="K63" s="17"/>
      <c r="L63" s="17"/>
      <c r="M63" s="17"/>
      <c r="N63" s="17"/>
      <c r="O63" s="18"/>
      <c r="P63" s="18"/>
      <c r="Q63" s="18"/>
      <c r="R63" s="18"/>
      <c r="S63" s="18"/>
      <c r="T63" s="17"/>
      <c r="U63" s="17"/>
      <c r="V63" s="19"/>
      <c r="W63" s="19"/>
      <c r="X63" s="19"/>
      <c r="Y63" s="19"/>
      <c r="Z63" s="19"/>
      <c r="AA63" s="19"/>
    </row>
    <row r="64" spans="1:27" s="90" customFormat="1" ht="12" customHeight="1">
      <c r="A64" s="42" t="s">
        <v>371</v>
      </c>
      <c r="B64" s="2"/>
      <c r="C64" s="72">
        <v>2.8000000000000001E-2</v>
      </c>
      <c r="D64" s="73">
        <v>2.5999999999999999E-2</v>
      </c>
      <c r="E64" s="73">
        <v>1.4999999999999999E-2</v>
      </c>
      <c r="F64" s="73">
        <v>0</v>
      </c>
      <c r="G64" s="73">
        <v>7.0000000000000001E-3</v>
      </c>
      <c r="H64" s="73">
        <v>2.7E-2</v>
      </c>
      <c r="I64" s="628">
        <v>2.5000000000000001E-2</v>
      </c>
      <c r="J64" s="629">
        <v>1.7999999999999999E-2</v>
      </c>
      <c r="K64" s="72">
        <v>2.0000000000000132E-2</v>
      </c>
      <c r="L64" s="73">
        <v>1.9999999999999799E-2</v>
      </c>
      <c r="M64" s="74">
        <v>2.0000000000000205E-2</v>
      </c>
      <c r="N64" s="1476">
        <v>4.0419530703928341E-2</v>
      </c>
      <c r="O64" s="1477">
        <v>1.5350874280278148E-2</v>
      </c>
      <c r="P64" s="1477">
        <v>1.8799526478357587E-2</v>
      </c>
      <c r="Q64" s="1477">
        <v>1.9999999999999796E-2</v>
      </c>
      <c r="R64" s="1478">
        <v>1.9999999999999574E-2</v>
      </c>
      <c r="S64" s="75"/>
      <c r="T64" s="72">
        <v>8.9999999999999993E-3</v>
      </c>
      <c r="U64" s="1483">
        <v>2.5999999999999999E-2</v>
      </c>
      <c r="V64" s="1218">
        <v>2.7E-2</v>
      </c>
      <c r="W64" s="1213"/>
      <c r="X64" s="628"/>
      <c r="Y64" s="628"/>
      <c r="Z64" s="628"/>
      <c r="AA64" s="629"/>
    </row>
    <row r="65" spans="1:27" s="77" customFormat="1" ht="12" customHeight="1">
      <c r="A65" s="44" t="s">
        <v>372</v>
      </c>
      <c r="B65" s="2"/>
      <c r="C65" s="78">
        <f>D65/(1+D64)</f>
        <v>92.851020823042745</v>
      </c>
      <c r="D65" s="79">
        <f>E65/(1+E64)</f>
        <v>95.265147364441859</v>
      </c>
      <c r="E65" s="79">
        <f>F65/(1+F64)</f>
        <v>96.694124574908471</v>
      </c>
      <c r="F65" s="79">
        <f>G65/(1+G64)</f>
        <v>96.694124574908471</v>
      </c>
      <c r="G65" s="79">
        <f>H65/(1+H64)</f>
        <v>97.370983446932826</v>
      </c>
      <c r="H65" s="79">
        <v>100</v>
      </c>
      <c r="I65" s="811">
        <f>H65*(1+I64)</f>
        <v>102.49999999999999</v>
      </c>
      <c r="J65" s="718">
        <f>I65*(1+J64)</f>
        <v>104.34499999999998</v>
      </c>
      <c r="K65" s="78">
        <f>T74*(1+K64)</f>
        <v>106.44304700754894</v>
      </c>
      <c r="L65" s="79">
        <f>K65*(1+L64)</f>
        <v>108.5719079476999</v>
      </c>
      <c r="M65" s="80">
        <f>L65*(1+M64)</f>
        <v>110.74334610665392</v>
      </c>
      <c r="N65" s="1214">
        <f>M65*(1+N64)</f>
        <v>115.21954018486758</v>
      </c>
      <c r="O65" s="79">
        <f>N65*(1+O64)</f>
        <v>116.98826086087693</v>
      </c>
      <c r="P65" s="79">
        <f t="shared" ref="P65:R65" si="11">O65*(1+P64)</f>
        <v>119.187584768588</v>
      </c>
      <c r="Q65" s="79">
        <f t="shared" si="11"/>
        <v>121.57133646395974</v>
      </c>
      <c r="R65" s="80">
        <f t="shared" si="11"/>
        <v>124.00276319323888</v>
      </c>
      <c r="S65" s="81"/>
      <c r="T65" s="78">
        <f>J65*(1+T64)</f>
        <v>105.28410499999997</v>
      </c>
      <c r="U65" s="79">
        <f>T65*(1+U64)</f>
        <v>108.02149172999997</v>
      </c>
      <c r="V65" s="79">
        <f>U65*(1+V64)</f>
        <v>110.93807200670996</v>
      </c>
      <c r="W65" s="1214"/>
      <c r="X65" s="79"/>
      <c r="Y65" s="79"/>
      <c r="Z65" s="79"/>
      <c r="AA65" s="80"/>
    </row>
    <row r="66" spans="1:27" s="77" customFormat="1" ht="12" customHeight="1">
      <c r="A66" s="83" t="s">
        <v>373</v>
      </c>
      <c r="B66" s="84"/>
      <c r="C66" s="85">
        <f>'T1 ANSP'!C66+'T1 MET'!C66+'T1 NSA'!C66</f>
        <v>709459.79873545701</v>
      </c>
      <c r="D66" s="86">
        <f>'T1 ANSP'!D66+'T1 MET'!D66+'T1 NSA'!D66</f>
        <v>760858.03335922956</v>
      </c>
      <c r="E66" s="86">
        <f>'T1 ANSP'!E66+'T1 MET'!E66+'T1 NSA'!E66</f>
        <v>692804.40617809631</v>
      </c>
      <c r="F66" s="86">
        <f>'T1 ANSP'!F66+'T1 MET'!F66+'T1 NSA'!F66</f>
        <v>679846.38855295221</v>
      </c>
      <c r="G66" s="86">
        <f>'T1 ANSP'!G66+'T1 MET'!G66+'T1 NSA'!G66</f>
        <v>684356.85295553878</v>
      </c>
      <c r="H66" s="86">
        <f>'T1 ANSP'!H66+'T1 MET'!H66+'T1 NSA'!H66</f>
        <v>660595.58041266666</v>
      </c>
      <c r="I66" s="795">
        <f>'T1 ANSP'!I66+'T1 MET'!I66+'T1 NSA'!I66</f>
        <v>677423.49160708417</v>
      </c>
      <c r="J66" s="699">
        <f>'T1 ANSP'!J66+'T1 MET'!J66+'T1 NSA'!J66</f>
        <v>679949.89499476308</v>
      </c>
      <c r="K66" s="85">
        <f>'T1 ANSP'!K66+'T1 MET'!K66+'T1 NSA'!K66</f>
        <v>742574.4769238818</v>
      </c>
      <c r="L66" s="86">
        <f>'T1 ANSP'!L66+'T1 MET'!L66+'T1 NSA'!L66</f>
        <v>713837.537543891</v>
      </c>
      <c r="M66" s="630">
        <f>'T1 ANSP'!M66+'T1 MET'!M66+'T1 NSA'!M66</f>
        <v>714205.97334073181</v>
      </c>
      <c r="N66" s="156">
        <f>'T1 ANSP'!N66+'T1 MET'!N66+'T1 NSA'!N66</f>
        <v>705990.40410763363</v>
      </c>
      <c r="O66" s="86">
        <f>'T1 ANSP'!O66+'T1 MET'!O66+'T1 NSA'!O66</f>
        <v>730032.55990366265</v>
      </c>
      <c r="P66" s="86">
        <f>'T1 ANSP'!P66+'T1 MET'!P66+'T1 NSA'!P66</f>
        <v>684107.15416834957</v>
      </c>
      <c r="Q66" s="86">
        <f>'T1 ANSP'!Q66+'T1 MET'!Q66+'T1 NSA'!Q66</f>
        <v>677939.14781459374</v>
      </c>
      <c r="R66" s="630">
        <f>'T1 ANSP'!R66+'T1 MET'!R66+'T1 NSA'!R66</f>
        <v>666092.35046452261</v>
      </c>
      <c r="S66" s="87"/>
      <c r="T66" s="85">
        <f>'T1 ANSP'!T66+'T1 MET'!T66+'T1 NSA'!T66</f>
        <v>733437.46742060303</v>
      </c>
      <c r="U66" s="86">
        <f>'T1 ANSP'!U66+'T1 MET'!U66+'T1 NSA'!U66</f>
        <v>596504.19412373041</v>
      </c>
      <c r="V66" s="630"/>
      <c r="W66" s="156"/>
      <c r="X66" s="86"/>
      <c r="Y66" s="86"/>
      <c r="Z66" s="86"/>
      <c r="AA66" s="630"/>
    </row>
    <row r="67" spans="1:27" s="77" customFormat="1" ht="12" customHeight="1">
      <c r="A67" s="91" t="s">
        <v>334</v>
      </c>
      <c r="B67" s="2"/>
      <c r="C67" s="38"/>
      <c r="D67" s="40">
        <f>D66/C66-1</f>
        <v>7.2447000824267915E-2</v>
      </c>
      <c r="E67" s="40">
        <f>E66/D66-1</f>
        <v>-8.9443265625615886E-2</v>
      </c>
      <c r="F67" s="40">
        <f>F66/E66-1</f>
        <v>-1.8703717109173623E-2</v>
      </c>
      <c r="G67" s="40">
        <f>G66/F66-1</f>
        <v>6.634534622132815E-3</v>
      </c>
      <c r="H67" s="151">
        <f>H66/G66-1</f>
        <v>-3.472058830163538E-2</v>
      </c>
      <c r="I67" s="40">
        <f t="shared" ref="I67:N67" si="12">I66/H66-1</f>
        <v>2.5473847681368511E-2</v>
      </c>
      <c r="J67" s="719">
        <f t="shared" si="12"/>
        <v>3.729429845554133E-3</v>
      </c>
      <c r="K67" s="38">
        <f t="shared" si="12"/>
        <v>9.2101759835702346E-2</v>
      </c>
      <c r="L67" s="151">
        <f t="shared" si="12"/>
        <v>-3.8699066925965031E-2</v>
      </c>
      <c r="M67" s="152">
        <f t="shared" si="12"/>
        <v>5.1613396250993482E-4</v>
      </c>
      <c r="N67" s="1215">
        <f t="shared" si="12"/>
        <v>-1.1503081099517365E-2</v>
      </c>
      <c r="O67" s="151">
        <f>O66/N66-1</f>
        <v>3.4054507902863351E-2</v>
      </c>
      <c r="P67" s="151">
        <f t="shared" ref="P67:R67" si="13">P66/O66-1</f>
        <v>-6.2908708813444569E-2</v>
      </c>
      <c r="Q67" s="151">
        <f t="shared" si="13"/>
        <v>-9.0161406969264668E-3</v>
      </c>
      <c r="R67" s="152">
        <f t="shared" si="13"/>
        <v>-1.7474720833367541E-2</v>
      </c>
      <c r="S67" s="39"/>
      <c r="T67" s="38">
        <f>+T66/J66-1</f>
        <v>7.8663991008119716E-2</v>
      </c>
      <c r="U67" s="151">
        <f>+U66/K66-1</f>
        <v>-0.19670792269247961</v>
      </c>
      <c r="V67" s="152"/>
      <c r="W67" s="1215"/>
      <c r="X67" s="151"/>
      <c r="Y67" s="151"/>
      <c r="Z67" s="151"/>
      <c r="AA67" s="152"/>
    </row>
    <row r="68" spans="1:27" s="77" customFormat="1" ht="12" customHeight="1">
      <c r="A68" s="93" t="s">
        <v>374</v>
      </c>
      <c r="B68" s="4"/>
      <c r="C68" s="94">
        <v>9607.8779999999988</v>
      </c>
      <c r="D68" s="95">
        <v>9754.9330000000009</v>
      </c>
      <c r="E68" s="95">
        <v>9979.4030000000002</v>
      </c>
      <c r="F68" s="95">
        <v>10153.9</v>
      </c>
      <c r="G68" s="95">
        <v>10874.798000000001</v>
      </c>
      <c r="H68" s="95">
        <v>11767.620999999999</v>
      </c>
      <c r="I68" s="631">
        <v>12194.153</v>
      </c>
      <c r="J68" s="632">
        <v>12593.8988214</v>
      </c>
      <c r="K68" s="94">
        <v>12647.945</v>
      </c>
      <c r="L68" s="95">
        <v>12891</v>
      </c>
      <c r="M68" s="96">
        <v>13183</v>
      </c>
      <c r="N68" s="1473">
        <v>11715</v>
      </c>
      <c r="O68" s="1474">
        <v>12228</v>
      </c>
      <c r="P68" s="1474">
        <v>12424</v>
      </c>
      <c r="Q68" s="1474">
        <v>12641</v>
      </c>
      <c r="R68" s="1475">
        <v>12850</v>
      </c>
      <c r="S68" s="68"/>
      <c r="T68" s="94">
        <v>5099.1790000000001</v>
      </c>
      <c r="U68" s="1487">
        <v>5395.3419999999996</v>
      </c>
      <c r="V68" s="1486">
        <v>10630.129017676178</v>
      </c>
      <c r="W68" s="1216"/>
      <c r="X68" s="631"/>
      <c r="Y68" s="631"/>
      <c r="Z68" s="631"/>
      <c r="AA68" s="632"/>
    </row>
    <row r="69" spans="1:27" s="77" customFormat="1" ht="12" customHeight="1">
      <c r="A69" s="91" t="s">
        <v>334</v>
      </c>
      <c r="B69" s="4"/>
      <c r="C69" s="38"/>
      <c r="D69" s="40">
        <f t="shared" ref="D69:K69" si="14">D68/C68-1</f>
        <v>1.5305668952083185E-2</v>
      </c>
      <c r="E69" s="40">
        <f t="shared" si="14"/>
        <v>2.3010921756202674E-2</v>
      </c>
      <c r="F69" s="40">
        <f t="shared" si="14"/>
        <v>1.7485715327860696E-2</v>
      </c>
      <c r="G69" s="40">
        <f t="shared" si="14"/>
        <v>7.0997153802972335E-2</v>
      </c>
      <c r="H69" s="151">
        <f t="shared" si="14"/>
        <v>8.2100191654134402E-2</v>
      </c>
      <c r="I69" s="40">
        <f t="shared" si="14"/>
        <v>3.6246238725737401E-2</v>
      </c>
      <c r="J69" s="719">
        <f t="shared" si="14"/>
        <v>3.2781761996917735E-2</v>
      </c>
      <c r="K69" s="38">
        <f t="shared" si="14"/>
        <v>4.2914572656533867E-3</v>
      </c>
      <c r="L69" s="151">
        <f>L68/K68-1</f>
        <v>1.9216955797957791E-2</v>
      </c>
      <c r="M69" s="152">
        <f>M68/L68-1</f>
        <v>2.2651462260491861E-2</v>
      </c>
      <c r="N69" s="1215">
        <f>N68/M68-1</f>
        <v>-0.11135553364181139</v>
      </c>
      <c r="O69" s="151">
        <f>O68/N68-1</f>
        <v>4.3790012804097334E-2</v>
      </c>
      <c r="P69" s="151">
        <f t="shared" ref="P69:R69" si="15">P68/O68-1</f>
        <v>1.602878639188754E-2</v>
      </c>
      <c r="Q69" s="151">
        <f t="shared" si="15"/>
        <v>1.7466194462330886E-2</v>
      </c>
      <c r="R69" s="152">
        <f t="shared" si="15"/>
        <v>1.653350209635307E-2</v>
      </c>
      <c r="S69" s="39"/>
      <c r="T69" s="38">
        <f>+T68/J68-1</f>
        <v>-0.59510719656288691</v>
      </c>
      <c r="U69" s="151">
        <f>+U68/K68-1</f>
        <v>-0.57342145305027814</v>
      </c>
      <c r="V69" s="152"/>
      <c r="W69" s="1215"/>
      <c r="X69" s="151"/>
      <c r="Y69" s="151"/>
      <c r="Z69" s="151"/>
      <c r="AA69" s="152"/>
    </row>
    <row r="70" spans="1:27" s="77" customFormat="1" ht="12" customHeight="1">
      <c r="A70" s="93" t="s">
        <v>375</v>
      </c>
      <c r="B70" s="4"/>
      <c r="C70" s="97">
        <f t="shared" ref="C70:J70" si="16">C66/C68</f>
        <v>73.841466215064045</v>
      </c>
      <c r="D70" s="98">
        <f t="shared" si="16"/>
        <v>77.997258757105712</v>
      </c>
      <c r="E70" s="98">
        <f t="shared" si="16"/>
        <v>69.423432060825306</v>
      </c>
      <c r="F70" s="98">
        <f t="shared" si="16"/>
        <v>66.954213509385781</v>
      </c>
      <c r="G70" s="98">
        <f t="shared" si="16"/>
        <v>62.930534705613724</v>
      </c>
      <c r="H70" s="98">
        <f t="shared" si="16"/>
        <v>56.136714499274468</v>
      </c>
      <c r="I70" s="98">
        <f t="shared" si="16"/>
        <v>55.553140230984816</v>
      </c>
      <c r="J70" s="720">
        <f t="shared" si="16"/>
        <v>53.990420650304742</v>
      </c>
      <c r="K70" s="97">
        <f>K66/K68</f>
        <v>58.711077327097946</v>
      </c>
      <c r="L70" s="98">
        <f>L66/L68</f>
        <v>55.37487685547211</v>
      </c>
      <c r="M70" s="99">
        <f>M66/M68</f>
        <v>54.176285620930884</v>
      </c>
      <c r="N70" s="1217">
        <f>N66/N68</f>
        <v>60.263798899499243</v>
      </c>
      <c r="O70" s="98">
        <f>O66/O68</f>
        <v>59.701714090911238</v>
      </c>
      <c r="P70" s="98">
        <f t="shared" ref="P70:R70" si="17">P66/P68</f>
        <v>55.063357547355892</v>
      </c>
      <c r="Q70" s="98">
        <f t="shared" si="17"/>
        <v>53.630183356901647</v>
      </c>
      <c r="R70" s="99">
        <f t="shared" si="17"/>
        <v>51.835980580896702</v>
      </c>
      <c r="S70" s="100"/>
      <c r="T70" s="97">
        <f>T66/T68</f>
        <v>143.83442264344967</v>
      </c>
      <c r="U70" s="98">
        <f>U66/U68</f>
        <v>110.55910711938751</v>
      </c>
      <c r="V70" s="99"/>
      <c r="W70" s="1217"/>
      <c r="X70" s="98"/>
      <c r="Y70" s="98"/>
      <c r="Z70" s="98"/>
      <c r="AA70" s="99"/>
    </row>
    <row r="71" spans="1:27" ht="12" customHeight="1">
      <c r="A71" s="102" t="s">
        <v>334</v>
      </c>
      <c r="B71" s="4"/>
      <c r="C71" s="103"/>
      <c r="D71" s="104">
        <f t="shared" ref="D71:J71" si="18">D70/C70-1</f>
        <v>5.6279929896541736E-2</v>
      </c>
      <c r="E71" s="104">
        <f t="shared" si="18"/>
        <v>-0.10992471829017081</v>
      </c>
      <c r="F71" s="104">
        <f t="shared" si="18"/>
        <v>-3.5567509098024974E-2</v>
      </c>
      <c r="G71" s="104">
        <f t="shared" si="18"/>
        <v>-6.0095975934479573E-2</v>
      </c>
      <c r="H71" s="61">
        <f t="shared" si="18"/>
        <v>-0.1079574524214747</v>
      </c>
      <c r="I71" s="104">
        <f t="shared" si="18"/>
        <v>-1.0395590007270417E-2</v>
      </c>
      <c r="J71" s="721">
        <f t="shared" si="18"/>
        <v>-2.8130175435311711E-2</v>
      </c>
      <c r="K71" s="103">
        <f>K70/J70-1</f>
        <v>8.7435078666433075E-2</v>
      </c>
      <c r="L71" s="61">
        <f>L70/K70-1</f>
        <v>-5.68240377031205E-2</v>
      </c>
      <c r="M71" s="136">
        <f>M70/L70-1</f>
        <v>-2.1645036569011955E-2</v>
      </c>
      <c r="N71" s="1212">
        <f>N70/M70-1</f>
        <v>0.11236490668929244</v>
      </c>
      <c r="O71" s="61">
        <f>O70/N70-1</f>
        <v>-9.3270722863884048E-3</v>
      </c>
      <c r="P71" s="61">
        <f t="shared" ref="P71:R71" si="19">P70/O70-1</f>
        <v>-7.769218378708953E-2</v>
      </c>
      <c r="Q71" s="61">
        <f t="shared" si="19"/>
        <v>-2.6027729769687147E-2</v>
      </c>
      <c r="R71" s="136">
        <f t="shared" si="19"/>
        <v>-3.3455093078178844E-2</v>
      </c>
      <c r="S71" s="39"/>
      <c r="T71" s="103">
        <f>+T70/J70-1</f>
        <v>1.6640730135270361</v>
      </c>
      <c r="U71" s="61">
        <f>+U70/K70-1</f>
        <v>0.88310472491294645</v>
      </c>
      <c r="V71" s="136"/>
      <c r="W71" s="1212"/>
      <c r="X71" s="61"/>
      <c r="Y71" s="61"/>
      <c r="Z71" s="61"/>
      <c r="AA71" s="136"/>
    </row>
    <row r="72" spans="1:27" s="605" customFormat="1" ht="12" customHeight="1">
      <c r="A72" s="107"/>
      <c r="B72" s="4"/>
      <c r="C72" s="4"/>
      <c r="D72" s="4"/>
      <c r="E72" s="4"/>
      <c r="F72" s="4"/>
      <c r="G72" s="4"/>
      <c r="H72" s="4"/>
      <c r="I72" s="4"/>
      <c r="J72" s="722"/>
      <c r="K72" s="39"/>
      <c r="L72" s="39"/>
      <c r="M72" s="39"/>
      <c r="N72" s="39"/>
      <c r="O72" s="39"/>
      <c r="P72" s="39"/>
      <c r="Q72" s="39"/>
      <c r="R72" s="39"/>
      <c r="S72" s="39"/>
      <c r="T72" s="1045" t="s">
        <v>376</v>
      </c>
      <c r="U72" s="77"/>
      <c r="V72" s="77"/>
      <c r="W72" s="77"/>
      <c r="X72" s="77"/>
      <c r="Y72" s="77"/>
      <c r="Z72" s="77"/>
      <c r="AA72" s="77"/>
    </row>
    <row r="73" spans="1:27" s="605" customFormat="1" ht="12" customHeight="1">
      <c r="A73" s="108" t="s">
        <v>377</v>
      </c>
      <c r="B73" s="1"/>
      <c r="C73" s="1"/>
      <c r="D73" s="1"/>
      <c r="E73" s="1"/>
      <c r="F73" s="1"/>
      <c r="G73" s="1"/>
      <c r="H73" s="1"/>
      <c r="I73" s="1"/>
      <c r="J73" s="108"/>
      <c r="K73" s="1"/>
      <c r="L73" s="1"/>
      <c r="M73" s="1"/>
      <c r="N73" s="1"/>
      <c r="O73" s="1"/>
      <c r="P73" s="1"/>
      <c r="Q73" s="1"/>
      <c r="R73" s="1"/>
      <c r="S73" s="1"/>
      <c r="T73" s="1"/>
      <c r="U73" s="1"/>
      <c r="V73" s="1"/>
      <c r="W73" s="1"/>
      <c r="X73" s="1"/>
      <c r="Y73" s="1"/>
      <c r="Z73" s="1"/>
      <c r="AA73" s="1"/>
    </row>
    <row r="74" spans="1:27" s="615" customFormat="1" ht="12" customHeight="1">
      <c r="A74" s="129" t="s">
        <v>378</v>
      </c>
      <c r="B74" s="130"/>
      <c r="C74" s="130"/>
      <c r="D74" s="130"/>
      <c r="E74" s="130"/>
      <c r="F74" s="130"/>
      <c r="G74" s="130"/>
      <c r="H74" s="130"/>
      <c r="I74" s="130"/>
      <c r="J74" s="723"/>
      <c r="K74" s="109"/>
      <c r="L74" s="109"/>
      <c r="M74" s="75"/>
      <c r="N74" s="633"/>
      <c r="O74" s="155"/>
      <c r="P74" s="155"/>
      <c r="Q74" s="155"/>
      <c r="R74" s="155"/>
      <c r="S74" s="605"/>
      <c r="T74" s="1037">
        <v>104.35592843877345</v>
      </c>
      <c r="U74" s="605"/>
      <c r="V74" s="605"/>
      <c r="W74" s="605"/>
      <c r="X74" s="605"/>
      <c r="Y74" s="605"/>
      <c r="Z74" s="605"/>
      <c r="AA74" s="605"/>
    </row>
    <row r="75" spans="1:27" s="615" customFormat="1" ht="12" customHeight="1">
      <c r="A75" s="129" t="s">
        <v>379</v>
      </c>
      <c r="B75" s="130"/>
      <c r="C75" s="130"/>
      <c r="D75" s="130"/>
      <c r="E75" s="130"/>
      <c r="F75" s="130"/>
      <c r="G75" s="130"/>
      <c r="H75" s="130"/>
      <c r="I75" s="130"/>
      <c r="J75" s="723"/>
      <c r="K75" s="634"/>
      <c r="L75" s="109"/>
      <c r="M75" s="75"/>
      <c r="N75" s="633"/>
      <c r="O75" s="155"/>
      <c r="P75" s="155"/>
      <c r="Q75" s="155"/>
      <c r="R75" s="155"/>
      <c r="S75" s="605"/>
      <c r="T75" s="605"/>
      <c r="U75" s="605"/>
      <c r="V75" s="605"/>
      <c r="W75" s="605"/>
      <c r="X75" s="605"/>
      <c r="Y75" s="605"/>
      <c r="Z75" s="605"/>
      <c r="AA75" s="605"/>
    </row>
    <row r="76" spans="1:27" s="615" customFormat="1" ht="12" customHeight="1">
      <c r="A76" s="129" t="s">
        <v>380</v>
      </c>
      <c r="B76" s="131"/>
      <c r="C76" s="131"/>
      <c r="D76" s="131"/>
      <c r="E76" s="131"/>
      <c r="F76" s="131"/>
      <c r="G76" s="131"/>
      <c r="H76" s="131"/>
      <c r="I76" s="131"/>
      <c r="J76" s="724"/>
      <c r="K76" s="132"/>
      <c r="L76" s="132"/>
      <c r="M76" s="132"/>
      <c r="N76" s="635"/>
      <c r="O76" s="109"/>
      <c r="P76" s="109"/>
      <c r="Q76" s="109"/>
      <c r="R76" s="109"/>
      <c r="S76" s="109"/>
      <c r="T76" s="1"/>
      <c r="U76" s="1"/>
      <c r="V76" s="1"/>
      <c r="W76" s="1"/>
      <c r="X76" s="1"/>
      <c r="Y76" s="1"/>
      <c r="Z76" s="1"/>
      <c r="AA76" s="1"/>
    </row>
    <row r="77" spans="1:27" ht="12" customHeight="1">
      <c r="A77" s="129"/>
      <c r="B77" s="110"/>
      <c r="C77" s="110"/>
      <c r="D77" s="110"/>
      <c r="E77" s="110"/>
      <c r="F77" s="110"/>
      <c r="G77" s="110"/>
      <c r="H77" s="110"/>
      <c r="I77" s="110"/>
      <c r="J77" s="725"/>
      <c r="K77" s="111"/>
      <c r="L77" s="111"/>
      <c r="M77" s="111"/>
      <c r="N77" s="154"/>
      <c r="O77" s="636"/>
      <c r="P77" s="636"/>
      <c r="Q77" s="636"/>
      <c r="R77" s="636"/>
      <c r="S77" s="637"/>
      <c r="T77" s="637"/>
      <c r="U77" s="615"/>
      <c r="V77" s="615"/>
      <c r="W77" s="615"/>
      <c r="X77" s="615"/>
      <c r="Y77" s="615"/>
      <c r="Z77" s="615"/>
      <c r="AA77" s="615"/>
    </row>
    <row r="78" spans="1:27" s="615" customFormat="1" ht="12" customHeight="1">
      <c r="A78" s="638"/>
      <c r="J78" s="726"/>
      <c r="K78" s="639"/>
      <c r="L78" s="639"/>
      <c r="M78" s="639"/>
      <c r="N78" s="640"/>
      <c r="O78" s="636"/>
      <c r="P78" s="636"/>
      <c r="Q78" s="636"/>
      <c r="R78" s="636"/>
      <c r="S78" s="636"/>
    </row>
    <row r="79" spans="1:27" ht="12" customHeight="1">
      <c r="A79" s="641"/>
      <c r="B79" s="641"/>
      <c r="C79" s="641"/>
      <c r="D79" s="641"/>
      <c r="E79" s="641"/>
      <c r="F79" s="641"/>
      <c r="G79" s="641"/>
      <c r="H79" s="641"/>
      <c r="I79" s="641"/>
      <c r="K79" s="641"/>
      <c r="L79" s="641"/>
      <c r="M79" s="641"/>
      <c r="N79" s="641"/>
      <c r="O79" s="111"/>
      <c r="P79" s="111"/>
      <c r="Q79" s="111"/>
      <c r="R79" s="111"/>
      <c r="S79" s="1"/>
    </row>
    <row r="80" spans="1:27" ht="12" customHeight="1">
      <c r="S80" s="639"/>
      <c r="T80" s="615"/>
      <c r="U80" s="1488"/>
      <c r="V80" s="1488"/>
      <c r="W80" s="1488"/>
      <c r="X80" s="1488"/>
      <c r="Y80" s="1488"/>
      <c r="Z80" s="1488"/>
      <c r="AA80" s="615"/>
    </row>
    <row r="81" spans="1:27">
      <c r="T81" s="2"/>
      <c r="U81" s="2"/>
      <c r="V81" s="2"/>
      <c r="W81" s="2"/>
      <c r="X81" s="2"/>
      <c r="Y81" s="2"/>
      <c r="Z81" s="2"/>
      <c r="AA81" s="2"/>
    </row>
    <row r="82" spans="1:27">
      <c r="U82" s="1488" t="s">
        <v>381</v>
      </c>
      <c r="V82" s="1466"/>
      <c r="W82" s="1466"/>
      <c r="X82" s="1466"/>
      <c r="Y82" s="1466"/>
      <c r="Z82" s="1466"/>
    </row>
    <row r="84" spans="1:27" ht="12" customHeight="1">
      <c r="A84" s="1"/>
      <c r="B84" s="1"/>
      <c r="C84" s="1"/>
      <c r="D84" s="1"/>
      <c r="E84" s="1"/>
      <c r="F84" s="1"/>
      <c r="G84" s="1"/>
      <c r="H84" s="1"/>
      <c r="I84" s="1"/>
      <c r="J84" s="108"/>
      <c r="K84" s="1"/>
      <c r="L84" s="1"/>
      <c r="M84" s="1"/>
      <c r="N84" s="1"/>
    </row>
    <row r="86" spans="1:27">
      <c r="O86" s="1"/>
      <c r="P86" s="1"/>
      <c r="Q86" s="1"/>
      <c r="R86" s="1"/>
      <c r="S86" s="1"/>
      <c r="Y86" s="1088"/>
      <c r="Z86" s="1088"/>
      <c r="AA86" s="1088"/>
    </row>
    <row r="87" spans="1:27">
      <c r="Y87" s="1088"/>
      <c r="Z87" s="1088"/>
      <c r="AA87" s="1088"/>
    </row>
    <row r="88" spans="1:27">
      <c r="Y88" s="1088"/>
      <c r="Z88" s="1088"/>
      <c r="AA88" s="1088"/>
    </row>
    <row r="118" spans="1:19" ht="12" customHeight="1">
      <c r="A118" s="642"/>
      <c r="B118" s="1"/>
      <c r="C118" s="1"/>
      <c r="D118" s="1"/>
      <c r="E118" s="1"/>
      <c r="F118" s="1"/>
      <c r="G118" s="1"/>
      <c r="H118" s="1"/>
      <c r="I118" s="1"/>
      <c r="J118" s="108"/>
      <c r="K118" s="1"/>
      <c r="L118" s="1"/>
      <c r="M118" s="1"/>
      <c r="N118" s="1"/>
    </row>
    <row r="120" spans="1:19">
      <c r="O120" s="1"/>
      <c r="P120" s="1"/>
      <c r="Q120" s="1"/>
      <c r="R120" s="1"/>
      <c r="S120" s="1"/>
    </row>
  </sheetData>
  <mergeCells count="6">
    <mergeCell ref="E2:AB6"/>
    <mergeCell ref="C7:J7"/>
    <mergeCell ref="T7:V7"/>
    <mergeCell ref="W7:AA7"/>
    <mergeCell ref="K7:M7"/>
    <mergeCell ref="N7:R7"/>
  </mergeCells>
  <pageMargins left="0.7" right="0.7" top="0.75" bottom="0.75" header="0.3" footer="0.3"/>
  <pageSetup paperSize="9" scale="64" orientation="portrait" r:id="rId1"/>
  <customProperties>
    <customPr name="_pios_id" r:id="rId2"/>
  </customProperties>
  <ignoredErrors>
    <ignoredError sqref="K70:R70 T70:U70" formula="1"/>
  </ignoredError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84"/>
  <sheetViews>
    <sheetView showGridLines="0" zoomScale="90" zoomScaleNormal="90" workbookViewId="0">
      <pane xSplit="2" ySplit="9" topLeftCell="K10" activePane="bottomRight" state="frozen"/>
      <selection pane="topRight" activeCell="AG41" sqref="AG41"/>
      <selection pane="bottomLeft" activeCell="AG41" sqref="AG41"/>
      <selection pane="bottomRight" activeCell="K10" sqref="K10"/>
    </sheetView>
  </sheetViews>
  <sheetFormatPr defaultColWidth="1.5703125" defaultRowHeight="12" outlineLevelCol="1"/>
  <cols>
    <col min="1" max="1" width="30.85546875" style="2" customWidth="1"/>
    <col min="2" max="2" width="0.42578125" style="2" customWidth="1"/>
    <col min="3" max="5" width="7.5703125" style="2" hidden="1" customWidth="1"/>
    <col min="6" max="6" width="7" style="2" hidden="1" customWidth="1"/>
    <col min="7" max="8" width="7.5703125" style="2" hidden="1" customWidth="1"/>
    <col min="9" max="9" width="9.5703125" style="2" hidden="1" customWidth="1"/>
    <col min="10" max="10" width="6.85546875" style="641" hidden="1" customWidth="1"/>
    <col min="11" max="12" width="8.140625" style="2" customWidth="1"/>
    <col min="13" max="13" width="7.5703125" style="2" customWidth="1"/>
    <col min="14" max="17" width="8.42578125" style="2" bestFit="1" customWidth="1"/>
    <col min="18" max="18" width="9.5703125" style="2" bestFit="1" customWidth="1"/>
    <col min="19" max="19" width="1.140625" style="2" customWidth="1"/>
    <col min="20" max="27" width="7.5703125" style="1" customWidth="1" outlineLevel="1"/>
    <col min="28" max="29" width="12.5703125" style="1" customWidth="1" outlineLevel="1"/>
    <col min="30" max="16384" width="1.5703125" style="1"/>
  </cols>
  <sheetData>
    <row r="1" spans="1:29" ht="12" customHeight="1">
      <c r="A1" s="1588"/>
      <c r="B1" s="1588"/>
      <c r="C1" s="1588"/>
      <c r="D1" s="1588"/>
      <c r="E1" s="1588"/>
      <c r="F1" s="1588"/>
      <c r="G1" s="1588"/>
      <c r="H1" s="1588"/>
      <c r="I1" s="1588"/>
      <c r="J1" s="1588"/>
      <c r="K1" s="1588" t="s">
        <v>315</v>
      </c>
      <c r="L1" s="1588"/>
      <c r="M1" s="1588"/>
      <c r="N1" s="1588"/>
      <c r="O1" s="1588"/>
      <c r="P1" s="1588"/>
      <c r="Q1" s="1588"/>
      <c r="R1" s="1588"/>
      <c r="S1" s="1588"/>
      <c r="T1" s="1588"/>
      <c r="U1" s="1588"/>
      <c r="V1" s="1588"/>
      <c r="W1" s="1588"/>
      <c r="X1" s="1588"/>
    </row>
    <row r="2" spans="1:29" ht="12" customHeight="1">
      <c r="H2" s="1589" t="s">
        <v>382</v>
      </c>
      <c r="I2" s="1589"/>
      <c r="J2" s="1589"/>
      <c r="K2" s="1589"/>
      <c r="L2" s="1589"/>
      <c r="M2" s="1589"/>
      <c r="N2" s="1589"/>
      <c r="O2" s="1589"/>
      <c r="P2" s="1589"/>
      <c r="Q2" s="1589"/>
      <c r="R2" s="1589"/>
      <c r="S2" s="1589"/>
      <c r="T2" s="1589"/>
      <c r="U2" s="1589"/>
      <c r="V2" s="1589"/>
      <c r="W2" s="1589"/>
      <c r="X2" s="1589"/>
      <c r="Y2" s="1589"/>
      <c r="Z2" s="1589"/>
      <c r="AA2" s="1589"/>
      <c r="AB2" s="1589"/>
      <c r="AC2" s="1589"/>
    </row>
    <row r="3" spans="1:29" ht="12" customHeight="1">
      <c r="A3" s="6" t="s">
        <v>317</v>
      </c>
      <c r="B3" s="1"/>
      <c r="C3" s="1"/>
      <c r="D3" s="1"/>
      <c r="E3" s="1"/>
      <c r="F3" s="1"/>
      <c r="G3" s="1"/>
      <c r="H3" s="1589"/>
      <c r="I3" s="1589"/>
      <c r="J3" s="1589"/>
      <c r="K3" s="1589"/>
      <c r="L3" s="1589"/>
      <c r="M3" s="1589"/>
      <c r="N3" s="1589"/>
      <c r="O3" s="1589"/>
      <c r="P3" s="1589"/>
      <c r="Q3" s="1589"/>
      <c r="R3" s="1589"/>
      <c r="S3" s="1589"/>
      <c r="T3" s="1589"/>
      <c r="U3" s="1589"/>
      <c r="V3" s="1589"/>
      <c r="W3" s="1589"/>
      <c r="X3" s="1589"/>
      <c r="Y3" s="1589"/>
      <c r="Z3" s="1589"/>
      <c r="AA3" s="1589"/>
      <c r="AB3" s="1589"/>
      <c r="AC3" s="1589"/>
    </row>
    <row r="4" spans="1:29" ht="12" customHeight="1">
      <c r="A4" s="7" t="s">
        <v>318</v>
      </c>
      <c r="B4" s="1"/>
      <c r="H4" s="1589"/>
      <c r="I4" s="1589"/>
      <c r="J4" s="1589"/>
      <c r="K4" s="1589"/>
      <c r="L4" s="1589"/>
      <c r="M4" s="1589"/>
      <c r="N4" s="1589"/>
      <c r="O4" s="1589"/>
      <c r="P4" s="1589"/>
      <c r="Q4" s="1589"/>
      <c r="R4" s="1589"/>
      <c r="S4" s="1589"/>
      <c r="T4" s="1589"/>
      <c r="U4" s="1589"/>
      <c r="V4" s="1589"/>
      <c r="W4" s="1589"/>
      <c r="X4" s="1589"/>
      <c r="Y4" s="1589"/>
      <c r="Z4" s="1589"/>
      <c r="AA4" s="1589"/>
      <c r="AB4" s="1589"/>
      <c r="AC4" s="1589"/>
    </row>
    <row r="5" spans="1:29" ht="12" customHeight="1">
      <c r="A5" s="8" t="s">
        <v>383</v>
      </c>
      <c r="B5" s="1"/>
      <c r="C5" s="1"/>
      <c r="D5" s="1"/>
      <c r="E5" s="1"/>
      <c r="F5" s="1"/>
      <c r="G5" s="1"/>
      <c r="H5" s="1589"/>
      <c r="I5" s="1589"/>
      <c r="J5" s="1589"/>
      <c r="K5" s="1589"/>
      <c r="L5" s="1589"/>
      <c r="M5" s="1589"/>
      <c r="N5" s="1589"/>
      <c r="O5" s="1589"/>
      <c r="P5" s="1589"/>
      <c r="Q5" s="1589"/>
      <c r="R5" s="1589"/>
      <c r="S5" s="1589"/>
      <c r="T5" s="1589"/>
      <c r="U5" s="1589"/>
      <c r="V5" s="1589"/>
      <c r="W5" s="1589"/>
      <c r="X5" s="1589"/>
      <c r="Y5" s="1589"/>
      <c r="Z5" s="1589"/>
      <c r="AA5" s="1589"/>
      <c r="AB5" s="1589"/>
      <c r="AC5" s="1589"/>
    </row>
    <row r="6" spans="1:29" ht="12" customHeight="1">
      <c r="H6" s="1589"/>
      <c r="I6" s="1589"/>
      <c r="J6" s="1589"/>
      <c r="K6" s="1589"/>
      <c r="L6" s="1589"/>
      <c r="M6" s="1589"/>
      <c r="N6" s="1589"/>
      <c r="O6" s="1589"/>
      <c r="P6" s="1589"/>
      <c r="Q6" s="1589"/>
      <c r="R6" s="1589"/>
      <c r="S6" s="1589"/>
      <c r="T6" s="1589"/>
      <c r="U6" s="1589"/>
      <c r="V6" s="1589"/>
      <c r="W6" s="1589"/>
      <c r="X6" s="1589"/>
      <c r="Y6" s="1589"/>
      <c r="Z6" s="1589"/>
      <c r="AA6" s="1589"/>
      <c r="AB6" s="1589"/>
      <c r="AC6" s="1589"/>
    </row>
    <row r="7" spans="1:29" s="9" customFormat="1">
      <c r="C7" s="1582" t="s">
        <v>320</v>
      </c>
      <c r="D7" s="1583"/>
      <c r="E7" s="1583"/>
      <c r="F7" s="1583"/>
      <c r="G7" s="1583"/>
      <c r="H7" s="1583"/>
      <c r="I7" s="1583"/>
      <c r="J7" s="1584"/>
      <c r="K7" s="1585" t="s">
        <v>321</v>
      </c>
      <c r="L7" s="1586"/>
      <c r="M7" s="1587"/>
      <c r="N7" s="1585" t="s">
        <v>322</v>
      </c>
      <c r="O7" s="1586"/>
      <c r="P7" s="1586"/>
      <c r="Q7" s="1586"/>
      <c r="R7" s="1587"/>
      <c r="S7" s="10"/>
      <c r="T7" s="1582" t="s">
        <v>323</v>
      </c>
      <c r="U7" s="1583"/>
      <c r="V7" s="1584"/>
      <c r="W7" s="1582" t="s">
        <v>324</v>
      </c>
      <c r="X7" s="1583"/>
      <c r="Y7" s="1583"/>
      <c r="Z7" s="1583"/>
      <c r="AA7" s="1584"/>
    </row>
    <row r="8" spans="1:29" ht="12" customHeight="1">
      <c r="A8" s="1"/>
      <c r="B8" s="1"/>
      <c r="C8" s="1"/>
      <c r="D8" s="1"/>
      <c r="E8" s="1"/>
      <c r="F8" s="1"/>
      <c r="G8" s="1"/>
      <c r="H8" s="1"/>
      <c r="I8" s="1"/>
      <c r="J8" s="108"/>
      <c r="K8" s="1"/>
      <c r="L8" s="1"/>
      <c r="M8" s="1"/>
      <c r="N8" s="1"/>
      <c r="O8" s="1"/>
      <c r="P8" s="1"/>
      <c r="Q8" s="1"/>
      <c r="R8" s="1"/>
      <c r="S8" s="1"/>
    </row>
    <row r="9" spans="1:29" ht="12" customHeight="1">
      <c r="A9" s="1200" t="s">
        <v>325</v>
      </c>
      <c r="C9" s="12">
        <v>2012</v>
      </c>
      <c r="D9" s="3">
        <v>2013</v>
      </c>
      <c r="E9" s="3">
        <v>2014</v>
      </c>
      <c r="F9" s="3">
        <v>2015</v>
      </c>
      <c r="G9" s="3">
        <v>2016</v>
      </c>
      <c r="H9" s="3">
        <v>2017</v>
      </c>
      <c r="I9" s="3">
        <v>2018</v>
      </c>
      <c r="J9" s="13">
        <v>2019</v>
      </c>
      <c r="K9" s="12">
        <v>2020</v>
      </c>
      <c r="L9" s="3">
        <v>2021</v>
      </c>
      <c r="M9" s="3">
        <v>2022</v>
      </c>
      <c r="N9" s="3">
        <v>2023</v>
      </c>
      <c r="O9" s="3">
        <v>2024</v>
      </c>
      <c r="P9" s="3">
        <v>2025</v>
      </c>
      <c r="Q9" s="3">
        <v>2026</v>
      </c>
      <c r="R9" s="3">
        <v>2027</v>
      </c>
      <c r="S9" s="14"/>
      <c r="T9" s="12">
        <v>2020</v>
      </c>
      <c r="U9" s="3">
        <v>2021</v>
      </c>
      <c r="V9" s="3">
        <v>2022</v>
      </c>
      <c r="W9" s="3">
        <v>2023</v>
      </c>
      <c r="X9" s="3">
        <v>2024</v>
      </c>
      <c r="Y9" s="3">
        <v>2025</v>
      </c>
      <c r="Z9" s="3">
        <v>2026</v>
      </c>
      <c r="AA9" s="13">
        <v>2027</v>
      </c>
    </row>
    <row r="10" spans="1:29" ht="12" customHeight="1">
      <c r="T10" s="2"/>
      <c r="U10" s="2"/>
      <c r="V10" s="2"/>
      <c r="W10" s="2"/>
      <c r="X10" s="2"/>
      <c r="Y10" s="2"/>
      <c r="Z10" s="2"/>
      <c r="AA10" s="2"/>
    </row>
    <row r="11" spans="1:29" ht="15.6" customHeight="1">
      <c r="A11" s="15" t="s">
        <v>326</v>
      </c>
      <c r="B11" s="15"/>
      <c r="C11" s="15"/>
      <c r="D11" s="15"/>
      <c r="E11" s="15"/>
      <c r="F11" s="15"/>
      <c r="G11" s="15"/>
      <c r="H11" s="15"/>
      <c r="I11" s="15"/>
      <c r="J11" s="920"/>
      <c r="K11" s="17"/>
      <c r="L11" s="18"/>
      <c r="M11" s="18"/>
      <c r="N11" s="18"/>
      <c r="O11" s="18"/>
      <c r="P11" s="17"/>
      <c r="Q11" s="17"/>
      <c r="R11" s="18"/>
      <c r="S11" s="18"/>
      <c r="T11" s="18"/>
      <c r="U11" s="18"/>
      <c r="V11" s="19"/>
      <c r="W11" s="19"/>
      <c r="X11" s="19"/>
      <c r="Y11" s="19"/>
      <c r="Z11" s="19"/>
      <c r="AA11" s="19"/>
    </row>
    <row r="12" spans="1:29" ht="12" customHeight="1">
      <c r="A12" s="20" t="s">
        <v>327</v>
      </c>
      <c r="B12" s="20"/>
      <c r="C12" s="112">
        <v>255644.02879998161</v>
      </c>
      <c r="D12" s="113">
        <v>249567.33535887825</v>
      </c>
      <c r="E12" s="113">
        <v>234498.61318902334</v>
      </c>
      <c r="F12" s="113">
        <v>244548</v>
      </c>
      <c r="G12" s="113">
        <v>257303.85901918178</v>
      </c>
      <c r="H12" s="113">
        <v>249520.02233058415</v>
      </c>
      <c r="I12" s="643">
        <v>284195.50971589121</v>
      </c>
      <c r="J12" s="798">
        <v>293688.1943324483</v>
      </c>
      <c r="K12" s="1424">
        <v>317368.78862963937</v>
      </c>
      <c r="L12" s="1425">
        <v>321381.99604934233</v>
      </c>
      <c r="M12" s="1516">
        <v>341886.00867252762</v>
      </c>
      <c r="N12" s="1521">
        <v>365669.78500301956</v>
      </c>
      <c r="O12" s="1522">
        <v>377833.01694067003</v>
      </c>
      <c r="P12" s="1522">
        <v>345782.31343075668</v>
      </c>
      <c r="Q12" s="1522">
        <v>351817.89507836802</v>
      </c>
      <c r="R12" s="1450">
        <v>360983.01477489038</v>
      </c>
      <c r="S12" s="114"/>
      <c r="T12" s="112">
        <v>313915.4034395917</v>
      </c>
      <c r="U12" s="1145">
        <v>277016.47912475147</v>
      </c>
      <c r="V12" s="1177"/>
      <c r="W12" s="1179"/>
      <c r="X12" s="643"/>
      <c r="Y12" s="643"/>
      <c r="Z12" s="643"/>
      <c r="AA12" s="873"/>
      <c r="AC12" s="133"/>
    </row>
    <row r="13" spans="1:29" ht="12" customHeight="1">
      <c r="A13" s="24" t="s">
        <v>328</v>
      </c>
      <c r="B13" s="24"/>
      <c r="C13" s="673"/>
      <c r="D13" s="666"/>
      <c r="E13" s="666"/>
      <c r="F13" s="666"/>
      <c r="G13" s="666"/>
      <c r="H13" s="666"/>
      <c r="I13" s="644"/>
      <c r="J13" s="799"/>
      <c r="K13" s="1426">
        <v>83128.478264049598</v>
      </c>
      <c r="L13" s="1427">
        <v>84398.386354218135</v>
      </c>
      <c r="M13" s="1517">
        <v>85099.938683924673</v>
      </c>
      <c r="N13" s="1523">
        <v>111191.65713380574</v>
      </c>
      <c r="O13" s="1519">
        <v>111865.12572292011</v>
      </c>
      <c r="P13" s="1519">
        <v>77380.949101458027</v>
      </c>
      <c r="Q13" s="1519">
        <v>77113.629520142451</v>
      </c>
      <c r="R13" s="1451">
        <v>78427.924331843882</v>
      </c>
      <c r="S13" s="26"/>
      <c r="T13" s="1160">
        <v>81239.569406793176</v>
      </c>
      <c r="U13" s="1151">
        <v>78750.593100843631</v>
      </c>
      <c r="V13" s="1124"/>
      <c r="W13" s="1180"/>
      <c r="X13" s="645"/>
      <c r="Y13" s="645"/>
      <c r="Z13" s="645"/>
      <c r="AA13" s="874"/>
      <c r="AC13" s="133"/>
    </row>
    <row r="14" spans="1:29" ht="12" customHeight="1">
      <c r="A14" s="24" t="s">
        <v>329</v>
      </c>
      <c r="B14" s="24"/>
      <c r="C14" s="115">
        <v>110160.46123790042</v>
      </c>
      <c r="D14" s="116">
        <v>116109.9575758393</v>
      </c>
      <c r="E14" s="116">
        <v>114038.43487872821</v>
      </c>
      <c r="F14" s="116">
        <v>104260</v>
      </c>
      <c r="G14" s="116">
        <v>99113.959121831504</v>
      </c>
      <c r="H14" s="116">
        <v>101314.35383549127</v>
      </c>
      <c r="I14" s="647">
        <v>109065.88446222371</v>
      </c>
      <c r="J14" s="800">
        <v>116298.65749918294</v>
      </c>
      <c r="K14" s="1428">
        <v>162418.1909167913</v>
      </c>
      <c r="L14" s="1429">
        <v>167066.3001541101</v>
      </c>
      <c r="M14" s="1518">
        <v>172855.41199410724</v>
      </c>
      <c r="N14" s="1523">
        <v>149178.91476331447</v>
      </c>
      <c r="O14" s="1519">
        <v>156387.02839487605</v>
      </c>
      <c r="P14" s="1519">
        <v>158066.2214791243</v>
      </c>
      <c r="Q14" s="1519">
        <v>159410.9056049994</v>
      </c>
      <c r="R14" s="1451">
        <v>157998.73311543663</v>
      </c>
      <c r="S14" s="114"/>
      <c r="T14" s="1161">
        <v>122500.69441786171</v>
      </c>
      <c r="U14" s="1146">
        <v>85742.244332572984</v>
      </c>
      <c r="V14" s="1178"/>
      <c r="W14" s="1181"/>
      <c r="X14" s="647"/>
      <c r="Y14" s="647"/>
      <c r="Z14" s="647"/>
      <c r="AA14" s="875"/>
    </row>
    <row r="15" spans="1:29" ht="12" customHeight="1">
      <c r="A15" s="24" t="s">
        <v>330</v>
      </c>
      <c r="B15" s="24"/>
      <c r="C15" s="115">
        <v>127939.86124342239</v>
      </c>
      <c r="D15" s="116">
        <v>151794.24807496319</v>
      </c>
      <c r="E15" s="116">
        <v>156496.11791998369</v>
      </c>
      <c r="F15" s="116">
        <v>158166</v>
      </c>
      <c r="G15" s="116">
        <v>157706.7456750859</v>
      </c>
      <c r="H15" s="116">
        <v>157284.96257313347</v>
      </c>
      <c r="I15" s="647">
        <v>151139.0683032485</v>
      </c>
      <c r="J15" s="800">
        <v>146926.64615167578</v>
      </c>
      <c r="K15" s="1428">
        <v>170372.82190614694</v>
      </c>
      <c r="L15" s="1429">
        <v>142455.77851836776</v>
      </c>
      <c r="M15" s="1518">
        <v>127877.64901803236</v>
      </c>
      <c r="N15" s="1523">
        <v>118915.3459705002</v>
      </c>
      <c r="O15" s="1519">
        <v>130588.93970616173</v>
      </c>
      <c r="P15" s="1519">
        <v>131307.98972254462</v>
      </c>
      <c r="Q15" s="1519">
        <v>132575.11898075874</v>
      </c>
      <c r="R15" s="1451">
        <v>131443.10977615163</v>
      </c>
      <c r="S15" s="26"/>
      <c r="T15" s="1161">
        <v>170677.0157604987</v>
      </c>
      <c r="U15" s="1146">
        <v>142628.60228247431</v>
      </c>
      <c r="V15" s="1178"/>
      <c r="W15" s="1181"/>
      <c r="X15" s="647"/>
      <c r="Y15" s="647"/>
      <c r="Z15" s="647"/>
      <c r="AA15" s="875"/>
    </row>
    <row r="16" spans="1:29" ht="12" customHeight="1">
      <c r="A16" s="24" t="s">
        <v>331</v>
      </c>
      <c r="B16" s="24"/>
      <c r="C16" s="115">
        <v>68159.333573926589</v>
      </c>
      <c r="D16" s="116">
        <v>68119.105132903715</v>
      </c>
      <c r="E16" s="116">
        <v>67166.260959165622</v>
      </c>
      <c r="F16" s="116">
        <v>56740.10170120791</v>
      </c>
      <c r="G16" s="116">
        <v>52609.619134055429</v>
      </c>
      <c r="H16" s="116">
        <v>49376.262411978569</v>
      </c>
      <c r="I16" s="647">
        <v>48661.519477072448</v>
      </c>
      <c r="J16" s="800">
        <v>48229.378283160229</v>
      </c>
      <c r="K16" s="1428">
        <v>30311.082209330387</v>
      </c>
      <c r="L16" s="1429">
        <v>34194.931201595246</v>
      </c>
      <c r="M16" s="1518">
        <v>36953.63126374803</v>
      </c>
      <c r="N16" s="1523">
        <v>43716.114346954004</v>
      </c>
      <c r="O16" s="1519">
        <v>43898.463007489554</v>
      </c>
      <c r="P16" s="1519">
        <v>42416.936678799007</v>
      </c>
      <c r="Q16" s="1519">
        <v>40914.45098437737</v>
      </c>
      <c r="R16" s="1451">
        <v>38786.183755635211</v>
      </c>
      <c r="S16" s="648"/>
      <c r="T16" s="1161">
        <v>32475.15105233949</v>
      </c>
      <c r="U16" s="1146">
        <v>39590.069729306255</v>
      </c>
      <c r="V16" s="1178"/>
      <c r="W16" s="115"/>
      <c r="X16" s="116"/>
      <c r="Y16" s="116"/>
      <c r="Z16" s="116"/>
      <c r="AA16" s="579"/>
      <c r="AB16" s="929"/>
      <c r="AC16" s="929"/>
    </row>
    <row r="17" spans="1:29" ht="12" customHeight="1">
      <c r="A17" s="24" t="s">
        <v>332</v>
      </c>
      <c r="B17" s="24"/>
      <c r="C17" s="115">
        <v>10788.98059974527</v>
      </c>
      <c r="D17" s="116">
        <v>50386.880571279791</v>
      </c>
      <c r="E17" s="116">
        <v>11136.890623402516</v>
      </c>
      <c r="F17" s="116">
        <v>9361</v>
      </c>
      <c r="G17" s="116">
        <v>10430.435246915833</v>
      </c>
      <c r="H17" s="116">
        <v>10371.162805851633</v>
      </c>
      <c r="I17" s="647">
        <v>9933.2518049734263</v>
      </c>
      <c r="J17" s="800">
        <v>13887.396565818206</v>
      </c>
      <c r="K17" s="1428">
        <v>9484.4941184025138</v>
      </c>
      <c r="L17" s="1429">
        <v>9171.8265003293182</v>
      </c>
      <c r="M17" s="1518">
        <v>9166.7216672657287</v>
      </c>
      <c r="N17" s="1523">
        <v>26165.09597444089</v>
      </c>
      <c r="O17" s="1519">
        <v>29791.946050802297</v>
      </c>
      <c r="P17" s="1519">
        <v>20150.831356208488</v>
      </c>
      <c r="Q17" s="1519">
        <v>18960.064333398212</v>
      </c>
      <c r="R17" s="1451">
        <v>16877.813247574875</v>
      </c>
      <c r="S17" s="648"/>
      <c r="T17" s="1161">
        <v>41753.410205428823</v>
      </c>
      <c r="U17" s="1146">
        <v>6152.8147715534333</v>
      </c>
      <c r="V17" s="1178"/>
      <c r="W17" s="1181"/>
      <c r="X17" s="647"/>
      <c r="Y17" s="647"/>
      <c r="Z17" s="647"/>
      <c r="AA17" s="875"/>
      <c r="AB17" s="1" t="s">
        <v>384</v>
      </c>
    </row>
    <row r="18" spans="1:29" ht="12" customHeight="1">
      <c r="A18" s="134" t="s">
        <v>333</v>
      </c>
      <c r="B18" s="580"/>
      <c r="C18" s="85">
        <f>C12+SUM(C14:C17)</f>
        <v>572692.66545497626</v>
      </c>
      <c r="D18" s="86">
        <f t="shared" ref="D18:O18" si="0">D12+SUM(D14:D17)</f>
        <v>635977.52671386418</v>
      </c>
      <c r="E18" s="86">
        <f t="shared" si="0"/>
        <v>583336.31757030333</v>
      </c>
      <c r="F18" s="86">
        <f t="shared" si="0"/>
        <v>573075.10170120792</v>
      </c>
      <c r="G18" s="86">
        <f t="shared" si="0"/>
        <v>577164.61819707043</v>
      </c>
      <c r="H18" s="86">
        <f t="shared" si="0"/>
        <v>567866.7639570391</v>
      </c>
      <c r="I18" s="86">
        <f t="shared" si="0"/>
        <v>602995.23376340931</v>
      </c>
      <c r="J18" s="801">
        <f t="shared" si="0"/>
        <v>619030.27283228538</v>
      </c>
      <c r="K18" s="1430">
        <f t="shared" si="0"/>
        <v>689955.37778031058</v>
      </c>
      <c r="L18" s="1431">
        <f t="shared" si="0"/>
        <v>674270.83242374472</v>
      </c>
      <c r="M18" s="1520">
        <f t="shared" si="0"/>
        <v>688739.42261568108</v>
      </c>
      <c r="N18" s="1430">
        <f t="shared" si="0"/>
        <v>703645.25605822913</v>
      </c>
      <c r="O18" s="1431">
        <f t="shared" si="0"/>
        <v>738499.39409999968</v>
      </c>
      <c r="P18" s="1431">
        <f t="shared" ref="P18:R18" si="1">P12+SUM(P14:P17)</f>
        <v>697724.29266743315</v>
      </c>
      <c r="Q18" s="1431">
        <f t="shared" si="1"/>
        <v>703678.43498190166</v>
      </c>
      <c r="R18" s="1432">
        <f t="shared" si="1"/>
        <v>706088.85466968874</v>
      </c>
      <c r="S18" s="26"/>
      <c r="T18" s="85">
        <f t="shared" ref="T18:U18" si="2">T12+SUM(T14:T17)</f>
        <v>681321.6748757204</v>
      </c>
      <c r="U18" s="86">
        <f t="shared" si="2"/>
        <v>551130.21024065849</v>
      </c>
      <c r="V18" s="801"/>
      <c r="W18" s="85"/>
      <c r="X18" s="86"/>
      <c r="Y18" s="86"/>
      <c r="Z18" s="86"/>
      <c r="AA18" s="630"/>
    </row>
    <row r="19" spans="1:29" ht="12" customHeight="1">
      <c r="A19" s="102" t="s">
        <v>334</v>
      </c>
      <c r="B19" s="31"/>
      <c r="C19" s="28"/>
      <c r="D19" s="29">
        <f t="shared" ref="D19:O19" si="3">+D18/C18-1</f>
        <v>0.11050405405246666</v>
      </c>
      <c r="E19" s="29">
        <f t="shared" si="3"/>
        <v>-8.2772121548950417E-2</v>
      </c>
      <c r="F19" s="29">
        <f t="shared" si="3"/>
        <v>-1.7590565785163381E-2</v>
      </c>
      <c r="G19" s="29">
        <f t="shared" si="3"/>
        <v>7.1360917333915808E-3</v>
      </c>
      <c r="H19" s="29">
        <f t="shared" si="3"/>
        <v>-1.6109536078416697E-2</v>
      </c>
      <c r="I19" s="29">
        <f t="shared" si="3"/>
        <v>6.1860408173188608E-2</v>
      </c>
      <c r="J19" s="802">
        <f t="shared" si="3"/>
        <v>2.6592314782984738E-2</v>
      </c>
      <c r="K19" s="28">
        <f t="shared" si="3"/>
        <v>0.11457453384875249</v>
      </c>
      <c r="L19" s="29">
        <f t="shared" si="3"/>
        <v>-2.2732695275200832E-2</v>
      </c>
      <c r="M19" s="1100">
        <f t="shared" si="3"/>
        <v>2.1458128538538901E-2</v>
      </c>
      <c r="N19" s="28">
        <f t="shared" si="3"/>
        <v>2.1642195804530751E-2</v>
      </c>
      <c r="O19" s="29">
        <f t="shared" si="3"/>
        <v>4.9533678713363338E-2</v>
      </c>
      <c r="P19" s="29">
        <f t="shared" ref="P19" si="4">+P18/O18-1</f>
        <v>-5.5213452791330497E-2</v>
      </c>
      <c r="Q19" s="29">
        <f t="shared" ref="Q19" si="5">+Q18/P18-1</f>
        <v>8.5336606121388936E-3</v>
      </c>
      <c r="R19" s="1176">
        <f t="shared" ref="R19" si="6">+R18/Q18-1</f>
        <v>3.4254562424511636E-3</v>
      </c>
      <c r="S19" s="27"/>
      <c r="T19" s="28">
        <f>T18/J18-1</f>
        <v>0.10062739219267836</v>
      </c>
      <c r="U19" s="29">
        <f>U18/K18-1</f>
        <v>-0.20120890714160877</v>
      </c>
      <c r="V19" s="1100"/>
      <c r="W19" s="28"/>
      <c r="X19" s="29"/>
      <c r="Y19" s="29"/>
      <c r="Z19" s="29"/>
      <c r="AA19" s="30"/>
    </row>
    <row r="20" spans="1:29" ht="12" customHeight="1">
      <c r="A20" s="31"/>
      <c r="B20" s="31"/>
      <c r="C20" s="31"/>
      <c r="D20" s="31"/>
      <c r="E20" s="31"/>
      <c r="F20" s="31"/>
      <c r="G20" s="31"/>
      <c r="H20" s="31"/>
      <c r="I20" s="31"/>
      <c r="J20" s="701"/>
      <c r="K20" s="998"/>
      <c r="L20" s="999"/>
      <c r="M20" s="999"/>
      <c r="N20" s="999"/>
      <c r="O20" s="999"/>
      <c r="P20" s="999"/>
      <c r="Q20" s="999"/>
      <c r="R20" s="999"/>
      <c r="S20" s="27"/>
      <c r="T20" s="1008"/>
      <c r="U20" s="32"/>
      <c r="V20" s="32"/>
      <c r="W20" s="32"/>
      <c r="X20" s="32"/>
      <c r="Y20" s="32"/>
      <c r="Z20" s="32"/>
      <c r="AA20" s="32"/>
    </row>
    <row r="21" spans="1:29" ht="15.6" customHeight="1">
      <c r="A21" s="15" t="s">
        <v>335</v>
      </c>
      <c r="B21" s="15"/>
      <c r="C21" s="15"/>
      <c r="D21" s="15"/>
      <c r="E21" s="15"/>
      <c r="F21" s="15"/>
      <c r="G21" s="15"/>
      <c r="H21" s="15"/>
      <c r="I21" s="15"/>
      <c r="J21" s="695"/>
      <c r="K21" s="17"/>
      <c r="L21" s="17"/>
      <c r="M21" s="17"/>
      <c r="N21" s="17"/>
      <c r="O21" s="17"/>
      <c r="P21" s="17"/>
      <c r="Q21" s="17"/>
      <c r="R21" s="18"/>
      <c r="S21" s="18"/>
      <c r="T21" s="17"/>
      <c r="U21" s="17"/>
      <c r="V21" s="19"/>
      <c r="W21" s="19"/>
      <c r="X21" s="19"/>
      <c r="Y21" s="19"/>
      <c r="Z21" s="19"/>
      <c r="AA21" s="19"/>
    </row>
    <row r="22" spans="1:29" ht="12" customHeight="1">
      <c r="A22" s="135" t="s">
        <v>336</v>
      </c>
      <c r="B22" s="21"/>
      <c r="C22" s="112">
        <v>464434.84439975489</v>
      </c>
      <c r="D22" s="113">
        <v>518179.09013056027</v>
      </c>
      <c r="E22" s="113">
        <v>472116.56711714208</v>
      </c>
      <c r="F22" s="113">
        <v>466289</v>
      </c>
      <c r="G22" s="113">
        <v>471183.55884036224</v>
      </c>
      <c r="H22" s="113">
        <v>464249.55802303128</v>
      </c>
      <c r="I22" s="643">
        <v>494013.10073549859</v>
      </c>
      <c r="J22" s="803">
        <v>507782.81901068741</v>
      </c>
      <c r="K22" s="922">
        <v>565256.53348715848</v>
      </c>
      <c r="L22" s="923">
        <v>552406.72895907855</v>
      </c>
      <c r="M22" s="696">
        <v>564260.34355463635</v>
      </c>
      <c r="N22" s="1392">
        <f>N$18*M22/M$31</f>
        <v>576472.1763945776</v>
      </c>
      <c r="O22" s="1393">
        <f t="shared" ref="O22:R22" si="7">O$18*N22/N$31</f>
        <v>605026.96396730002</v>
      </c>
      <c r="P22" s="1393">
        <f t="shared" si="7"/>
        <v>571621.33625480928</v>
      </c>
      <c r="Q22" s="1393">
        <f t="shared" si="7"/>
        <v>576499.35873706522</v>
      </c>
      <c r="R22" s="1394">
        <f t="shared" si="7"/>
        <v>578474.13206422026</v>
      </c>
      <c r="S22" s="26">
        <f t="shared" ref="S22" si="8">S18</f>
        <v>0</v>
      </c>
      <c r="T22" s="922">
        <v>551717.50213697297</v>
      </c>
      <c r="U22" s="1152">
        <f>$U$18*T22/$T$31</f>
        <v>446291.66245395876</v>
      </c>
      <c r="V22" s="1123"/>
      <c r="W22" s="649"/>
      <c r="X22" s="650"/>
      <c r="Y22" s="650"/>
      <c r="Z22" s="650"/>
      <c r="AA22" s="651"/>
      <c r="AB22" s="921"/>
      <c r="AC22" s="921"/>
    </row>
    <row r="23" spans="1:29" ht="12" customHeight="1">
      <c r="A23" s="21" t="s">
        <v>337</v>
      </c>
      <c r="B23" s="24"/>
      <c r="C23" s="115">
        <v>44565.706443756448</v>
      </c>
      <c r="D23" s="116">
        <v>48322.283199027763</v>
      </c>
      <c r="E23" s="116">
        <v>44026.767759847644</v>
      </c>
      <c r="F23" s="116">
        <v>43483</v>
      </c>
      <c r="G23" s="116">
        <v>43939.760987408736</v>
      </c>
      <c r="H23" s="116">
        <v>43293.137536985574</v>
      </c>
      <c r="I23" s="647">
        <v>46068.707542320655</v>
      </c>
      <c r="J23" s="804">
        <v>47352.789124803756</v>
      </c>
      <c r="K23" s="924">
        <v>52712.44404011951</v>
      </c>
      <c r="L23" s="925">
        <v>51514.148112544404</v>
      </c>
      <c r="M23" s="698">
        <v>52619.54532429672</v>
      </c>
      <c r="N23" s="1395">
        <f t="shared" ref="N23:R23" si="9">N$18*M23/M$31</f>
        <v>53758.347827350539</v>
      </c>
      <c r="O23" s="1396">
        <f t="shared" si="9"/>
        <v>56421.196556791758</v>
      </c>
      <c r="P23" s="1396">
        <f t="shared" si="9"/>
        <v>53305.987484272933</v>
      </c>
      <c r="Q23" s="1396">
        <f t="shared" si="9"/>
        <v>53760.88269005865</v>
      </c>
      <c r="R23" s="1397">
        <f t="shared" si="9"/>
        <v>53945.038241269001</v>
      </c>
      <c r="S23" s="26"/>
      <c r="T23" s="924">
        <v>51449.87494073854</v>
      </c>
      <c r="U23" s="1151">
        <f t="shared" ref="U23:U30" si="10">$U$18*T23/$T$31</f>
        <v>41618.491585662741</v>
      </c>
      <c r="V23" s="1124"/>
      <c r="W23" s="1180"/>
      <c r="X23" s="645"/>
      <c r="Y23" s="645"/>
      <c r="Z23" s="645"/>
      <c r="AA23" s="874"/>
      <c r="AB23" s="921"/>
      <c r="AC23" s="921"/>
    </row>
    <row r="24" spans="1:29" ht="12" customHeight="1">
      <c r="A24" s="21" t="s">
        <v>338</v>
      </c>
      <c r="B24" s="24"/>
      <c r="C24" s="115">
        <v>14799.388823928355</v>
      </c>
      <c r="D24" s="116">
        <v>17654.173655085251</v>
      </c>
      <c r="E24" s="116">
        <v>16671.4914002638</v>
      </c>
      <c r="F24" s="116">
        <v>16423</v>
      </c>
      <c r="G24" s="116">
        <v>16500.731366291278</v>
      </c>
      <c r="H24" s="116">
        <v>16224.608395705331</v>
      </c>
      <c r="I24" s="647">
        <v>16673.099235269096</v>
      </c>
      <c r="J24" s="804">
        <v>16923.494808091436</v>
      </c>
      <c r="K24" s="924">
        <v>19077.587744503267</v>
      </c>
      <c r="L24" s="925">
        <v>18643.90275572157</v>
      </c>
      <c r="M24" s="698">
        <v>19043.966017513867</v>
      </c>
      <c r="N24" s="1395">
        <f t="shared" ref="N24:R24" si="11">N$18*M24/M$31</f>
        <v>19456.119258959734</v>
      </c>
      <c r="O24" s="1396">
        <f t="shared" si="11"/>
        <v>20419.852419341929</v>
      </c>
      <c r="P24" s="1396">
        <f t="shared" si="11"/>
        <v>19292.401861780651</v>
      </c>
      <c r="Q24" s="1396">
        <f t="shared" si="11"/>
        <v>19457.036671662085</v>
      </c>
      <c r="R24" s="1397">
        <f t="shared" si="11"/>
        <v>19523.685899388631</v>
      </c>
      <c r="S24" s="26"/>
      <c r="T24" s="924">
        <v>18063.962219833778</v>
      </c>
      <c r="U24" s="1151">
        <f t="shared" si="10"/>
        <v>14612.180506091043</v>
      </c>
      <c r="V24" s="1124"/>
      <c r="W24" s="1180"/>
      <c r="X24" s="645"/>
      <c r="Y24" s="645"/>
      <c r="Z24" s="645"/>
      <c r="AA24" s="874"/>
      <c r="AB24" s="921"/>
      <c r="AC24" s="921"/>
    </row>
    <row r="25" spans="1:29" ht="12" customHeight="1">
      <c r="A25" s="21" t="s">
        <v>339</v>
      </c>
      <c r="B25" s="24"/>
      <c r="C25" s="115">
        <v>30108.616217791292</v>
      </c>
      <c r="D25" s="116">
        <v>32211.383527911268</v>
      </c>
      <c r="E25" s="116">
        <v>29348.015199647372</v>
      </c>
      <c r="F25" s="116">
        <v>28986</v>
      </c>
      <c r="G25" s="116">
        <v>29290.01693609239</v>
      </c>
      <c r="H25" s="116">
        <v>28858.981095465129</v>
      </c>
      <c r="I25" s="647">
        <v>30709.161675347452</v>
      </c>
      <c r="J25" s="804">
        <v>31565.123802884547</v>
      </c>
      <c r="K25" s="924">
        <v>35137.841990545938</v>
      </c>
      <c r="L25" s="925">
        <v>34339.064135946704</v>
      </c>
      <c r="M25" s="698">
        <v>35075.916188068986</v>
      </c>
      <c r="N25" s="1395">
        <f t="shared" ref="N25:R25" si="12">N$18*M25/M$31</f>
        <v>35835.036034234487</v>
      </c>
      <c r="O25" s="1396">
        <f t="shared" si="12"/>
        <v>37610.077195836056</v>
      </c>
      <c r="P25" s="1396">
        <f t="shared" si="12"/>
        <v>35533.494974105452</v>
      </c>
      <c r="Q25" s="1396">
        <f t="shared" si="12"/>
        <v>35836.725760577618</v>
      </c>
      <c r="R25" s="1397">
        <f t="shared" si="12"/>
        <v>35959.482896543203</v>
      </c>
      <c r="S25" s="26"/>
      <c r="T25" s="924">
        <v>34296.21997274633</v>
      </c>
      <c r="U25" s="1151">
        <f t="shared" si="10"/>
        <v>27742.670783939764</v>
      </c>
      <c r="V25" s="1124"/>
      <c r="W25" s="1180"/>
      <c r="X25" s="645"/>
      <c r="Y25" s="645"/>
      <c r="Z25" s="645"/>
      <c r="AA25" s="874"/>
      <c r="AB25" s="921"/>
      <c r="AC25" s="921"/>
    </row>
    <row r="26" spans="1:29" ht="12" customHeight="1">
      <c r="A26" s="21" t="s">
        <v>340</v>
      </c>
      <c r="B26" s="24"/>
      <c r="C26" s="115">
        <v>0</v>
      </c>
      <c r="D26" s="116">
        <v>0</v>
      </c>
      <c r="E26" s="116"/>
      <c r="F26" s="116">
        <v>0</v>
      </c>
      <c r="G26" s="116">
        <v>0</v>
      </c>
      <c r="H26" s="116"/>
      <c r="I26" s="647"/>
      <c r="J26" s="804">
        <f t="shared" ref="J26" si="13">J$18*I26/I$31</f>
        <v>0</v>
      </c>
      <c r="K26" s="924">
        <v>0</v>
      </c>
      <c r="L26" s="925">
        <v>0</v>
      </c>
      <c r="M26" s="698">
        <v>0</v>
      </c>
      <c r="N26" s="1395">
        <f t="shared" ref="N26:R26" si="14">N$18*M26/M$31</f>
        <v>0</v>
      </c>
      <c r="O26" s="1396">
        <f t="shared" si="14"/>
        <v>0</v>
      </c>
      <c r="P26" s="1396">
        <f t="shared" si="14"/>
        <v>0</v>
      </c>
      <c r="Q26" s="1396">
        <f t="shared" si="14"/>
        <v>0</v>
      </c>
      <c r="R26" s="1397">
        <f t="shared" si="14"/>
        <v>0</v>
      </c>
      <c r="S26" s="26"/>
      <c r="T26" s="924">
        <v>0</v>
      </c>
      <c r="U26" s="1151">
        <f t="shared" si="10"/>
        <v>0</v>
      </c>
      <c r="V26" s="1124"/>
      <c r="W26" s="1180"/>
      <c r="X26" s="645"/>
      <c r="Y26" s="645"/>
      <c r="Z26" s="645"/>
      <c r="AA26" s="874"/>
      <c r="AB26" s="921"/>
      <c r="AC26" s="921"/>
    </row>
    <row r="27" spans="1:29" ht="12" customHeight="1">
      <c r="A27" s="21" t="s">
        <v>341</v>
      </c>
      <c r="B27" s="24"/>
      <c r="C27" s="115">
        <v>3994.9232400000005</v>
      </c>
      <c r="D27" s="116">
        <v>4045.7114500000007</v>
      </c>
      <c r="E27" s="116">
        <v>5698.3796600000005</v>
      </c>
      <c r="F27" s="116">
        <v>4383.6017000000002</v>
      </c>
      <c r="G27" s="116">
        <v>3474.7876500000007</v>
      </c>
      <c r="H27" s="116">
        <v>3494.93887</v>
      </c>
      <c r="I27" s="647">
        <v>3835.3095600000001</v>
      </c>
      <c r="J27" s="804">
        <v>3516.75</v>
      </c>
      <c r="K27" s="924">
        <v>4388.4135532197179</v>
      </c>
      <c r="L27" s="925">
        <v>4288.6530851728121</v>
      </c>
      <c r="M27" s="698">
        <v>4380.679554331653</v>
      </c>
      <c r="N27" s="1395">
        <f t="shared" ref="N27:R27" si="15">N$18*M27/M$31</f>
        <v>4475.4870790034029</v>
      </c>
      <c r="O27" s="1396">
        <f t="shared" si="15"/>
        <v>4697.1744180605665</v>
      </c>
      <c r="P27" s="1396">
        <f t="shared" si="15"/>
        <v>4437.8272000763327</v>
      </c>
      <c r="Q27" s="1396">
        <f t="shared" si="15"/>
        <v>4475.6981112571029</v>
      </c>
      <c r="R27" s="1397">
        <f t="shared" si="15"/>
        <v>4491.0294192916353</v>
      </c>
      <c r="S27" s="26"/>
      <c r="T27" s="924">
        <v>3758.0364</v>
      </c>
      <c r="U27" s="1151">
        <f t="shared" si="10"/>
        <v>3039.9258787735589</v>
      </c>
      <c r="V27" s="1124"/>
      <c r="W27" s="1180"/>
      <c r="X27" s="645"/>
      <c r="Y27" s="645"/>
      <c r="Z27" s="645"/>
      <c r="AA27" s="874"/>
      <c r="AB27" s="921"/>
      <c r="AC27" s="921"/>
    </row>
    <row r="28" spans="1:29" ht="12" customHeight="1">
      <c r="A28" s="21" t="s">
        <v>342</v>
      </c>
      <c r="B28" s="24"/>
      <c r="C28" s="115">
        <v>0</v>
      </c>
      <c r="D28" s="116">
        <v>0</v>
      </c>
      <c r="E28" s="116"/>
      <c r="F28" s="116">
        <v>0</v>
      </c>
      <c r="G28" s="116">
        <v>0</v>
      </c>
      <c r="H28" s="116"/>
      <c r="I28" s="647"/>
      <c r="J28" s="804">
        <f t="shared" ref="J28" si="16">J$18*I28/I$31</f>
        <v>0</v>
      </c>
      <c r="K28" s="924">
        <v>0</v>
      </c>
      <c r="L28" s="925">
        <v>0</v>
      </c>
      <c r="M28" s="698">
        <v>0</v>
      </c>
      <c r="N28" s="1395">
        <f t="shared" ref="N28:R28" si="17">N$18*M28/M$31</f>
        <v>0</v>
      </c>
      <c r="O28" s="1396">
        <f t="shared" si="17"/>
        <v>0</v>
      </c>
      <c r="P28" s="1396">
        <f t="shared" si="17"/>
        <v>0</v>
      </c>
      <c r="Q28" s="1396">
        <f t="shared" si="17"/>
        <v>0</v>
      </c>
      <c r="R28" s="1397">
        <f t="shared" si="17"/>
        <v>0</v>
      </c>
      <c r="S28" s="26"/>
      <c r="T28" s="924">
        <v>0</v>
      </c>
      <c r="U28" s="1151">
        <f t="shared" si="10"/>
        <v>0</v>
      </c>
      <c r="V28" s="1124"/>
      <c r="W28" s="1180"/>
      <c r="X28" s="645"/>
      <c r="Y28" s="645"/>
      <c r="Z28" s="645"/>
      <c r="AA28" s="874"/>
      <c r="AB28" s="921"/>
      <c r="AC28" s="921"/>
    </row>
    <row r="29" spans="1:29" ht="12" customHeight="1">
      <c r="A29" s="21" t="s">
        <v>343</v>
      </c>
      <c r="B29" s="24"/>
      <c r="C29" s="692">
        <v>4765.9599399999997</v>
      </c>
      <c r="D29" s="693">
        <v>5263.4739599999994</v>
      </c>
      <c r="E29" s="693">
        <v>5399.9405800000004</v>
      </c>
      <c r="F29" s="693">
        <v>5225.5</v>
      </c>
      <c r="G29" s="693">
        <v>4718.3416099999995</v>
      </c>
      <c r="H29" s="693">
        <v>4668.8854200000005</v>
      </c>
      <c r="I29" s="653">
        <v>4819.6494900000016</v>
      </c>
      <c r="J29" s="804">
        <v>5032.4756500000003</v>
      </c>
      <c r="K29" s="924">
        <v>5514.7087380567282</v>
      </c>
      <c r="L29" s="925">
        <v>5389.3445447829972</v>
      </c>
      <c r="M29" s="698">
        <v>5504.9897927634256</v>
      </c>
      <c r="N29" s="1395">
        <f t="shared" ref="N29:R29" si="18">N$18*M29/M$31</f>
        <v>5624.1298597603545</v>
      </c>
      <c r="O29" s="1396">
        <f t="shared" si="18"/>
        <v>5902.7137012759576</v>
      </c>
      <c r="P29" s="1396">
        <f t="shared" si="18"/>
        <v>5576.8044969898156</v>
      </c>
      <c r="Q29" s="1396">
        <f t="shared" si="18"/>
        <v>5624.3950538673771</v>
      </c>
      <c r="R29" s="1397">
        <f t="shared" si="18"/>
        <v>5643.6611730146597</v>
      </c>
      <c r="S29" s="26"/>
      <c r="T29" s="924">
        <v>5104.7810500000005</v>
      </c>
      <c r="U29" s="1151">
        <f t="shared" si="10"/>
        <v>4129.3256285031894</v>
      </c>
      <c r="V29" s="1124"/>
      <c r="W29" s="1180"/>
      <c r="X29" s="645"/>
      <c r="Y29" s="645"/>
      <c r="Z29" s="645"/>
      <c r="AA29" s="874"/>
      <c r="AB29" s="921"/>
      <c r="AC29" s="921"/>
    </row>
    <row r="30" spans="1:29" ht="12" customHeight="1">
      <c r="A30" s="21" t="s">
        <v>344</v>
      </c>
      <c r="B30" s="24"/>
      <c r="C30" s="692">
        <v>10023.226389745269</v>
      </c>
      <c r="D30" s="693">
        <v>10301.410791279795</v>
      </c>
      <c r="E30" s="693">
        <v>10075.155853402515</v>
      </c>
      <c r="F30" s="693">
        <v>8285</v>
      </c>
      <c r="G30" s="693">
        <v>8057.420806915834</v>
      </c>
      <c r="H30" s="693">
        <v>7076.6546158516321</v>
      </c>
      <c r="I30" s="653">
        <v>6876.2055249734267</v>
      </c>
      <c r="J30" s="804">
        <v>6856.8204358182056</v>
      </c>
      <c r="K30" s="924">
        <v>7867.848226706813</v>
      </c>
      <c r="L30" s="925">
        <v>7688.9908304975588</v>
      </c>
      <c r="M30" s="698">
        <v>7853.9821840700233</v>
      </c>
      <c r="N30" s="1395">
        <f t="shared" ref="N30:R30" si="19">N$18*M30/M$31</f>
        <v>8023.9596043429628</v>
      </c>
      <c r="O30" s="1396">
        <f t="shared" si="19"/>
        <v>8421.4158413934929</v>
      </c>
      <c r="P30" s="1396">
        <f t="shared" si="19"/>
        <v>7956.4403953985484</v>
      </c>
      <c r="Q30" s="1396">
        <f t="shared" si="19"/>
        <v>8024.3379574135934</v>
      </c>
      <c r="R30" s="1397">
        <f t="shared" si="19"/>
        <v>8051.8249759613545</v>
      </c>
      <c r="S30" s="26"/>
      <c r="T30" s="924">
        <v>16931.298155428824</v>
      </c>
      <c r="U30" s="1151">
        <f t="shared" si="10"/>
        <v>13695.953403729434</v>
      </c>
      <c r="V30" s="1124"/>
      <c r="W30" s="1180"/>
      <c r="X30" s="645"/>
      <c r="Y30" s="645"/>
      <c r="Z30" s="645"/>
      <c r="AA30" s="874"/>
      <c r="AB30" s="921"/>
      <c r="AC30" s="921"/>
    </row>
    <row r="31" spans="1:29" s="143" customFormat="1" ht="12" customHeight="1">
      <c r="A31" s="141" t="s">
        <v>345</v>
      </c>
      <c r="B31" s="134"/>
      <c r="C31" s="582">
        <f t="shared" ref="C31:J31" si="20">SUM(C22:C30)</f>
        <v>572692.66545497626</v>
      </c>
      <c r="D31" s="583">
        <f t="shared" si="20"/>
        <v>635977.52671386418</v>
      </c>
      <c r="E31" s="583">
        <f t="shared" si="20"/>
        <v>583336.31757030357</v>
      </c>
      <c r="F31" s="583">
        <f t="shared" si="20"/>
        <v>573075.1017</v>
      </c>
      <c r="G31" s="583">
        <f t="shared" si="20"/>
        <v>577164.61819707043</v>
      </c>
      <c r="H31" s="583">
        <f t="shared" si="20"/>
        <v>567866.76395703875</v>
      </c>
      <c r="I31" s="583">
        <f t="shared" si="20"/>
        <v>602995.23376340931</v>
      </c>
      <c r="J31" s="805">
        <f t="shared" si="20"/>
        <v>619030.27283228538</v>
      </c>
      <c r="K31" s="85">
        <f>SUM(K22:K30)</f>
        <v>689955.37778031058</v>
      </c>
      <c r="L31" s="86">
        <f>SUM(L22:L30)</f>
        <v>674270.83242374461</v>
      </c>
      <c r="M31" s="630">
        <f>SUM(M22:M30)</f>
        <v>688739.42261568108</v>
      </c>
      <c r="N31" s="156">
        <f>SUM(N22:N30)</f>
        <v>703645.25605822902</v>
      </c>
      <c r="O31" s="86">
        <f>SUM(O22:O30)</f>
        <v>738499.39409999992</v>
      </c>
      <c r="P31" s="86">
        <f t="shared" ref="P31:R31" si="21">SUM(P22:P30)</f>
        <v>697724.29266743304</v>
      </c>
      <c r="Q31" s="86">
        <f t="shared" si="21"/>
        <v>703678.43498190166</v>
      </c>
      <c r="R31" s="630">
        <f t="shared" si="21"/>
        <v>706088.85466968874</v>
      </c>
      <c r="S31" s="26"/>
      <c r="T31" s="85">
        <f>SUM(T22:T30)</f>
        <v>681321.6748757204</v>
      </c>
      <c r="U31" s="86">
        <f>SUM(U22:U30)</f>
        <v>551130.21024065861</v>
      </c>
      <c r="V31" s="801"/>
      <c r="W31" s="85"/>
      <c r="X31" s="86"/>
      <c r="Y31" s="86"/>
      <c r="Z31" s="86"/>
      <c r="AA31" s="630"/>
      <c r="AB31" s="921"/>
      <c r="AC31" s="921"/>
    </row>
    <row r="32" spans="1:29" ht="12" customHeight="1">
      <c r="A32" s="102" t="s">
        <v>334</v>
      </c>
      <c r="B32" s="31"/>
      <c r="C32" s="28"/>
      <c r="D32" s="29">
        <f t="shared" ref="D32:O32" si="22">+D31/C31-1</f>
        <v>0.11050405405246666</v>
      </c>
      <c r="E32" s="29">
        <f t="shared" si="22"/>
        <v>-8.2772121548950084E-2</v>
      </c>
      <c r="F32" s="29">
        <f t="shared" si="22"/>
        <v>-1.7590565787234502E-2</v>
      </c>
      <c r="G32" s="29">
        <f t="shared" si="22"/>
        <v>7.1360917355143272E-3</v>
      </c>
      <c r="H32" s="29">
        <f t="shared" si="22"/>
        <v>-1.6109536078417364E-2</v>
      </c>
      <c r="I32" s="29">
        <f t="shared" si="22"/>
        <v>6.1860408173189274E-2</v>
      </c>
      <c r="J32" s="806">
        <f t="shared" si="22"/>
        <v>2.6592314782984738E-2</v>
      </c>
      <c r="K32" s="28">
        <f t="shared" si="22"/>
        <v>0.11457453384875249</v>
      </c>
      <c r="L32" s="29">
        <f t="shared" si="22"/>
        <v>-2.2732695275200943E-2</v>
      </c>
      <c r="M32" s="30">
        <f t="shared" si="22"/>
        <v>2.1458128538539123E-2</v>
      </c>
      <c r="N32" s="160">
        <f t="shared" si="22"/>
        <v>2.1642195804530528E-2</v>
      </c>
      <c r="O32" s="29">
        <f t="shared" si="22"/>
        <v>4.9533678713363782E-2</v>
      </c>
      <c r="P32" s="29">
        <f t="shared" ref="P32" si="23">+P31/O31-1</f>
        <v>-5.5213452791330941E-2</v>
      </c>
      <c r="Q32" s="29">
        <f t="shared" ref="Q32" si="24">+Q31/P31-1</f>
        <v>8.5336606121391156E-3</v>
      </c>
      <c r="R32" s="30">
        <f t="shared" ref="R32" si="25">+R31/Q31-1</f>
        <v>3.4254562424511636E-3</v>
      </c>
      <c r="S32" s="27"/>
      <c r="T32" s="28">
        <f>T31/J31-1</f>
        <v>0.10062739219267836</v>
      </c>
      <c r="U32" s="29">
        <f>U31/K31-1</f>
        <v>-0.20120890714160855</v>
      </c>
      <c r="V32" s="1100"/>
      <c r="W32" s="28"/>
      <c r="X32" s="29"/>
      <c r="Y32" s="29"/>
      <c r="Z32" s="29"/>
      <c r="AA32" s="30"/>
    </row>
    <row r="33" spans="1:29" ht="12" customHeight="1">
      <c r="A33" s="31"/>
      <c r="B33" s="32"/>
      <c r="C33" s="32"/>
      <c r="D33" s="32"/>
      <c r="E33" s="32"/>
      <c r="F33" s="32"/>
      <c r="G33" s="32"/>
      <c r="H33" s="32"/>
      <c r="I33" s="32"/>
      <c r="J33" s="703"/>
      <c r="K33" s="32"/>
      <c r="L33" s="32"/>
      <c r="M33" s="32"/>
      <c r="N33" s="32"/>
      <c r="O33" s="32"/>
      <c r="P33" s="32"/>
      <c r="Q33" s="32"/>
      <c r="R33" s="32"/>
      <c r="S33" s="32"/>
      <c r="T33" s="32"/>
      <c r="U33" s="32"/>
      <c r="V33" s="32"/>
      <c r="W33" s="32"/>
      <c r="X33" s="32"/>
      <c r="Y33" s="32"/>
      <c r="Z33" s="32"/>
      <c r="AA33" s="32"/>
    </row>
    <row r="34" spans="1:29" ht="15.6" customHeight="1">
      <c r="A34" s="15" t="s">
        <v>346</v>
      </c>
      <c r="B34" s="15"/>
      <c r="C34" s="15"/>
      <c r="D34" s="15"/>
      <c r="E34" s="15"/>
      <c r="F34" s="15"/>
      <c r="G34" s="15"/>
      <c r="H34" s="15"/>
      <c r="I34" s="15"/>
      <c r="J34" s="695"/>
      <c r="K34" s="17"/>
      <c r="L34" s="17"/>
      <c r="M34" s="17"/>
      <c r="N34" s="17"/>
      <c r="O34" s="17"/>
      <c r="P34" s="17"/>
      <c r="Q34" s="17"/>
      <c r="R34" s="18"/>
      <c r="S34" s="18"/>
      <c r="T34" s="17"/>
      <c r="U34" s="17"/>
      <c r="V34" s="17"/>
      <c r="W34" s="17"/>
      <c r="X34" s="17"/>
      <c r="Y34" s="17"/>
      <c r="Z34" s="17"/>
      <c r="AA34" s="17"/>
    </row>
    <row r="35" spans="1:29" ht="12" customHeight="1">
      <c r="A35" s="15" t="s">
        <v>347</v>
      </c>
      <c r="B35" s="15"/>
      <c r="C35" s="15"/>
      <c r="D35" s="15"/>
      <c r="E35" s="15"/>
      <c r="F35" s="15"/>
      <c r="G35" s="15"/>
      <c r="H35" s="15"/>
      <c r="I35" s="15"/>
      <c r="J35" s="695"/>
      <c r="K35" s="17"/>
      <c r="L35" s="17"/>
      <c r="M35" s="17"/>
      <c r="N35" s="17"/>
      <c r="O35" s="17"/>
      <c r="P35" s="17"/>
      <c r="Q35" s="17"/>
      <c r="R35" s="17"/>
      <c r="S35" s="17"/>
      <c r="T35" s="17"/>
      <c r="U35" s="17"/>
      <c r="V35" s="17"/>
      <c r="W35" s="17"/>
      <c r="X35" s="17"/>
      <c r="Y35" s="17"/>
      <c r="Z35" s="17"/>
      <c r="AA35" s="17"/>
    </row>
    <row r="36" spans="1:29" ht="12" customHeight="1">
      <c r="A36" s="42" t="s">
        <v>348</v>
      </c>
      <c r="B36" s="21"/>
      <c r="C36" s="67">
        <v>930600.34893289395</v>
      </c>
      <c r="D36" s="22">
        <v>919625.31138188043</v>
      </c>
      <c r="E36" s="22">
        <v>858982.31546963041</v>
      </c>
      <c r="F36" s="22">
        <v>834238.24615940417</v>
      </c>
      <c r="G36" s="22">
        <v>845262.45849212434</v>
      </c>
      <c r="H36" s="22">
        <v>866705.2495430382</v>
      </c>
      <c r="I36" s="650">
        <v>873206.39616952243</v>
      </c>
      <c r="J36" s="927">
        <v>885874.09386866854</v>
      </c>
      <c r="K36" s="1433">
        <v>1001881.7629573552</v>
      </c>
      <c r="L36" s="1434">
        <v>1030657.867507395</v>
      </c>
      <c r="M36" s="1435">
        <v>990752.08791393205</v>
      </c>
      <c r="N36" s="1513">
        <v>1072674.0439340388</v>
      </c>
      <c r="O36" s="1454">
        <v>1085317.421932352</v>
      </c>
      <c r="P36" s="1454">
        <v>1069035.2955623134</v>
      </c>
      <c r="Q36" s="1454">
        <v>1042778.9331492627</v>
      </c>
      <c r="R36" s="1455">
        <v>1011201.8611669987</v>
      </c>
      <c r="S36" s="43"/>
      <c r="T36" s="1162">
        <v>866860.72054004832</v>
      </c>
      <c r="U36" s="1152">
        <v>905825.61369604012</v>
      </c>
      <c r="V36" s="1123"/>
      <c r="W36" s="649"/>
      <c r="X36" s="650"/>
      <c r="Y36" s="650"/>
      <c r="Z36" s="650"/>
      <c r="AA36" s="651"/>
    </row>
    <row r="37" spans="1:29" ht="12" customHeight="1">
      <c r="A37" s="44" t="s">
        <v>349</v>
      </c>
      <c r="B37" s="21"/>
      <c r="C37" s="37">
        <v>41681.571504752705</v>
      </c>
      <c r="D37" s="5">
        <v>50556.324898349667</v>
      </c>
      <c r="E37" s="5">
        <v>71694.895182720546</v>
      </c>
      <c r="F37" s="5">
        <v>98160.82617805757</v>
      </c>
      <c r="G37" s="5">
        <v>91588.709851581327</v>
      </c>
      <c r="H37" s="5">
        <v>83411.336557579372</v>
      </c>
      <c r="I37" s="645">
        <v>90060.633659137544</v>
      </c>
      <c r="J37" s="928">
        <v>100906.19570759276</v>
      </c>
      <c r="K37" s="1436">
        <v>-71629.776822873624</v>
      </c>
      <c r="L37" s="1437">
        <v>-50773.878665737808</v>
      </c>
      <c r="M37" s="1438">
        <v>62818.535457955906</v>
      </c>
      <c r="N37" s="1514">
        <v>-228643.18755825539</v>
      </c>
      <c r="O37" s="1456">
        <v>-167961.04501235066</v>
      </c>
      <c r="P37" s="1456">
        <v>-155439.11023921333</v>
      </c>
      <c r="Q37" s="1456">
        <v>-121621.36514086137</v>
      </c>
      <c r="R37" s="1457">
        <v>-77438.349388304166</v>
      </c>
      <c r="S37" s="43"/>
      <c r="T37" s="1163">
        <v>-60892.512737082507</v>
      </c>
      <c r="U37" s="1151">
        <f>U39-U36-U38</f>
        <v>-25610.968048413662</v>
      </c>
      <c r="V37" s="1124"/>
      <c r="W37" s="1180"/>
      <c r="X37" s="645"/>
      <c r="Y37" s="645"/>
      <c r="Z37" s="645"/>
      <c r="AA37" s="874"/>
    </row>
    <row r="38" spans="1:29" ht="12" customHeight="1">
      <c r="A38" s="44" t="s">
        <v>350</v>
      </c>
      <c r="B38" s="21"/>
      <c r="C38" s="37">
        <v>33017.984782509608</v>
      </c>
      <c r="D38" s="5">
        <v>37497.43373313854</v>
      </c>
      <c r="E38" s="5">
        <v>61438.903958662508</v>
      </c>
      <c r="F38" s="5">
        <v>35862.048843560631</v>
      </c>
      <c r="G38" s="5">
        <v>-39076.097796684648</v>
      </c>
      <c r="H38" s="5">
        <v>-107518.25142521536</v>
      </c>
      <c r="I38" s="645">
        <v>-132865.673564625</v>
      </c>
      <c r="J38" s="928">
        <v>-163753.35641653041</v>
      </c>
      <c r="K38" s="1436">
        <v>-59243.876670964601</v>
      </c>
      <c r="L38" s="1437">
        <v>2728.9767214246281</v>
      </c>
      <c r="M38" s="1438">
        <v>8315.3324829405137</v>
      </c>
      <c r="N38" s="1514">
        <v>710000.68033222796</v>
      </c>
      <c r="O38" s="1456">
        <v>643157.33628932701</v>
      </c>
      <c r="P38" s="1456">
        <v>594251.85364592914</v>
      </c>
      <c r="Q38" s="1456">
        <v>533279.72786363657</v>
      </c>
      <c r="R38" s="1457">
        <v>445017.60006568086</v>
      </c>
      <c r="S38" s="43"/>
      <c r="T38" s="1163">
        <v>127225.78795391619</v>
      </c>
      <c r="U38" s="1151">
        <v>257431.03622899009</v>
      </c>
      <c r="V38" s="1124"/>
      <c r="W38" s="1180"/>
      <c r="X38" s="645"/>
      <c r="Y38" s="645"/>
      <c r="Z38" s="645"/>
      <c r="AA38" s="874"/>
    </row>
    <row r="39" spans="1:29" ht="12" customHeight="1">
      <c r="A39" s="45" t="s">
        <v>351</v>
      </c>
      <c r="B39" s="21"/>
      <c r="C39" s="148">
        <f>SUM(C36:C38)</f>
        <v>1005299.9052201563</v>
      </c>
      <c r="D39" s="149">
        <f t="shared" ref="D39:J39" si="26">SUM(D36:D38)</f>
        <v>1007679.0700133686</v>
      </c>
      <c r="E39" s="149">
        <f t="shared" si="26"/>
        <v>992116.11461101344</v>
      </c>
      <c r="F39" s="149">
        <f t="shared" si="26"/>
        <v>968261.12118102238</v>
      </c>
      <c r="G39" s="149">
        <f t="shared" si="26"/>
        <v>897775.07054702111</v>
      </c>
      <c r="H39" s="149">
        <f t="shared" si="26"/>
        <v>842598.33467540215</v>
      </c>
      <c r="I39" s="149">
        <f t="shared" si="26"/>
        <v>830401.35626403498</v>
      </c>
      <c r="J39" s="926">
        <f t="shared" si="26"/>
        <v>823026.93315973086</v>
      </c>
      <c r="K39" s="1439">
        <f>K16/K41</f>
        <v>871008.10946351697</v>
      </c>
      <c r="L39" s="1440">
        <f t="shared" ref="L39:M39" si="27">L16/L41</f>
        <v>982612.96556308179</v>
      </c>
      <c r="M39" s="1441">
        <f t="shared" si="27"/>
        <v>1061885.9558548285</v>
      </c>
      <c r="N39" s="1515">
        <f>N16/N41</f>
        <v>1554031.5367080115</v>
      </c>
      <c r="O39" s="1458">
        <f t="shared" ref="O39:R39" si="28">O16/O41</f>
        <v>1560513.7132093282</v>
      </c>
      <c r="P39" s="1458">
        <f t="shared" si="28"/>
        <v>1507848.0389690292</v>
      </c>
      <c r="Q39" s="1458">
        <f t="shared" si="28"/>
        <v>1454437.2958720378</v>
      </c>
      <c r="R39" s="1459">
        <f t="shared" si="28"/>
        <v>1378781.1118443755</v>
      </c>
      <c r="S39" s="43"/>
      <c r="T39" s="1009">
        <f>T16/T41</f>
        <v>933193.99575688201</v>
      </c>
      <c r="U39" s="149">
        <f>U16/U41</f>
        <v>1137645.6818766166</v>
      </c>
      <c r="V39" s="926"/>
      <c r="W39" s="148"/>
      <c r="X39" s="149"/>
      <c r="Y39" s="149"/>
      <c r="Z39" s="149"/>
      <c r="AA39" s="150"/>
      <c r="AB39" s="1" t="s">
        <v>386</v>
      </c>
    </row>
    <row r="40" spans="1:29" ht="12" customHeight="1">
      <c r="A40" s="15" t="s">
        <v>352</v>
      </c>
      <c r="B40" s="15"/>
      <c r="C40" s="15"/>
      <c r="D40" s="15"/>
      <c r="E40" s="15"/>
      <c r="F40" s="15"/>
      <c r="G40" s="15"/>
      <c r="H40" s="15"/>
      <c r="I40" s="15"/>
      <c r="J40" s="695"/>
      <c r="K40" s="17"/>
      <c r="L40" s="17"/>
      <c r="M40" s="17"/>
      <c r="N40" s="17"/>
      <c r="O40" s="17"/>
      <c r="P40" s="17"/>
      <c r="Q40" s="17"/>
      <c r="R40" s="17"/>
      <c r="S40" s="51"/>
      <c r="T40" s="17"/>
      <c r="U40" s="51"/>
      <c r="V40" s="16"/>
      <c r="W40" s="16"/>
      <c r="X40" s="16"/>
      <c r="Y40" s="16"/>
      <c r="Z40" s="16"/>
      <c r="AA40" s="16"/>
    </row>
    <row r="41" spans="1:29" ht="12" customHeight="1">
      <c r="A41" s="52" t="s">
        <v>353</v>
      </c>
      <c r="B41" s="21"/>
      <c r="C41" s="121">
        <f t="shared" ref="C41:J41" si="29">C16/C39</f>
        <v>6.7799999999999985E-2</v>
      </c>
      <c r="D41" s="121">
        <f t="shared" si="29"/>
        <v>6.7599999999999993E-2</v>
      </c>
      <c r="E41" s="121">
        <f t="shared" si="29"/>
        <v>6.770000000000001E-2</v>
      </c>
      <c r="F41" s="121">
        <f t="shared" si="29"/>
        <v>5.8599999999999999E-2</v>
      </c>
      <c r="G41" s="121">
        <f t="shared" si="29"/>
        <v>5.8599999999999992E-2</v>
      </c>
      <c r="H41" s="121">
        <f t="shared" si="29"/>
        <v>5.8600000000000006E-2</v>
      </c>
      <c r="I41" s="121">
        <f t="shared" si="29"/>
        <v>5.8599999999999999E-2</v>
      </c>
      <c r="J41" s="807">
        <f t="shared" si="29"/>
        <v>5.8599999999999999E-2</v>
      </c>
      <c r="K41" s="1442">
        <v>3.4799999999999998E-2</v>
      </c>
      <c r="L41" s="1443">
        <v>3.4799999999999998E-2</v>
      </c>
      <c r="M41" s="1443">
        <v>3.4799999999999998E-2</v>
      </c>
      <c r="N41" s="1507">
        <v>2.8130776830668572E-2</v>
      </c>
      <c r="O41" s="1452">
        <v>2.8130776830668572E-2</v>
      </c>
      <c r="P41" s="1452">
        <v>2.8130776830668572E-2</v>
      </c>
      <c r="Q41" s="1452">
        <v>2.8130776830668572E-2</v>
      </c>
      <c r="R41" s="1453">
        <v>2.8130776830668572E-2</v>
      </c>
      <c r="S41" s="53"/>
      <c r="T41" s="871">
        <v>3.4799999999999998E-2</v>
      </c>
      <c r="U41" s="121">
        <v>3.4799999999999998E-2</v>
      </c>
      <c r="V41" s="1134"/>
      <c r="W41" s="1137"/>
      <c r="X41" s="54"/>
      <c r="Y41" s="54"/>
      <c r="Z41" s="54"/>
      <c r="AA41" s="55"/>
    </row>
    <row r="42" spans="1:29" ht="12" customHeight="1">
      <c r="A42" s="56" t="s">
        <v>354</v>
      </c>
      <c r="B42" s="21"/>
      <c r="C42" s="118">
        <v>0.1154</v>
      </c>
      <c r="D42" s="117">
        <v>0.1154</v>
      </c>
      <c r="E42" s="117">
        <v>0.1154</v>
      </c>
      <c r="F42" s="117">
        <v>0.109</v>
      </c>
      <c r="G42" s="117">
        <v>0.109</v>
      </c>
      <c r="H42" s="117">
        <v>0.109</v>
      </c>
      <c r="I42" s="656">
        <v>0.109</v>
      </c>
      <c r="J42" s="808">
        <v>0.109</v>
      </c>
      <c r="K42" s="1444">
        <v>4.4929999999999998E-2</v>
      </c>
      <c r="L42" s="1445">
        <v>4.4929999999999998E-2</v>
      </c>
      <c r="M42" s="1445">
        <v>4.4929999999999998E-2</v>
      </c>
      <c r="N42" s="1508">
        <v>4.3400000000000001E-2</v>
      </c>
      <c r="O42" s="1460">
        <v>4.3400000000000001E-2</v>
      </c>
      <c r="P42" s="1460">
        <v>4.3400000000000001E-2</v>
      </c>
      <c r="Q42" s="1460">
        <f xml:space="preserve"> AVERAGE( 3.3, 5.51 ) / 100</f>
        <v>4.4049999999999992E-2</v>
      </c>
      <c r="R42" s="1461">
        <v>4.3400000000000001E-2</v>
      </c>
      <c r="S42" s="657"/>
      <c r="T42" s="1033">
        <f>K42</f>
        <v>4.4929999999999998E-2</v>
      </c>
      <c r="U42" s="1153">
        <f>L42</f>
        <v>4.4929999999999998E-2</v>
      </c>
      <c r="V42" s="1135"/>
      <c r="W42" s="1138"/>
      <c r="X42" s="57"/>
      <c r="Y42" s="57"/>
      <c r="Z42" s="57"/>
      <c r="AA42" s="58"/>
    </row>
    <row r="43" spans="1:29" ht="12" customHeight="1">
      <c r="A43" s="56" t="s">
        <v>355</v>
      </c>
      <c r="B43" s="21"/>
      <c r="C43" s="118">
        <v>3.5799999999999998E-2</v>
      </c>
      <c r="D43" s="117">
        <v>3.5799999999999998E-2</v>
      </c>
      <c r="E43" s="117">
        <v>3.5799999999999998E-2</v>
      </c>
      <c r="F43" s="117">
        <v>2.5000000000000001E-2</v>
      </c>
      <c r="G43" s="117">
        <v>2.5000000000000001E-2</v>
      </c>
      <c r="H43" s="117">
        <v>2.5000000000000001E-2</v>
      </c>
      <c r="I43" s="656">
        <v>2.5000000000000001E-2</v>
      </c>
      <c r="J43" s="808">
        <v>2.5000000000000001E-2</v>
      </c>
      <c r="K43" s="1444">
        <v>1.1173000000000002E-2</v>
      </c>
      <c r="L43" s="1445">
        <v>1.1173000000000002E-2</v>
      </c>
      <c r="M43" s="1445">
        <v>1.1173000000000002E-2</v>
      </c>
      <c r="N43" s="1508">
        <v>-8.8999999999999999E-3</v>
      </c>
      <c r="O43" s="1460">
        <v>-8.8999999999999999E-3</v>
      </c>
      <c r="P43" s="1460">
        <v>-8.8999999999999999E-3</v>
      </c>
      <c r="Q43" s="1460">
        <v>-8.8999999999999999E-3</v>
      </c>
      <c r="R43" s="1461">
        <v>-8.8999999999999999E-3</v>
      </c>
      <c r="S43" s="657"/>
      <c r="T43" s="1033">
        <v>1.1173000000000002E-2</v>
      </c>
      <c r="U43" s="1153">
        <v>1.1173000000000002E-2</v>
      </c>
      <c r="V43" s="1135"/>
      <c r="W43" s="1138"/>
      <c r="X43" s="57"/>
      <c r="Y43" s="57"/>
      <c r="Z43" s="57"/>
      <c r="AA43" s="58"/>
    </row>
    <row r="44" spans="1:29" ht="12" customHeight="1">
      <c r="A44" s="137" t="s">
        <v>356</v>
      </c>
      <c r="B44" s="21"/>
      <c r="C44" s="120">
        <v>0.40200000000000002</v>
      </c>
      <c r="D44" s="119">
        <v>0.39949999999999997</v>
      </c>
      <c r="E44" s="119">
        <v>0.40080000000000005</v>
      </c>
      <c r="F44" s="119">
        <v>0.4</v>
      </c>
      <c r="G44" s="119">
        <v>0.4</v>
      </c>
      <c r="H44" s="119">
        <v>0.4</v>
      </c>
      <c r="I44" s="659">
        <v>0.4</v>
      </c>
      <c r="J44" s="809">
        <v>0.4</v>
      </c>
      <c r="K44" s="1446">
        <v>0.7</v>
      </c>
      <c r="L44" s="1447">
        <v>0.7</v>
      </c>
      <c r="M44" s="1447">
        <v>0.7</v>
      </c>
      <c r="N44" s="1509">
        <v>0.7</v>
      </c>
      <c r="O44" s="1462">
        <v>0.7</v>
      </c>
      <c r="P44" s="1462">
        <v>0.7</v>
      </c>
      <c r="Q44" s="1462">
        <v>0.7</v>
      </c>
      <c r="R44" s="1463">
        <v>0.7</v>
      </c>
      <c r="S44" s="660"/>
      <c r="T44" s="1164">
        <v>0.7</v>
      </c>
      <c r="U44" s="1154">
        <v>0.7</v>
      </c>
      <c r="V44" s="1136"/>
      <c r="W44" s="103"/>
      <c r="X44" s="61"/>
      <c r="Y44" s="61"/>
      <c r="Z44" s="61"/>
      <c r="AA44" s="62"/>
    </row>
    <row r="45" spans="1:29" ht="5.45" customHeight="1">
      <c r="A45" s="17"/>
      <c r="K45" s="144"/>
      <c r="L45" s="144"/>
      <c r="M45" s="144"/>
      <c r="N45" s="144"/>
      <c r="O45" s="144"/>
      <c r="P45" s="144"/>
      <c r="Q45" s="144"/>
      <c r="R45" s="144"/>
      <c r="S45" s="59"/>
      <c r="T45" s="144"/>
      <c r="U45" s="144"/>
      <c r="V45" s="662"/>
      <c r="W45" s="146"/>
      <c r="X45" s="146"/>
      <c r="Y45" s="146"/>
      <c r="Z45" s="146"/>
      <c r="AA45" s="146"/>
    </row>
    <row r="46" spans="1:29" s="605" customFormat="1" ht="12" customHeight="1">
      <c r="A46" s="71" t="s">
        <v>357</v>
      </c>
      <c r="B46" s="2"/>
      <c r="C46" s="663"/>
      <c r="D46" s="2"/>
      <c r="E46" s="2"/>
      <c r="F46" s="2"/>
      <c r="G46" s="2"/>
      <c r="H46" s="2"/>
      <c r="I46" s="2"/>
      <c r="J46" s="641"/>
      <c r="K46" s="27"/>
      <c r="L46" s="27"/>
      <c r="M46" s="27"/>
      <c r="N46" s="27"/>
      <c r="O46" s="27"/>
      <c r="P46" s="27"/>
      <c r="Q46" s="27"/>
      <c r="R46" s="27"/>
      <c r="S46" s="604"/>
      <c r="T46" s="27"/>
      <c r="U46" s="27"/>
      <c r="V46" s="604"/>
      <c r="W46" s="604"/>
      <c r="X46" s="604"/>
      <c r="Y46" s="604"/>
      <c r="Z46" s="604"/>
      <c r="AA46" s="604"/>
      <c r="AB46" s="1"/>
      <c r="AC46" s="1"/>
    </row>
    <row r="47" spans="1:29" s="605" customFormat="1" ht="12" customHeight="1">
      <c r="A47" s="126" t="s">
        <v>358</v>
      </c>
      <c r="B47" s="123"/>
      <c r="C47" s="810"/>
      <c r="D47" s="664"/>
      <c r="E47" s="664"/>
      <c r="F47" s="128">
        <v>8958</v>
      </c>
      <c r="G47" s="128">
        <v>10651.470209999999</v>
      </c>
      <c r="H47" s="128">
        <v>11884.69994</v>
      </c>
      <c r="I47" s="930">
        <v>7436.3770000000004</v>
      </c>
      <c r="J47" s="828">
        <v>4629.0448500000002</v>
      </c>
      <c r="K47" s="1021">
        <v>5008.7809000000007</v>
      </c>
      <c r="L47" s="128">
        <v>5497.9521600000007</v>
      </c>
      <c r="M47" s="128">
        <v>5518.6840499999989</v>
      </c>
      <c r="N47" s="128">
        <v>4628.2220700000007</v>
      </c>
      <c r="O47" s="128">
        <v>4578.2959900000005</v>
      </c>
      <c r="P47" s="128">
        <v>4848.9783399999997</v>
      </c>
      <c r="Q47" s="128">
        <v>5020.6686399999999</v>
      </c>
      <c r="R47" s="1022">
        <v>5144.4383499999994</v>
      </c>
      <c r="S47" s="619"/>
      <c r="T47" s="1165">
        <v>3015.2216100000001</v>
      </c>
      <c r="U47" s="1155">
        <v>2967.009779999999</v>
      </c>
      <c r="V47" s="1106"/>
      <c r="W47" s="1182"/>
      <c r="X47" s="608"/>
      <c r="Y47" s="608"/>
      <c r="Z47" s="608"/>
      <c r="AA47" s="609"/>
      <c r="AB47" s="1"/>
      <c r="AC47" s="1"/>
    </row>
    <row r="48" spans="1:29" ht="5.45" customHeight="1">
      <c r="A48" s="17"/>
      <c r="K48" s="144"/>
      <c r="L48" s="144"/>
      <c r="M48" s="144"/>
      <c r="N48" s="144"/>
      <c r="O48" s="144"/>
      <c r="P48" s="144"/>
      <c r="Q48" s="144"/>
      <c r="R48" s="144"/>
      <c r="S48" s="59"/>
      <c r="T48" s="144"/>
      <c r="U48" s="1420"/>
      <c r="V48" s="145"/>
      <c r="W48" s="146"/>
      <c r="X48" s="146"/>
      <c r="Y48" s="146"/>
      <c r="Z48" s="146"/>
      <c r="AA48" s="146"/>
    </row>
    <row r="49" spans="1:29" s="615" customFormat="1" ht="12" customHeight="1">
      <c r="A49" s="71" t="s">
        <v>359</v>
      </c>
      <c r="B49" s="2"/>
      <c r="C49" s="2"/>
      <c r="D49" s="2"/>
      <c r="E49" s="2"/>
      <c r="F49" s="2"/>
      <c r="G49" s="2"/>
      <c r="H49" s="2"/>
      <c r="I49" s="2"/>
      <c r="J49" s="641"/>
      <c r="K49" s="27"/>
      <c r="L49" s="27"/>
      <c r="M49" s="27"/>
      <c r="N49" s="27"/>
      <c r="O49" s="27"/>
      <c r="P49" s="27"/>
      <c r="Q49" s="27"/>
      <c r="R49" s="27"/>
      <c r="S49" s="604"/>
      <c r="T49" s="27"/>
      <c r="U49" s="27"/>
      <c r="V49" s="604"/>
      <c r="W49" s="604"/>
      <c r="X49" s="604"/>
      <c r="Y49" s="604"/>
      <c r="Z49" s="604"/>
      <c r="AA49" s="604"/>
      <c r="AB49" s="1"/>
      <c r="AC49" s="1"/>
    </row>
    <row r="50" spans="1:29" ht="12" customHeight="1">
      <c r="A50" s="42" t="s">
        <v>360</v>
      </c>
      <c r="B50" s="21"/>
      <c r="C50" s="665"/>
      <c r="D50" s="665"/>
      <c r="E50" s="665"/>
      <c r="F50" s="665"/>
      <c r="G50" s="665"/>
      <c r="H50" s="665"/>
      <c r="I50" s="665"/>
      <c r="J50" s="733"/>
      <c r="K50" s="1023">
        <v>170372.82190614694</v>
      </c>
      <c r="L50" s="1024">
        <v>142455.77851836776</v>
      </c>
      <c r="M50" s="1024">
        <v>127877.64901803236</v>
      </c>
      <c r="N50" s="1510">
        <f xml:space="preserve"> N15</f>
        <v>118915.3459705002</v>
      </c>
      <c r="O50" s="1398">
        <f t="shared" ref="O50:R50" si="30" xml:space="preserve"> O15</f>
        <v>130588.93970616173</v>
      </c>
      <c r="P50" s="1398">
        <f t="shared" si="30"/>
        <v>131307.98972254462</v>
      </c>
      <c r="Q50" s="1398">
        <f t="shared" si="30"/>
        <v>132575.11898075874</v>
      </c>
      <c r="R50" s="1399">
        <f t="shared" si="30"/>
        <v>131443.10977615163</v>
      </c>
      <c r="S50" s="43"/>
      <c r="T50" s="1133">
        <v>170677.0157604987</v>
      </c>
      <c r="U50" s="1421">
        <f>U15</f>
        <v>142628.60228247431</v>
      </c>
      <c r="V50" s="1183"/>
      <c r="W50" s="1133"/>
      <c r="X50" s="33"/>
      <c r="Y50" s="33"/>
      <c r="Z50" s="33"/>
      <c r="AA50" s="34"/>
    </row>
    <row r="51" spans="1:29" ht="12" customHeight="1">
      <c r="A51" s="44" t="s">
        <v>361</v>
      </c>
      <c r="B51" s="21"/>
      <c r="C51" s="666"/>
      <c r="D51" s="666"/>
      <c r="E51" s="666"/>
      <c r="F51" s="666"/>
      <c r="G51" s="666"/>
      <c r="H51" s="666"/>
      <c r="I51" s="666"/>
      <c r="J51" s="734"/>
      <c r="K51" s="1025">
        <v>30311.082209330387</v>
      </c>
      <c r="L51" s="27">
        <v>34194.931201595246</v>
      </c>
      <c r="M51" s="27">
        <v>36953.63126374803</v>
      </c>
      <c r="N51" s="1511">
        <f xml:space="preserve"> N16</f>
        <v>43716.114346954004</v>
      </c>
      <c r="O51" s="1400">
        <f t="shared" ref="O51:R51" si="31" xml:space="preserve"> O16</f>
        <v>43898.463007489554</v>
      </c>
      <c r="P51" s="1400">
        <f t="shared" si="31"/>
        <v>42416.936678799007</v>
      </c>
      <c r="Q51" s="1400">
        <f t="shared" si="31"/>
        <v>40914.45098437737</v>
      </c>
      <c r="R51" s="1401">
        <f t="shared" si="31"/>
        <v>38786.183755635211</v>
      </c>
      <c r="S51" s="43"/>
      <c r="T51" s="1130">
        <v>32475.15105233949</v>
      </c>
      <c r="U51" s="1422">
        <f>U16</f>
        <v>39590.069729306255</v>
      </c>
      <c r="V51" s="1184"/>
      <c r="W51" s="1130"/>
      <c r="X51" s="35"/>
      <c r="Y51" s="35"/>
      <c r="Z51" s="35"/>
      <c r="AA51" s="36"/>
    </row>
    <row r="52" spans="1:29" ht="12" customHeight="1">
      <c r="A52" s="137" t="s">
        <v>362</v>
      </c>
      <c r="B52" s="21"/>
      <c r="C52" s="599"/>
      <c r="D52" s="599"/>
      <c r="E52" s="599"/>
      <c r="F52" s="599"/>
      <c r="G52" s="599"/>
      <c r="H52" s="599"/>
      <c r="I52" s="599"/>
      <c r="J52" s="735"/>
      <c r="K52" s="1448">
        <v>5535.0826435169929</v>
      </c>
      <c r="L52" s="1449">
        <v>5572.8627877568151</v>
      </c>
      <c r="M52" s="1449">
        <v>5503.031456065165</v>
      </c>
      <c r="N52" s="1512">
        <v>5509.9447430880418</v>
      </c>
      <c r="O52" s="1464">
        <v>5538.0159200036942</v>
      </c>
      <c r="P52" s="1464">
        <v>5517.5611789475633</v>
      </c>
      <c r="Q52" s="1464">
        <v>6181.972673901133</v>
      </c>
      <c r="R52" s="1465">
        <v>6110.7036691245657</v>
      </c>
      <c r="S52" s="59"/>
      <c r="T52" s="1166">
        <v>5504.6754100000007</v>
      </c>
      <c r="U52" s="1423">
        <v>5218.6033700000007</v>
      </c>
      <c r="V52" s="1185"/>
      <c r="W52" s="103"/>
      <c r="X52" s="61"/>
      <c r="Y52" s="61"/>
      <c r="Z52" s="61"/>
      <c r="AA52" s="62"/>
    </row>
    <row r="53" spans="1:29" ht="5.45" customHeight="1">
      <c r="A53" s="17"/>
      <c r="K53" s="144"/>
      <c r="L53" s="144"/>
      <c r="M53" s="144"/>
      <c r="N53" s="144"/>
      <c r="O53" s="144"/>
      <c r="P53" s="144"/>
      <c r="Q53" s="144"/>
      <c r="R53" s="144"/>
      <c r="S53" s="59"/>
      <c r="T53" s="144"/>
      <c r="U53" s="144"/>
      <c r="V53" s="145"/>
      <c r="W53" s="146"/>
      <c r="X53" s="146"/>
      <c r="Y53" s="146"/>
      <c r="Z53" s="146"/>
      <c r="AA53" s="146"/>
    </row>
    <row r="54" spans="1:29" s="615" customFormat="1" ht="12" customHeight="1">
      <c r="A54" s="71" t="s">
        <v>363</v>
      </c>
      <c r="B54" s="2"/>
      <c r="C54" s="2"/>
      <c r="D54" s="2"/>
      <c r="E54" s="2"/>
      <c r="F54" s="2"/>
      <c r="G54" s="2"/>
      <c r="H54" s="2"/>
      <c r="I54" s="2"/>
      <c r="J54" s="641"/>
      <c r="K54" s="27"/>
      <c r="L54" s="27"/>
      <c r="M54" s="27"/>
      <c r="N54" s="27"/>
      <c r="O54" s="27"/>
      <c r="P54" s="27"/>
      <c r="Q54" s="27"/>
      <c r="R54" s="27"/>
      <c r="S54" s="604"/>
      <c r="T54" s="27"/>
      <c r="U54" s="27"/>
      <c r="V54" s="604"/>
      <c r="W54" s="604"/>
      <c r="X54" s="604"/>
      <c r="Y54" s="604"/>
      <c r="Z54" s="604"/>
      <c r="AA54" s="604"/>
      <c r="AB54" s="1"/>
      <c r="AC54" s="1"/>
    </row>
    <row r="55" spans="1:29" s="615" customFormat="1" ht="12" customHeight="1">
      <c r="A55" s="122" t="s">
        <v>364</v>
      </c>
      <c r="B55" s="123"/>
      <c r="C55" s="668"/>
      <c r="D55" s="669"/>
      <c r="E55" s="669"/>
      <c r="F55" s="669"/>
      <c r="G55" s="669"/>
      <c r="H55" s="669"/>
      <c r="I55" s="670"/>
      <c r="J55" s="736"/>
      <c r="K55" s="668"/>
      <c r="L55" s="669"/>
      <c r="M55" s="669"/>
      <c r="N55" s="669"/>
      <c r="O55" s="669"/>
      <c r="P55" s="669"/>
      <c r="Q55" s="669"/>
      <c r="R55" s="1117"/>
      <c r="S55" s="619"/>
      <c r="T55" s="668"/>
      <c r="U55" s="669"/>
      <c r="V55" s="1186"/>
      <c r="W55" s="1189"/>
      <c r="X55" s="671"/>
      <c r="Y55" s="671"/>
      <c r="Z55" s="671"/>
      <c r="AA55" s="672"/>
    </row>
    <row r="56" spans="1:29" ht="12" customHeight="1">
      <c r="A56" s="44" t="s">
        <v>365</v>
      </c>
      <c r="B56" s="21"/>
      <c r="C56" s="673"/>
      <c r="D56" s="666"/>
      <c r="E56" s="666"/>
      <c r="F56" s="666"/>
      <c r="G56" s="666"/>
      <c r="H56" s="666"/>
      <c r="I56" s="666"/>
      <c r="J56" s="737"/>
      <c r="K56" s="673"/>
      <c r="L56" s="666"/>
      <c r="M56" s="666"/>
      <c r="N56" s="666"/>
      <c r="O56" s="666"/>
      <c r="P56" s="666"/>
      <c r="Q56" s="666"/>
      <c r="R56" s="674"/>
      <c r="S56" s="43"/>
      <c r="T56" s="673"/>
      <c r="U56" s="666"/>
      <c r="V56" s="1187"/>
      <c r="W56" s="1129"/>
      <c r="X56" s="675"/>
      <c r="Y56" s="675"/>
      <c r="Z56" s="675"/>
      <c r="AA56" s="676"/>
    </row>
    <row r="57" spans="1:29" ht="12" customHeight="1">
      <c r="A57" s="137" t="s">
        <v>366</v>
      </c>
      <c r="B57" s="21"/>
      <c r="C57" s="598"/>
      <c r="D57" s="599"/>
      <c r="E57" s="599"/>
      <c r="F57" s="599"/>
      <c r="G57" s="599"/>
      <c r="H57" s="599"/>
      <c r="I57" s="599"/>
      <c r="J57" s="738"/>
      <c r="K57" s="598"/>
      <c r="L57" s="599"/>
      <c r="M57" s="599"/>
      <c r="N57" s="599"/>
      <c r="O57" s="599"/>
      <c r="P57" s="599"/>
      <c r="Q57" s="599"/>
      <c r="R57" s="600"/>
      <c r="S57" s="59"/>
      <c r="T57" s="598"/>
      <c r="U57" s="599"/>
      <c r="V57" s="1188"/>
      <c r="W57" s="1190"/>
      <c r="X57" s="602"/>
      <c r="Y57" s="602"/>
      <c r="Z57" s="602"/>
      <c r="AA57" s="603"/>
    </row>
    <row r="58" spans="1:29" ht="12" customHeight="1">
      <c r="A58" s="138"/>
      <c r="B58" s="139"/>
      <c r="C58" s="139"/>
      <c r="D58" s="139"/>
      <c r="E58" s="139"/>
      <c r="F58" s="139"/>
      <c r="G58" s="139"/>
      <c r="H58" s="139"/>
      <c r="I58" s="139"/>
      <c r="J58" s="739"/>
      <c r="K58" s="140"/>
      <c r="L58" s="140"/>
      <c r="M58" s="140"/>
      <c r="N58" s="140"/>
      <c r="O58" s="140"/>
      <c r="P58" s="140"/>
      <c r="Q58" s="140"/>
      <c r="R58" s="140"/>
      <c r="S58" s="677"/>
      <c r="T58" s="140"/>
      <c r="U58" s="140"/>
      <c r="V58" s="627"/>
      <c r="W58" s="627"/>
      <c r="X58" s="627"/>
      <c r="Y58" s="627"/>
      <c r="Z58" s="627"/>
      <c r="AA58" s="627"/>
    </row>
    <row r="59" spans="1:29" ht="15.6" customHeight="1">
      <c r="A59" s="15" t="s">
        <v>367</v>
      </c>
      <c r="B59" s="15"/>
      <c r="C59" s="15"/>
      <c r="D59" s="15"/>
      <c r="E59" s="15"/>
      <c r="F59" s="15"/>
      <c r="G59" s="15"/>
      <c r="H59" s="15"/>
      <c r="I59" s="15"/>
      <c r="J59" s="695"/>
      <c r="K59" s="17"/>
      <c r="L59" s="17"/>
      <c r="M59" s="17"/>
      <c r="N59" s="17"/>
      <c r="O59" s="17"/>
      <c r="P59" s="17"/>
      <c r="Q59" s="17"/>
      <c r="R59" s="18"/>
      <c r="S59" s="18"/>
      <c r="T59" s="17"/>
      <c r="U59" s="17"/>
      <c r="V59" s="19"/>
      <c r="W59" s="19"/>
      <c r="X59" s="19"/>
      <c r="Y59" s="19"/>
      <c r="Z59" s="19"/>
      <c r="AA59" s="19"/>
    </row>
    <row r="60" spans="1:29" ht="12" customHeight="1">
      <c r="A60" s="66" t="s">
        <v>368</v>
      </c>
      <c r="B60" s="21"/>
      <c r="C60" s="67"/>
      <c r="D60" s="22"/>
      <c r="E60" s="22"/>
      <c r="F60" s="22"/>
      <c r="G60" s="22"/>
      <c r="H60" s="22"/>
      <c r="I60" s="650"/>
      <c r="J60" s="728"/>
      <c r="K60" s="67"/>
      <c r="L60" s="22"/>
      <c r="M60" s="23"/>
      <c r="N60" s="158"/>
      <c r="O60" s="22"/>
      <c r="P60" s="22"/>
      <c r="Q60" s="22"/>
      <c r="R60" s="23"/>
      <c r="S60" s="26"/>
      <c r="T60" s="67"/>
      <c r="U60" s="650"/>
      <c r="V60" s="652"/>
      <c r="W60" s="33"/>
      <c r="X60" s="33"/>
      <c r="Y60" s="33"/>
      <c r="Z60" s="33"/>
      <c r="AA60" s="34"/>
    </row>
    <row r="61" spans="1:29" s="143" customFormat="1" ht="12" customHeight="1">
      <c r="A61" s="147" t="s">
        <v>369</v>
      </c>
      <c r="B61" s="7"/>
      <c r="C61" s="148">
        <f t="shared" ref="C61:O61" si="32">C18-C60</f>
        <v>572692.66545497626</v>
      </c>
      <c r="D61" s="149">
        <f t="shared" si="32"/>
        <v>635977.52671386418</v>
      </c>
      <c r="E61" s="149">
        <f t="shared" si="32"/>
        <v>583336.31757030333</v>
      </c>
      <c r="F61" s="149">
        <f t="shared" si="32"/>
        <v>573075.10170120792</v>
      </c>
      <c r="G61" s="149">
        <f t="shared" si="32"/>
        <v>577164.61819707043</v>
      </c>
      <c r="H61" s="149">
        <f t="shared" si="32"/>
        <v>567866.7639570391</v>
      </c>
      <c r="I61" s="149">
        <f t="shared" si="32"/>
        <v>602995.23376340931</v>
      </c>
      <c r="J61" s="717">
        <f t="shared" si="32"/>
        <v>619030.27283228538</v>
      </c>
      <c r="K61" s="148">
        <f>K18-K60</f>
        <v>689955.37778031058</v>
      </c>
      <c r="L61" s="149">
        <f t="shared" si="32"/>
        <v>674270.83242374472</v>
      </c>
      <c r="M61" s="150">
        <f t="shared" si="32"/>
        <v>688739.42261568108</v>
      </c>
      <c r="N61" s="1230">
        <f t="shared" si="32"/>
        <v>703645.25605822913</v>
      </c>
      <c r="O61" s="149">
        <f t="shared" si="32"/>
        <v>738499.39409999968</v>
      </c>
      <c r="P61" s="149">
        <f t="shared" ref="P61:R61" si="33">P18-P60</f>
        <v>697724.29266743315</v>
      </c>
      <c r="Q61" s="149">
        <f t="shared" si="33"/>
        <v>703678.43498190166</v>
      </c>
      <c r="R61" s="150">
        <f t="shared" si="33"/>
        <v>706088.85466968874</v>
      </c>
      <c r="S61" s="68"/>
      <c r="T61" s="148">
        <f>T18-T60</f>
        <v>681321.6748757204</v>
      </c>
      <c r="U61" s="149">
        <f>U18-U60</f>
        <v>551130.21024065849</v>
      </c>
      <c r="V61" s="149"/>
      <c r="W61" s="69"/>
      <c r="X61" s="69"/>
      <c r="Y61" s="69"/>
      <c r="Z61" s="69"/>
      <c r="AA61" s="70"/>
    </row>
    <row r="62" spans="1:29" s="77" customFormat="1" ht="12" customHeight="1">
      <c r="A62" s="17"/>
      <c r="B62" s="2"/>
      <c r="C62" s="2"/>
      <c r="D62" s="2"/>
      <c r="E62" s="2"/>
      <c r="F62" s="2"/>
      <c r="G62" s="2"/>
      <c r="H62" s="2"/>
      <c r="I62" s="2"/>
      <c r="J62" s="641"/>
      <c r="K62" s="65"/>
      <c r="L62" s="65"/>
      <c r="M62" s="65"/>
      <c r="N62" s="65"/>
      <c r="O62" s="65"/>
      <c r="P62" s="65"/>
      <c r="Q62" s="65"/>
      <c r="R62" s="65"/>
      <c r="S62" s="64"/>
      <c r="T62" s="65"/>
      <c r="U62" s="65"/>
      <c r="V62" s="63"/>
      <c r="W62" s="63"/>
      <c r="X62" s="63"/>
      <c r="Y62" s="63"/>
      <c r="Z62" s="63"/>
      <c r="AA62" s="63"/>
    </row>
    <row r="63" spans="1:29" ht="15.6" customHeight="1">
      <c r="A63" s="15" t="s">
        <v>370</v>
      </c>
      <c r="B63" s="15"/>
      <c r="C63" s="15"/>
      <c r="D63" s="15"/>
      <c r="E63" s="15"/>
      <c r="F63" s="15"/>
      <c r="G63" s="15"/>
      <c r="H63" s="15"/>
      <c r="I63" s="15"/>
      <c r="J63" s="695"/>
      <c r="K63" s="17"/>
      <c r="L63" s="17"/>
      <c r="M63" s="17"/>
      <c r="N63" s="17"/>
      <c r="O63" s="17"/>
      <c r="P63" s="17"/>
      <c r="Q63" s="17"/>
      <c r="R63" s="18"/>
      <c r="S63" s="18"/>
      <c r="T63" s="17"/>
      <c r="U63" s="17"/>
      <c r="V63" s="19"/>
      <c r="W63" s="19"/>
      <c r="X63" s="19"/>
      <c r="Y63" s="19"/>
      <c r="Z63" s="19"/>
      <c r="AA63" s="19"/>
    </row>
    <row r="64" spans="1:29" s="90" customFormat="1" ht="12" customHeight="1">
      <c r="A64" s="42" t="s">
        <v>371</v>
      </c>
      <c r="B64" s="2"/>
      <c r="C64" s="72">
        <f>'T1'!C64</f>
        <v>2.8000000000000001E-2</v>
      </c>
      <c r="D64" s="73">
        <f>'T1'!D64</f>
        <v>2.5999999999999999E-2</v>
      </c>
      <c r="E64" s="73">
        <f>'T1'!E64</f>
        <v>1.4999999999999999E-2</v>
      </c>
      <c r="F64" s="73">
        <f>'T1'!F64</f>
        <v>0</v>
      </c>
      <c r="G64" s="73">
        <f>'T1'!G64</f>
        <v>7.0000000000000001E-3</v>
      </c>
      <c r="H64" s="73">
        <f>'T1'!H64</f>
        <v>2.7E-2</v>
      </c>
      <c r="I64" s="73">
        <f>'T1'!I64</f>
        <v>2.5000000000000001E-2</v>
      </c>
      <c r="J64" s="740">
        <f>'T1'!J64</f>
        <v>1.7999999999999999E-2</v>
      </c>
      <c r="K64" s="72">
        <f>'T1'!K64</f>
        <v>2.0000000000000132E-2</v>
      </c>
      <c r="L64" s="73">
        <f>'T1'!L64</f>
        <v>1.9999999999999799E-2</v>
      </c>
      <c r="M64" s="74">
        <f>'T1'!M64</f>
        <v>2.0000000000000205E-2</v>
      </c>
      <c r="N64" s="1231">
        <f>'T1'!N64</f>
        <v>4.0419530703928341E-2</v>
      </c>
      <c r="O64" s="73">
        <f>'T1'!O64</f>
        <v>1.5350874280278148E-2</v>
      </c>
      <c r="P64" s="73">
        <f>'T1'!P64</f>
        <v>1.8799526478357587E-2</v>
      </c>
      <c r="Q64" s="73">
        <f>'T1'!Q64</f>
        <v>1.9999999999999796E-2</v>
      </c>
      <c r="R64" s="74">
        <f>'T1'!R64</f>
        <v>1.9999999999999574E-2</v>
      </c>
      <c r="S64" s="75"/>
      <c r="T64" s="72">
        <f>'T1'!T64</f>
        <v>8.9999999999999993E-3</v>
      </c>
      <c r="U64" s="73">
        <f>'T1'!U64</f>
        <v>2.5999999999999999E-2</v>
      </c>
      <c r="V64" s="73">
        <f>'T1'!V64</f>
        <v>2.7E-2</v>
      </c>
      <c r="W64" s="73"/>
      <c r="X64" s="73"/>
      <c r="Y64" s="73"/>
      <c r="Z64" s="73"/>
      <c r="AA64" s="76"/>
    </row>
    <row r="65" spans="1:27" s="77" customFormat="1" ht="12" customHeight="1">
      <c r="A65" s="44" t="s">
        <v>372</v>
      </c>
      <c r="B65" s="2"/>
      <c r="C65" s="78">
        <f>'T1'!C65</f>
        <v>92.851020823042745</v>
      </c>
      <c r="D65" s="79">
        <f>'T1'!D65</f>
        <v>95.265147364441859</v>
      </c>
      <c r="E65" s="79">
        <f>'T1'!E65</f>
        <v>96.694124574908471</v>
      </c>
      <c r="F65" s="79">
        <f>'T1'!F65</f>
        <v>96.694124574908471</v>
      </c>
      <c r="G65" s="79">
        <f>'T1'!G65</f>
        <v>97.370983446932826</v>
      </c>
      <c r="H65" s="79">
        <f>'T1'!H65</f>
        <v>100</v>
      </c>
      <c r="I65" s="79">
        <f>'T1'!I65</f>
        <v>102.49999999999999</v>
      </c>
      <c r="J65" s="718">
        <f>'T1'!J65</f>
        <v>104.34499999999998</v>
      </c>
      <c r="K65" s="78">
        <f>'T1'!K65</f>
        <v>106.44304700754894</v>
      </c>
      <c r="L65" s="79">
        <f>'T1'!L65</f>
        <v>108.5719079476999</v>
      </c>
      <c r="M65" s="80">
        <f>'T1'!M65</f>
        <v>110.74334610665392</v>
      </c>
      <c r="N65" s="1214">
        <f>'T1'!N65</f>
        <v>115.21954018486758</v>
      </c>
      <c r="O65" s="79">
        <f>'T1'!O65</f>
        <v>116.98826086087693</v>
      </c>
      <c r="P65" s="79">
        <f>'T1'!P65</f>
        <v>119.187584768588</v>
      </c>
      <c r="Q65" s="79">
        <f>'T1'!Q65</f>
        <v>121.57133646395974</v>
      </c>
      <c r="R65" s="80">
        <f>'T1'!R65</f>
        <v>124.00276319323888</v>
      </c>
      <c r="S65" s="81"/>
      <c r="T65" s="78">
        <f>'T1'!T65</f>
        <v>105.28410499999997</v>
      </c>
      <c r="U65" s="79">
        <f>'T1'!U65</f>
        <v>108.02149172999997</v>
      </c>
      <c r="V65" s="79">
        <f>'T1'!V65</f>
        <v>110.93807200670996</v>
      </c>
      <c r="W65" s="79"/>
      <c r="X65" s="79"/>
      <c r="Y65" s="79"/>
      <c r="Z65" s="79"/>
      <c r="AA65" s="82"/>
    </row>
    <row r="66" spans="1:27" s="77" customFormat="1" ht="12" customHeight="1">
      <c r="A66" s="83" t="s">
        <v>373</v>
      </c>
      <c r="B66" s="84"/>
      <c r="C66" s="85">
        <f>(C61)/(C65/100)</f>
        <v>616786.61190642696</v>
      </c>
      <c r="D66" s="86">
        <f t="shared" ref="D66:O66" si="34">(D61)/(D65/100)</f>
        <v>667586.77681030449</v>
      </c>
      <c r="E66" s="86">
        <f t="shared" si="34"/>
        <v>603280.00293171429</v>
      </c>
      <c r="F66" s="86">
        <f t="shared" si="34"/>
        <v>592667.96635327046</v>
      </c>
      <c r="G66" s="86">
        <f t="shared" si="34"/>
        <v>592748.06288839132</v>
      </c>
      <c r="H66" s="86">
        <f t="shared" si="34"/>
        <v>567866.7639570391</v>
      </c>
      <c r="I66" s="795">
        <f t="shared" si="34"/>
        <v>588288.03293991159</v>
      </c>
      <c r="J66" s="699">
        <f t="shared" si="34"/>
        <v>593253.41207751737</v>
      </c>
      <c r="K66" s="85">
        <f>(K61)/(K65/100)</f>
        <v>648192.05873670545</v>
      </c>
      <c r="L66" s="86">
        <f t="shared" si="34"/>
        <v>621036.18253494008</v>
      </c>
      <c r="M66" s="630">
        <f t="shared" si="34"/>
        <v>621923.97722241015</v>
      </c>
      <c r="N66" s="156">
        <f t="shared" si="34"/>
        <v>610699.58700515865</v>
      </c>
      <c r="O66" s="86">
        <f t="shared" si="34"/>
        <v>631259.40044379933</v>
      </c>
      <c r="P66" s="86">
        <f t="shared" ref="P66:R66" si="35">(P61)/(P65/100)</f>
        <v>585400.14383387275</v>
      </c>
      <c r="Q66" s="86">
        <f t="shared" si="35"/>
        <v>578819.36272906698</v>
      </c>
      <c r="R66" s="630">
        <f t="shared" si="35"/>
        <v>569413.80698860704</v>
      </c>
      <c r="S66" s="87"/>
      <c r="T66" s="85">
        <f>(T61)/(T65/100)</f>
        <v>647126.81451366341</v>
      </c>
      <c r="U66" s="86">
        <f>(U61)/(U65/100)</f>
        <v>510204.22085839178</v>
      </c>
      <c r="V66" s="678">
        <f>(V61)/(V65/100)</f>
        <v>0</v>
      </c>
      <c r="W66" s="88"/>
      <c r="X66" s="88"/>
      <c r="Y66" s="88"/>
      <c r="Z66" s="88"/>
      <c r="AA66" s="89"/>
    </row>
    <row r="67" spans="1:27" s="77" customFormat="1" ht="12" customHeight="1">
      <c r="A67" s="91" t="s">
        <v>334</v>
      </c>
      <c r="B67" s="2"/>
      <c r="C67" s="38"/>
      <c r="D67" s="40">
        <f t="shared" ref="D67:O67" si="36">D66/C66-1</f>
        <v>8.2362625782131049E-2</v>
      </c>
      <c r="E67" s="40">
        <f t="shared" si="36"/>
        <v>-9.632721334871952E-2</v>
      </c>
      <c r="F67" s="40">
        <f t="shared" si="36"/>
        <v>-1.759056578516327E-2</v>
      </c>
      <c r="G67" s="40">
        <f t="shared" si="36"/>
        <v>1.3514571339778847E-4</v>
      </c>
      <c r="H67" s="40">
        <f t="shared" si="36"/>
        <v>-4.1976179238964684E-2</v>
      </c>
      <c r="I67" s="40">
        <f t="shared" si="36"/>
        <v>3.5961373827501308E-2</v>
      </c>
      <c r="J67" s="719">
        <f t="shared" si="36"/>
        <v>8.4403878025391954E-3</v>
      </c>
      <c r="K67" s="38">
        <f t="shared" si="36"/>
        <v>9.2605698577945095E-2</v>
      </c>
      <c r="L67" s="40">
        <f t="shared" si="36"/>
        <v>-4.1894799289412532E-2</v>
      </c>
      <c r="M67" s="92">
        <f t="shared" si="36"/>
        <v>1.4295377828812406E-3</v>
      </c>
      <c r="N67" s="1015">
        <f t="shared" si="36"/>
        <v>-1.8047849300457885E-2</v>
      </c>
      <c r="O67" s="40">
        <f t="shared" si="36"/>
        <v>3.3666001870846118E-2</v>
      </c>
      <c r="P67" s="40">
        <f t="shared" ref="P67" si="37">P66/O66-1</f>
        <v>-7.264724545517387E-2</v>
      </c>
      <c r="Q67" s="40">
        <f t="shared" ref="Q67" si="38">Q66/P66-1</f>
        <v>-1.1241509203785416E-2</v>
      </c>
      <c r="R67" s="92">
        <f t="shared" ref="R67" si="39">R66/Q66-1</f>
        <v>-1.624955270347872E-2</v>
      </c>
      <c r="S67" s="39"/>
      <c r="T67" s="38">
        <f>+T66/J66-1</f>
        <v>9.0810101281148192E-2</v>
      </c>
      <c r="U67" s="40">
        <f>+U66/K66-1</f>
        <v>-0.21288109907925312</v>
      </c>
      <c r="V67" s="40">
        <f>+V66/L66-1</f>
        <v>-1</v>
      </c>
      <c r="W67" s="40"/>
      <c r="X67" s="40"/>
      <c r="Y67" s="40"/>
      <c r="Z67" s="40"/>
      <c r="AA67" s="41"/>
    </row>
    <row r="68" spans="1:27" s="77" customFormat="1" ht="12" customHeight="1">
      <c r="A68" s="93" t="s">
        <v>374</v>
      </c>
      <c r="B68" s="4"/>
      <c r="C68" s="94">
        <f>'T1'!C68</f>
        <v>9607.8779999999988</v>
      </c>
      <c r="D68" s="95">
        <f>'T1'!D68</f>
        <v>9754.9330000000009</v>
      </c>
      <c r="E68" s="95">
        <f>'T1'!E68</f>
        <v>9979.4030000000002</v>
      </c>
      <c r="F68" s="95">
        <f>'T1'!F68</f>
        <v>10153.9</v>
      </c>
      <c r="G68" s="95">
        <f>'T1'!G68</f>
        <v>10874.798000000001</v>
      </c>
      <c r="H68" s="95">
        <f>'T1'!H68</f>
        <v>11767.620999999999</v>
      </c>
      <c r="I68" s="95">
        <v>12194.153</v>
      </c>
      <c r="J68" s="741">
        <f>'T1'!J68</f>
        <v>12593.8988214</v>
      </c>
      <c r="K68" s="94">
        <f>'T1'!K68</f>
        <v>12647.945</v>
      </c>
      <c r="L68" s="95">
        <f>'T1'!L68</f>
        <v>12891</v>
      </c>
      <c r="M68" s="96">
        <f>'T1'!M68</f>
        <v>13183</v>
      </c>
      <c r="N68" s="1203">
        <f>'T1'!N68</f>
        <v>11715</v>
      </c>
      <c r="O68" s="95">
        <f>'T1'!O68</f>
        <v>12228</v>
      </c>
      <c r="P68" s="95">
        <f>'T1'!P68</f>
        <v>12424</v>
      </c>
      <c r="Q68" s="95">
        <f>'T1'!Q68</f>
        <v>12641</v>
      </c>
      <c r="R68" s="96">
        <f>'T1'!R68</f>
        <v>12850</v>
      </c>
      <c r="S68" s="68"/>
      <c r="T68" s="94">
        <f>'T1'!T68</f>
        <v>5099.1790000000001</v>
      </c>
      <c r="U68" s="679">
        <f>'T1'!U68</f>
        <v>5395.3419999999996</v>
      </c>
      <c r="V68" s="679">
        <f>'T1'!V68</f>
        <v>10630.129017676178</v>
      </c>
      <c r="W68" s="679"/>
      <c r="X68" s="679"/>
      <c r="Y68" s="679"/>
      <c r="Z68" s="679"/>
      <c r="AA68" s="89"/>
    </row>
    <row r="69" spans="1:27" s="77" customFormat="1" ht="12" customHeight="1">
      <c r="A69" s="91" t="s">
        <v>334</v>
      </c>
      <c r="B69" s="4"/>
      <c r="C69" s="38"/>
      <c r="D69" s="40">
        <f t="shared" ref="D69:O69" si="40">D68/C68-1</f>
        <v>1.5305668952083185E-2</v>
      </c>
      <c r="E69" s="40">
        <f t="shared" si="40"/>
        <v>2.3010921756202674E-2</v>
      </c>
      <c r="F69" s="40">
        <f t="shared" si="40"/>
        <v>1.7485715327860696E-2</v>
      </c>
      <c r="G69" s="40">
        <f t="shared" si="40"/>
        <v>7.0997153802972335E-2</v>
      </c>
      <c r="H69" s="40">
        <f t="shared" si="40"/>
        <v>8.2100191654134402E-2</v>
      </c>
      <c r="I69" s="40">
        <f t="shared" si="40"/>
        <v>3.6246238725737401E-2</v>
      </c>
      <c r="J69" s="719">
        <f t="shared" si="40"/>
        <v>3.2781761996917735E-2</v>
      </c>
      <c r="K69" s="38">
        <f t="shared" si="40"/>
        <v>4.2914572656533867E-3</v>
      </c>
      <c r="L69" s="40">
        <f t="shared" si="40"/>
        <v>1.9216955797957791E-2</v>
      </c>
      <c r="M69" s="92">
        <f t="shared" si="40"/>
        <v>2.2651462260491861E-2</v>
      </c>
      <c r="N69" s="1015">
        <f t="shared" si="40"/>
        <v>-0.11135553364181139</v>
      </c>
      <c r="O69" s="40">
        <f t="shared" si="40"/>
        <v>4.3790012804097334E-2</v>
      </c>
      <c r="P69" s="40">
        <f t="shared" ref="P69" si="41">P68/O68-1</f>
        <v>1.602878639188754E-2</v>
      </c>
      <c r="Q69" s="40">
        <f t="shared" ref="Q69" si="42">Q68/P68-1</f>
        <v>1.7466194462330886E-2</v>
      </c>
      <c r="R69" s="92">
        <f t="shared" ref="R69" si="43">R68/Q68-1</f>
        <v>1.653350209635307E-2</v>
      </c>
      <c r="S69" s="39"/>
      <c r="T69" s="38">
        <f>+T68/J68-1</f>
        <v>-0.59510719656288691</v>
      </c>
      <c r="U69" s="40">
        <f>+U68/K68-1</f>
        <v>-0.57342145305027814</v>
      </c>
      <c r="V69" s="151">
        <f>+V68/L68-1</f>
        <v>-0.17538367716420933</v>
      </c>
      <c r="W69" s="40"/>
      <c r="X69" s="40"/>
      <c r="Y69" s="40"/>
      <c r="Z69" s="40"/>
      <c r="AA69" s="41"/>
    </row>
    <row r="70" spans="1:27" s="77" customFormat="1" ht="12" customHeight="1">
      <c r="A70" s="93" t="s">
        <v>375</v>
      </c>
      <c r="B70" s="4"/>
      <c r="C70" s="97">
        <f t="shared" ref="C70:O70" si="44">C66/C68</f>
        <v>64.195924626273055</v>
      </c>
      <c r="D70" s="98">
        <f>D66/D68</f>
        <v>68.43581363504029</v>
      </c>
      <c r="E70" s="98">
        <f t="shared" si="44"/>
        <v>60.452514336951246</v>
      </c>
      <c r="F70" s="98">
        <f t="shared" si="44"/>
        <v>58.368505338172575</v>
      </c>
      <c r="G70" s="98">
        <f t="shared" si="44"/>
        <v>54.506581445318915</v>
      </c>
      <c r="H70" s="98">
        <f t="shared" si="44"/>
        <v>48.256717645566518</v>
      </c>
      <c r="I70" s="98">
        <f t="shared" si="44"/>
        <v>48.243451836294952</v>
      </c>
      <c r="J70" s="720">
        <f t="shared" si="44"/>
        <v>47.106414025610569</v>
      </c>
      <c r="K70" s="97">
        <f t="shared" si="44"/>
        <v>51.248804350169571</v>
      </c>
      <c r="L70" s="98">
        <f t="shared" si="44"/>
        <v>48.175950859897611</v>
      </c>
      <c r="M70" s="99">
        <f t="shared" si="44"/>
        <v>47.176210060108481</v>
      </c>
      <c r="N70" s="1217">
        <f t="shared" si="44"/>
        <v>52.129712932578627</v>
      </c>
      <c r="O70" s="98">
        <f t="shared" si="44"/>
        <v>51.624092283594976</v>
      </c>
      <c r="P70" s="98">
        <f t="shared" ref="P70:R70" si="45">P66/P68</f>
        <v>47.118491937690983</v>
      </c>
      <c r="Q70" s="98">
        <f t="shared" si="45"/>
        <v>45.789048550673762</v>
      </c>
      <c r="R70" s="99">
        <f t="shared" si="45"/>
        <v>44.312358520514167</v>
      </c>
      <c r="S70" s="100"/>
      <c r="T70" s="97">
        <f t="shared" ref="T70:U70" si="46">T66/T68</f>
        <v>126.90804039506426</v>
      </c>
      <c r="U70" s="101">
        <f t="shared" si="46"/>
        <v>94.563833183956049</v>
      </c>
      <c r="V70" s="98">
        <f t="shared" ref="V70" si="47">V66/V68</f>
        <v>0</v>
      </c>
      <c r="W70" s="88"/>
      <c r="X70" s="88"/>
      <c r="Y70" s="88"/>
      <c r="Z70" s="88"/>
      <c r="AA70" s="89"/>
    </row>
    <row r="71" spans="1:27" ht="12" customHeight="1">
      <c r="A71" s="102" t="s">
        <v>334</v>
      </c>
      <c r="B71" s="4"/>
      <c r="C71" s="103"/>
      <c r="D71" s="104">
        <f>+D70/C70-1</f>
        <v>6.6046077433270733E-2</v>
      </c>
      <c r="E71" s="104">
        <f t="shared" ref="E71:O71" si="48">+E70/D70-1</f>
        <v>-0.11665382310880368</v>
      </c>
      <c r="F71" s="104">
        <f t="shared" si="48"/>
        <v>-3.4473487523823843E-2</v>
      </c>
      <c r="G71" s="104">
        <f t="shared" si="48"/>
        <v>-6.6164515786015676E-2</v>
      </c>
      <c r="H71" s="104">
        <f t="shared" si="48"/>
        <v>-0.11466255329225283</v>
      </c>
      <c r="I71" s="104">
        <f t="shared" si="48"/>
        <v>-2.7490077897551757E-4</v>
      </c>
      <c r="J71" s="721">
        <f t="shared" si="48"/>
        <v>-2.3568749071743555E-2</v>
      </c>
      <c r="K71" s="103">
        <f t="shared" si="48"/>
        <v>8.7936864018281824E-2</v>
      </c>
      <c r="L71" s="104">
        <f t="shared" si="48"/>
        <v>-5.9959515724034462E-2</v>
      </c>
      <c r="M71" s="105">
        <f t="shared" si="48"/>
        <v>-2.0751864404223497E-2</v>
      </c>
      <c r="N71" s="1016">
        <f t="shared" si="48"/>
        <v>0.1050000173002188</v>
      </c>
      <c r="O71" s="104">
        <f t="shared" si="48"/>
        <v>-9.6992793656390797E-3</v>
      </c>
      <c r="P71" s="104">
        <f t="shared" ref="P71" si="49">+P70/O70-1</f>
        <v>-8.7277086077420019E-2</v>
      </c>
      <c r="Q71" s="104">
        <f t="shared" ref="Q71" si="50">+Q70/P70-1</f>
        <v>-2.8214896792012389E-2</v>
      </c>
      <c r="R71" s="105">
        <f t="shared" ref="R71" si="51">+R70/Q70-1</f>
        <v>-3.2249851807367724E-2</v>
      </c>
      <c r="S71" s="39"/>
      <c r="T71" s="103">
        <f>+T70/J70-1</f>
        <v>1.6940713493085582</v>
      </c>
      <c r="U71" s="104">
        <f>+U70/K70-1</f>
        <v>0.84519101241516403</v>
      </c>
      <c r="V71" s="61">
        <f>+V70/L70-1</f>
        <v>-1</v>
      </c>
      <c r="W71" s="104"/>
      <c r="X71" s="104"/>
      <c r="Y71" s="104"/>
      <c r="Z71" s="104"/>
      <c r="AA71" s="106"/>
    </row>
    <row r="72" spans="1:27" s="605" customFormat="1" ht="12" customHeight="1">
      <c r="A72" s="107"/>
      <c r="B72" s="4"/>
      <c r="C72" s="39"/>
      <c r="D72" s="39"/>
      <c r="E72" s="39"/>
      <c r="F72" s="39"/>
      <c r="G72" s="39"/>
      <c r="H72" s="39"/>
      <c r="I72" s="39"/>
      <c r="J72" s="742"/>
      <c r="K72" s="39"/>
      <c r="L72" s="39"/>
      <c r="M72" s="39"/>
      <c r="N72" s="39"/>
      <c r="O72" s="39"/>
      <c r="P72" s="39"/>
      <c r="Q72" s="39"/>
      <c r="R72" s="39"/>
      <c r="S72" s="39"/>
      <c r="T72" s="77"/>
      <c r="U72" s="77"/>
      <c r="V72" s="77"/>
      <c r="W72" s="77"/>
      <c r="X72" s="77"/>
      <c r="Y72" s="77"/>
      <c r="Z72" s="77"/>
      <c r="AA72" s="77"/>
    </row>
    <row r="73" spans="1:27" s="605" customFormat="1" ht="12" customHeight="1">
      <c r="A73" s="108" t="s">
        <v>377</v>
      </c>
      <c r="B73" s="1"/>
      <c r="C73" s="1"/>
      <c r="D73" s="1"/>
      <c r="E73" s="1"/>
      <c r="F73" s="1"/>
      <c r="G73" s="1"/>
      <c r="H73" s="1"/>
      <c r="I73" s="1"/>
      <c r="J73" s="108"/>
      <c r="K73" s="1"/>
      <c r="L73" s="1"/>
      <c r="M73" s="1"/>
      <c r="N73" s="1"/>
      <c r="O73" s="1"/>
      <c r="P73" s="1"/>
      <c r="Q73" s="1"/>
      <c r="R73" s="1"/>
      <c r="S73" s="1"/>
      <c r="T73" s="1"/>
      <c r="U73" s="1"/>
      <c r="V73" s="1"/>
      <c r="W73" s="1"/>
      <c r="X73" s="1"/>
      <c r="Y73" s="1"/>
      <c r="Z73" s="1"/>
      <c r="AA73" s="1"/>
    </row>
    <row r="74" spans="1:27" s="615" customFormat="1" ht="12" customHeight="1">
      <c r="A74" s="129" t="s">
        <v>387</v>
      </c>
      <c r="B74" s="130"/>
      <c r="C74" s="130"/>
      <c r="D74" s="130"/>
      <c r="E74" s="130"/>
      <c r="F74" s="130"/>
      <c r="G74" s="130"/>
      <c r="H74" s="130"/>
      <c r="I74" s="130"/>
      <c r="J74" s="723"/>
      <c r="K74" s="109"/>
      <c r="L74" s="109"/>
      <c r="M74" s="75"/>
      <c r="N74" s="633"/>
      <c r="O74" s="155"/>
      <c r="P74" s="155"/>
      <c r="Q74" s="155"/>
      <c r="R74" s="155"/>
      <c r="S74" s="605"/>
      <c r="T74" s="1142"/>
      <c r="U74" s="605"/>
      <c r="V74" s="605"/>
      <c r="W74" s="605"/>
      <c r="X74" s="605"/>
      <c r="Y74" s="605"/>
      <c r="Z74" s="605"/>
      <c r="AA74" s="605"/>
    </row>
    <row r="75" spans="1:27" s="615" customFormat="1" ht="12" customHeight="1">
      <c r="A75" s="129" t="s">
        <v>379</v>
      </c>
      <c r="B75" s="130"/>
      <c r="C75" s="130"/>
      <c r="D75" s="130"/>
      <c r="E75" s="130"/>
      <c r="F75" s="130"/>
      <c r="G75" s="130"/>
      <c r="H75" s="130"/>
      <c r="I75" s="130"/>
      <c r="J75" s="723"/>
      <c r="K75" s="109"/>
      <c r="L75" s="109"/>
      <c r="M75" s="75"/>
      <c r="N75" s="633"/>
      <c r="O75" s="155"/>
      <c r="P75" s="155"/>
      <c r="Q75" s="155"/>
      <c r="R75" s="155"/>
      <c r="S75" s="605"/>
      <c r="T75" s="1142"/>
      <c r="U75" s="605"/>
      <c r="V75" s="605"/>
      <c r="W75" s="605"/>
      <c r="X75" s="605"/>
      <c r="Y75" s="605"/>
      <c r="Z75" s="605"/>
      <c r="AA75" s="605"/>
    </row>
    <row r="76" spans="1:27" s="615" customFormat="1" ht="12" customHeight="1">
      <c r="A76" s="129" t="s">
        <v>380</v>
      </c>
      <c r="B76" s="131"/>
      <c r="C76" s="131"/>
      <c r="D76" s="131"/>
      <c r="E76" s="131"/>
      <c r="F76" s="131"/>
      <c r="G76" s="131"/>
      <c r="H76" s="131"/>
      <c r="I76" s="131"/>
      <c r="J76" s="724"/>
      <c r="K76" s="132"/>
      <c r="L76" s="132"/>
      <c r="M76" s="132"/>
      <c r="N76" s="635"/>
      <c r="O76" s="109"/>
      <c r="P76" s="109"/>
      <c r="Q76" s="109"/>
      <c r="R76" s="109">
        <v>5399.26745285368</v>
      </c>
      <c r="S76" s="109"/>
      <c r="T76" s="1"/>
      <c r="U76" s="1"/>
      <c r="V76" s="1"/>
      <c r="W76" s="1"/>
      <c r="X76" s="1"/>
      <c r="Y76" s="1"/>
      <c r="Z76" s="1"/>
      <c r="AA76" s="1"/>
    </row>
    <row r="77" spans="1:27" ht="12" customHeight="1">
      <c r="A77" s="129"/>
      <c r="B77" s="110"/>
      <c r="C77" s="110"/>
      <c r="D77" s="110"/>
      <c r="E77" s="110"/>
      <c r="F77" s="110"/>
      <c r="G77" s="110"/>
      <c r="H77" s="110"/>
      <c r="I77" s="110"/>
      <c r="J77" s="725"/>
      <c r="K77" s="111"/>
      <c r="L77" s="111"/>
      <c r="M77" s="111"/>
      <c r="N77" s="154"/>
      <c r="O77" s="636"/>
      <c r="P77" s="636"/>
      <c r="Q77" s="636"/>
      <c r="R77" s="636"/>
      <c r="S77" s="637"/>
      <c r="T77" s="1143"/>
      <c r="U77" s="615"/>
      <c r="V77" s="615"/>
      <c r="W77" s="615"/>
      <c r="X77" s="615"/>
      <c r="Y77" s="615"/>
      <c r="Z77" s="615"/>
      <c r="AA77" s="615"/>
    </row>
    <row r="78" spans="1:27" s="615" customFormat="1" ht="12" customHeight="1">
      <c r="A78" s="638"/>
      <c r="J78" s="726"/>
      <c r="K78" s="639"/>
      <c r="L78" s="639"/>
      <c r="M78" s="639"/>
      <c r="N78" s="639"/>
      <c r="O78" s="636"/>
      <c r="P78" s="636"/>
      <c r="Q78" s="636"/>
      <c r="R78" s="636"/>
      <c r="S78" s="636"/>
      <c r="T78" s="1"/>
    </row>
    <row r="82" spans="2:19" ht="12" customHeight="1">
      <c r="B82" s="1"/>
      <c r="C82" s="1"/>
      <c r="D82" s="1"/>
      <c r="E82" s="1"/>
      <c r="F82" s="1"/>
      <c r="G82" s="1"/>
      <c r="H82" s="1"/>
      <c r="I82" s="1"/>
      <c r="J82" s="108"/>
      <c r="K82" s="1"/>
      <c r="L82" s="1"/>
      <c r="M82" s="1"/>
      <c r="N82" s="1"/>
    </row>
    <row r="84" spans="2:19">
      <c r="O84" s="1"/>
      <c r="P84" s="1"/>
      <c r="Q84" s="1"/>
      <c r="R84" s="1"/>
      <c r="S84" s="1"/>
    </row>
  </sheetData>
  <mergeCells count="7">
    <mergeCell ref="C7:J7"/>
    <mergeCell ref="A1:X1"/>
    <mergeCell ref="H2:AC6"/>
    <mergeCell ref="W7:AA7"/>
    <mergeCell ref="T7:V7"/>
    <mergeCell ref="K7:M7"/>
    <mergeCell ref="N7:R7"/>
  </mergeCells>
  <pageMargins left="0.7" right="0.7" top="0.75" bottom="0.75" header="0.3" footer="0.3"/>
  <pageSetup paperSize="9" scale="61" orientation="portrait" r:id="rId1"/>
  <customProperties>
    <customPr name="_pios_id" r:id="rId2"/>
  </customProperties>
  <ignoredErrors>
    <ignoredError sqref="S68:U68 D68:O68 P68:R68 T70:U7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80"/>
  <sheetViews>
    <sheetView showGridLines="0" zoomScaleNormal="100" workbookViewId="0">
      <pane xSplit="2" ySplit="9" topLeftCell="C61" activePane="bottomRight" state="frozen"/>
      <selection pane="topRight" activeCell="AG41" sqref="AG41"/>
      <selection pane="bottomLeft" activeCell="AG41" sqref="AG41"/>
      <selection pane="bottomRight" activeCell="C61" sqref="C61"/>
    </sheetView>
  </sheetViews>
  <sheetFormatPr defaultColWidth="12.5703125" defaultRowHeight="15"/>
  <cols>
    <col min="1" max="1" width="30.85546875" style="2" customWidth="1"/>
    <col min="2" max="2" width="0.42578125" style="2" customWidth="1"/>
    <col min="3" max="3" width="10.28515625" style="2" customWidth="1"/>
    <col min="4" max="4" width="11.140625" style="2" customWidth="1"/>
    <col min="5" max="9" width="8" style="2" customWidth="1"/>
    <col min="10" max="10" width="11.28515625" style="641" customWidth="1"/>
    <col min="11" max="18" width="7.5703125" style="2" customWidth="1"/>
    <col min="19" max="19" width="1.140625" style="2" customWidth="1"/>
    <col min="20" max="27" width="7.5703125" style="1" customWidth="1"/>
    <col min="28" max="28" width="3.42578125" style="1" customWidth="1"/>
    <col min="29" max="16384" width="12.5703125" style="1"/>
  </cols>
  <sheetData>
    <row r="1" spans="1:28" ht="12" customHeight="1">
      <c r="A1" s="1588"/>
      <c r="B1" s="1588"/>
      <c r="C1" s="1588"/>
      <c r="D1" s="1588"/>
      <c r="E1" s="1588"/>
      <c r="F1" s="1588"/>
      <c r="G1" s="1588"/>
      <c r="H1" s="1588"/>
      <c r="I1" s="1588"/>
      <c r="J1" s="1588"/>
      <c r="K1" s="1588" t="s">
        <v>315</v>
      </c>
      <c r="L1" s="1588"/>
      <c r="M1" s="1588"/>
      <c r="N1" s="1588"/>
      <c r="O1" s="1588"/>
      <c r="P1" s="1588"/>
      <c r="Q1" s="1588"/>
      <c r="R1" s="1588"/>
      <c r="S1" s="1588"/>
      <c r="T1" s="1588"/>
      <c r="U1" s="1588"/>
      <c r="V1" s="1588"/>
      <c r="W1" s="1588"/>
      <c r="X1" s="1588"/>
    </row>
    <row r="2" spans="1:28" ht="12" customHeight="1">
      <c r="C2" s="1590" t="s">
        <v>388</v>
      </c>
      <c r="D2" s="1590"/>
      <c r="E2" s="1590"/>
      <c r="F2" s="1590"/>
      <c r="G2" s="1590"/>
      <c r="H2" s="1590"/>
      <c r="I2" s="1590"/>
      <c r="J2" s="1590"/>
      <c r="K2" s="1590"/>
      <c r="L2" s="1590"/>
      <c r="M2" s="1590"/>
      <c r="N2" s="1590"/>
      <c r="O2" s="1590"/>
      <c r="P2" s="1590"/>
      <c r="Q2" s="1590"/>
      <c r="R2" s="1590"/>
      <c r="S2" s="1590"/>
      <c r="T2" s="1590"/>
      <c r="U2" s="1590"/>
      <c r="V2" s="1590"/>
      <c r="W2" s="1590"/>
      <c r="X2" s="1590"/>
      <c r="Y2" s="1590"/>
      <c r="Z2" s="1590"/>
      <c r="AA2" s="1590"/>
      <c r="AB2" s="1590"/>
    </row>
    <row r="3" spans="1:28" ht="12" customHeight="1">
      <c r="A3" s="681" t="s">
        <v>317</v>
      </c>
      <c r="B3" s="1"/>
      <c r="C3" s="1590"/>
      <c r="D3" s="1590"/>
      <c r="E3" s="1590"/>
      <c r="F3" s="1590"/>
      <c r="G3" s="1590"/>
      <c r="H3" s="1590"/>
      <c r="I3" s="1590"/>
      <c r="J3" s="1590"/>
      <c r="K3" s="1590"/>
      <c r="L3" s="1590"/>
      <c r="M3" s="1590"/>
      <c r="N3" s="1590"/>
      <c r="O3" s="1590"/>
      <c r="P3" s="1590"/>
      <c r="Q3" s="1590"/>
      <c r="R3" s="1590"/>
      <c r="S3" s="1590"/>
      <c r="T3" s="1590"/>
      <c r="U3" s="1590"/>
      <c r="V3" s="1590"/>
      <c r="W3" s="1590"/>
      <c r="X3" s="1590"/>
      <c r="Y3" s="1590"/>
      <c r="Z3" s="1590"/>
      <c r="AA3" s="1590"/>
      <c r="AB3" s="1590"/>
    </row>
    <row r="4" spans="1:28" ht="12" customHeight="1">
      <c r="A4" s="83" t="s">
        <v>318</v>
      </c>
      <c r="B4" s="1"/>
      <c r="C4" s="1590"/>
      <c r="D4" s="1590"/>
      <c r="E4" s="1590"/>
      <c r="F4" s="1590"/>
      <c r="G4" s="1590"/>
      <c r="H4" s="1590"/>
      <c r="I4" s="1590"/>
      <c r="J4" s="1590"/>
      <c r="K4" s="1590"/>
      <c r="L4" s="1590"/>
      <c r="M4" s="1590"/>
      <c r="N4" s="1590"/>
      <c r="O4" s="1590"/>
      <c r="P4" s="1590"/>
      <c r="Q4" s="1590"/>
      <c r="R4" s="1590"/>
      <c r="S4" s="1590"/>
      <c r="T4" s="1590"/>
      <c r="U4" s="1590"/>
      <c r="V4" s="1590"/>
      <c r="W4" s="1590"/>
      <c r="X4" s="1590"/>
      <c r="Y4" s="1590"/>
      <c r="Z4" s="1590"/>
      <c r="AA4" s="1590"/>
      <c r="AB4" s="1590"/>
    </row>
    <row r="5" spans="1:28" ht="12" customHeight="1">
      <c r="A5" s="147" t="s">
        <v>389</v>
      </c>
      <c r="B5" s="1"/>
      <c r="C5" s="1590"/>
      <c r="D5" s="1590"/>
      <c r="E5" s="1590"/>
      <c r="F5" s="1590"/>
      <c r="G5" s="1590"/>
      <c r="H5" s="1590"/>
      <c r="I5" s="1590"/>
      <c r="J5" s="1590"/>
      <c r="K5" s="1590"/>
      <c r="L5" s="1590"/>
      <c r="M5" s="1590"/>
      <c r="N5" s="1590"/>
      <c r="O5" s="1590"/>
      <c r="P5" s="1590"/>
      <c r="Q5" s="1590"/>
      <c r="R5" s="1590"/>
      <c r="S5" s="1590"/>
      <c r="T5" s="1590"/>
      <c r="U5" s="1590"/>
      <c r="V5" s="1590"/>
      <c r="W5" s="1590"/>
      <c r="X5" s="1590"/>
      <c r="Y5" s="1590"/>
      <c r="Z5" s="1590"/>
      <c r="AA5" s="1590"/>
      <c r="AB5" s="1590"/>
    </row>
    <row r="6" spans="1:28" ht="12" customHeight="1">
      <c r="C6" s="1590"/>
      <c r="D6" s="1590"/>
      <c r="E6" s="1590"/>
      <c r="F6" s="1590"/>
      <c r="G6" s="1590"/>
      <c r="H6" s="1590"/>
      <c r="I6" s="1590"/>
      <c r="J6" s="1590"/>
      <c r="K6" s="1590"/>
      <c r="L6" s="1590"/>
      <c r="M6" s="1590"/>
      <c r="N6" s="1590"/>
      <c r="O6" s="1590"/>
      <c r="P6" s="1590"/>
      <c r="Q6" s="1590"/>
      <c r="R6" s="1590"/>
      <c r="S6" s="1590"/>
      <c r="T6" s="1590"/>
      <c r="U6" s="1590"/>
      <c r="V6" s="1590"/>
      <c r="W6" s="1590"/>
      <c r="X6" s="1590"/>
      <c r="Y6" s="1590"/>
      <c r="Z6" s="1590"/>
      <c r="AA6" s="1590"/>
      <c r="AB6" s="1590"/>
    </row>
    <row r="7" spans="1:28" s="9" customFormat="1" ht="12" customHeight="1">
      <c r="C7" s="1582" t="s">
        <v>320</v>
      </c>
      <c r="D7" s="1583"/>
      <c r="E7" s="1583"/>
      <c r="F7" s="1583"/>
      <c r="G7" s="1583"/>
      <c r="H7" s="1583"/>
      <c r="I7" s="1583"/>
      <c r="J7" s="1584"/>
      <c r="K7" s="1585" t="s">
        <v>390</v>
      </c>
      <c r="L7" s="1586"/>
      <c r="M7" s="1586"/>
      <c r="N7" s="1585" t="s">
        <v>322</v>
      </c>
      <c r="O7" s="1586"/>
      <c r="P7" s="1586"/>
      <c r="Q7" s="1586"/>
      <c r="R7" s="1587"/>
      <c r="S7" s="10"/>
      <c r="T7" s="1582" t="s">
        <v>391</v>
      </c>
      <c r="U7" s="1583"/>
      <c r="V7" s="1583"/>
      <c r="W7" s="1582" t="s">
        <v>324</v>
      </c>
      <c r="X7" s="1583"/>
      <c r="Y7" s="1583"/>
      <c r="Z7" s="1583"/>
      <c r="AA7" s="1584"/>
    </row>
    <row r="8" spans="1:28" ht="12" customHeight="1">
      <c r="A8" s="1"/>
      <c r="B8" s="1"/>
      <c r="C8" s="1"/>
      <c r="D8" s="1"/>
      <c r="E8" s="1"/>
      <c r="F8" s="1"/>
      <c r="G8" s="1"/>
      <c r="H8" s="1"/>
      <c r="I8" s="1"/>
      <c r="J8" s="108"/>
      <c r="K8" s="1"/>
      <c r="L8" s="1"/>
      <c r="M8" s="1"/>
      <c r="N8" s="1"/>
      <c r="O8" s="1"/>
      <c r="P8" s="1"/>
      <c r="Q8" s="1"/>
      <c r="R8" s="1"/>
      <c r="S8" s="1"/>
    </row>
    <row r="9" spans="1:28" ht="12" customHeight="1">
      <c r="A9" s="11" t="s">
        <v>325</v>
      </c>
      <c r="C9" s="12">
        <v>2012</v>
      </c>
      <c r="D9" s="3">
        <v>2013</v>
      </c>
      <c r="E9" s="3">
        <v>2014</v>
      </c>
      <c r="F9" s="3">
        <v>2015</v>
      </c>
      <c r="G9" s="3">
        <v>2016</v>
      </c>
      <c r="H9" s="3">
        <v>2017</v>
      </c>
      <c r="I9" s="3">
        <v>2018</v>
      </c>
      <c r="J9" s="13">
        <v>2019</v>
      </c>
      <c r="K9" s="12">
        <v>2020</v>
      </c>
      <c r="L9" s="3">
        <v>2021</v>
      </c>
      <c r="M9" s="1096">
        <v>2022</v>
      </c>
      <c r="N9" s="12">
        <v>2023</v>
      </c>
      <c r="O9" s="3">
        <v>2024</v>
      </c>
      <c r="P9" s="3">
        <v>2025</v>
      </c>
      <c r="Q9" s="3">
        <v>2026</v>
      </c>
      <c r="R9" s="13">
        <v>2027</v>
      </c>
      <c r="S9" s="14"/>
      <c r="T9" s="12">
        <v>2020</v>
      </c>
      <c r="U9" s="3">
        <v>2021</v>
      </c>
      <c r="V9" s="13">
        <v>2022</v>
      </c>
      <c r="W9" s="12">
        <v>2023</v>
      </c>
      <c r="X9" s="3">
        <v>2024</v>
      </c>
      <c r="Y9" s="3">
        <v>2025</v>
      </c>
      <c r="Z9" s="3">
        <v>2026</v>
      </c>
      <c r="AA9" s="13">
        <v>2027</v>
      </c>
    </row>
    <row r="10" spans="1:28" ht="12" customHeight="1">
      <c r="T10" s="2"/>
      <c r="U10" s="2"/>
      <c r="V10" s="2"/>
      <c r="W10" s="2"/>
      <c r="X10" s="2"/>
      <c r="Y10" s="2"/>
      <c r="Z10" s="2"/>
      <c r="AA10" s="2"/>
    </row>
    <row r="11" spans="1:28" ht="15.6" customHeight="1">
      <c r="A11" s="15" t="s">
        <v>326</v>
      </c>
      <c r="B11" s="15"/>
      <c r="C11" s="15"/>
      <c r="D11" s="15"/>
      <c r="E11" s="15"/>
      <c r="F11" s="15"/>
      <c r="G11" s="15"/>
      <c r="H11" s="15"/>
      <c r="I11" s="15"/>
      <c r="J11" s="920"/>
      <c r="K11" s="17"/>
      <c r="L11" s="17"/>
      <c r="M11" s="17"/>
      <c r="N11" s="17"/>
      <c r="O11" s="18"/>
      <c r="P11" s="17"/>
      <c r="Q11" s="18"/>
      <c r="R11" s="17"/>
      <c r="S11" s="18"/>
      <c r="T11" s="17"/>
      <c r="U11" s="17"/>
      <c r="V11" s="19"/>
      <c r="W11" s="19"/>
      <c r="X11" s="19"/>
      <c r="Y11" s="19"/>
      <c r="Z11" s="19"/>
      <c r="AA11" s="19"/>
    </row>
    <row r="12" spans="1:28" ht="12" customHeight="1">
      <c r="A12" s="20" t="s">
        <v>327</v>
      </c>
      <c r="B12" s="135"/>
      <c r="C12" s="112">
        <v>13730</v>
      </c>
      <c r="D12" s="113">
        <v>13618</v>
      </c>
      <c r="E12" s="113">
        <v>13213</v>
      </c>
      <c r="F12" s="113">
        <v>13288</v>
      </c>
      <c r="G12" s="113">
        <v>12718</v>
      </c>
      <c r="H12" s="113">
        <v>12059</v>
      </c>
      <c r="I12" s="643">
        <v>12040.897262651501</v>
      </c>
      <c r="J12" s="1171">
        <v>12978.709509158725</v>
      </c>
      <c r="K12" s="112">
        <v>15403.972080073305</v>
      </c>
      <c r="L12" s="113">
        <v>15558.011800874037</v>
      </c>
      <c r="M12" s="113">
        <v>15713.591918882777</v>
      </c>
      <c r="N12" s="1145">
        <v>16512.215209216229</v>
      </c>
      <c r="O12" s="1145">
        <v>16827.709982459772</v>
      </c>
      <c r="P12" s="1145">
        <v>16239.253063022801</v>
      </c>
      <c r="Q12" s="1145">
        <v>16729.678505526088</v>
      </c>
      <c r="R12" s="1491">
        <v>16896.975290581348</v>
      </c>
      <c r="S12" s="682"/>
      <c r="T12" s="112">
        <v>13995.118380407899</v>
      </c>
      <c r="U12" s="1145">
        <v>14380.302</v>
      </c>
      <c r="V12" s="1123"/>
      <c r="W12" s="67"/>
      <c r="X12" s="652"/>
      <c r="Y12" s="22"/>
      <c r="Z12" s="652"/>
      <c r="AA12" s="23"/>
    </row>
    <row r="13" spans="1:28" ht="12" customHeight="1">
      <c r="A13" s="24" t="s">
        <v>328</v>
      </c>
      <c r="B13" s="24"/>
      <c r="C13" s="673"/>
      <c r="D13" s="666"/>
      <c r="E13" s="666"/>
      <c r="F13" s="666"/>
      <c r="G13" s="666"/>
      <c r="H13" s="666"/>
      <c r="I13" s="644"/>
      <c r="J13" s="1172"/>
      <c r="K13" s="1195">
        <v>2896.6091497190514</v>
      </c>
      <c r="L13" s="1196">
        <v>2925.5752412162419</v>
      </c>
      <c r="M13" s="1196">
        <v>2954.830993628404</v>
      </c>
      <c r="N13" s="1388">
        <v>3417.5797843984928</v>
      </c>
      <c r="O13" s="1388">
        <v>3482.8786280399381</v>
      </c>
      <c r="P13" s="1388">
        <v>3361.0840386177565</v>
      </c>
      <c r="Q13" s="1388">
        <v>3462.5887765840125</v>
      </c>
      <c r="R13" s="1389">
        <v>3497.2146643498522</v>
      </c>
      <c r="S13" s="682"/>
      <c r="T13" s="1195">
        <v>2896.6091497190514</v>
      </c>
      <c r="U13" s="1489">
        <v>2693.6010000000001</v>
      </c>
      <c r="V13" s="1124"/>
      <c r="W13" s="37"/>
      <c r="X13" s="646"/>
      <c r="Y13" s="5"/>
      <c r="Z13" s="646"/>
      <c r="AA13" s="25"/>
    </row>
    <row r="14" spans="1:28" ht="12" customHeight="1">
      <c r="A14" s="24" t="s">
        <v>329</v>
      </c>
      <c r="B14" s="24"/>
      <c r="C14" s="115">
        <v>11400</v>
      </c>
      <c r="D14" s="116">
        <v>11100</v>
      </c>
      <c r="E14" s="116">
        <v>11000</v>
      </c>
      <c r="F14" s="116">
        <v>9062</v>
      </c>
      <c r="G14" s="116">
        <v>9046.2999999999993</v>
      </c>
      <c r="H14" s="116">
        <v>8299</v>
      </c>
      <c r="I14" s="647">
        <v>8952.4452593056121</v>
      </c>
      <c r="J14" s="1173">
        <v>8689.6855608412734</v>
      </c>
      <c r="K14" s="115">
        <v>8549.0595622211767</v>
      </c>
      <c r="L14" s="116">
        <v>8650.9889672872559</v>
      </c>
      <c r="M14" s="116">
        <v>8817.2894711440713</v>
      </c>
      <c r="N14" s="1146">
        <v>10866.430407413662</v>
      </c>
      <c r="O14" s="1146">
        <v>11762.175136327709</v>
      </c>
      <c r="P14" s="1146">
        <v>12117.481065815558</v>
      </c>
      <c r="Q14" s="1146">
        <v>12224.348010447855</v>
      </c>
      <c r="R14" s="1390">
        <v>12347.414613756702</v>
      </c>
      <c r="S14" s="648"/>
      <c r="T14" s="115">
        <v>8885.4262291576488</v>
      </c>
      <c r="U14" s="1490">
        <v>9798.3967904249002</v>
      </c>
      <c r="V14" s="1124"/>
      <c r="W14" s="37"/>
      <c r="X14" s="646"/>
      <c r="Y14" s="5"/>
      <c r="Z14" s="646"/>
      <c r="AA14" s="25"/>
    </row>
    <row r="15" spans="1:28" ht="12" customHeight="1">
      <c r="A15" s="24" t="s">
        <v>330</v>
      </c>
      <c r="B15" s="24"/>
      <c r="C15" s="115">
        <v>4000</v>
      </c>
      <c r="D15" s="116">
        <v>4000</v>
      </c>
      <c r="E15" s="116">
        <v>4000</v>
      </c>
      <c r="F15" s="116">
        <v>4000</v>
      </c>
      <c r="G15" s="116">
        <v>4000</v>
      </c>
      <c r="H15" s="116">
        <v>4000</v>
      </c>
      <c r="I15" s="683">
        <v>4000</v>
      </c>
      <c r="J15" s="1174">
        <v>4000</v>
      </c>
      <c r="K15" s="115">
        <v>4000</v>
      </c>
      <c r="L15" s="116">
        <v>4000</v>
      </c>
      <c r="M15" s="116">
        <v>5116</v>
      </c>
      <c r="N15" s="1146">
        <v>3578.0520843157537</v>
      </c>
      <c r="O15" s="1146">
        <v>6558.5842545048617</v>
      </c>
      <c r="P15" s="1146">
        <v>7736.3526736212089</v>
      </c>
      <c r="Q15" s="1146">
        <v>7891.0797270936318</v>
      </c>
      <c r="R15" s="1390">
        <v>7891.0797270936318</v>
      </c>
      <c r="S15" s="648"/>
      <c r="T15" s="115">
        <v>4000</v>
      </c>
      <c r="U15" s="1490">
        <v>2498.8412095751014</v>
      </c>
      <c r="V15" s="1124"/>
      <c r="W15" s="37"/>
      <c r="X15" s="646"/>
      <c r="Y15" s="5"/>
      <c r="Z15" s="646"/>
      <c r="AA15" s="25"/>
    </row>
    <row r="16" spans="1:28" ht="12" customHeight="1">
      <c r="A16" s="24" t="s">
        <v>331</v>
      </c>
      <c r="B16" s="24"/>
      <c r="C16" s="115"/>
      <c r="D16" s="116"/>
      <c r="E16" s="116"/>
      <c r="F16" s="116">
        <v>2088</v>
      </c>
      <c r="G16" s="116">
        <v>2088</v>
      </c>
      <c r="H16" s="116">
        <v>2088</v>
      </c>
      <c r="I16" s="683">
        <v>2088</v>
      </c>
      <c r="J16" s="1174">
        <v>2088</v>
      </c>
      <c r="K16" s="115">
        <v>1984.9232870630242</v>
      </c>
      <c r="L16" s="116">
        <v>1984.9232870630242</v>
      </c>
      <c r="M16" s="116">
        <v>1984.9232870630242</v>
      </c>
      <c r="N16" s="1146">
        <v>3334.4896115251249</v>
      </c>
      <c r="O16" s="1146">
        <v>3492.1962396825234</v>
      </c>
      <c r="P16" s="1146">
        <v>3408.5363429028739</v>
      </c>
      <c r="Q16" s="1146">
        <v>3088.6745394849772</v>
      </c>
      <c r="R16" s="1390">
        <v>2740.1290475533615</v>
      </c>
      <c r="S16" s="648"/>
      <c r="T16" s="115">
        <v>1984.9232870630242</v>
      </c>
      <c r="U16" s="1490">
        <v>2591.6999999999998</v>
      </c>
      <c r="V16" s="1124"/>
      <c r="W16" s="37"/>
      <c r="X16" s="646"/>
      <c r="Y16" s="5"/>
      <c r="Z16" s="646"/>
      <c r="AA16" s="25"/>
    </row>
    <row r="17" spans="1:28" ht="12" customHeight="1">
      <c r="A17" s="24" t="s">
        <v>332</v>
      </c>
      <c r="B17" s="24"/>
      <c r="C17" s="115"/>
      <c r="D17" s="116"/>
      <c r="E17" s="116"/>
      <c r="F17" s="116"/>
      <c r="G17" s="116"/>
      <c r="H17" s="116"/>
      <c r="I17" s="647"/>
      <c r="J17" s="1173"/>
      <c r="K17" s="115">
        <v>1000</v>
      </c>
      <c r="L17" s="116"/>
      <c r="M17" s="116"/>
      <c r="N17" s="116">
        <v>-1212</v>
      </c>
      <c r="O17" s="116"/>
      <c r="P17" s="116"/>
      <c r="Q17" s="116"/>
      <c r="R17" s="1492"/>
      <c r="S17" s="648"/>
      <c r="T17" s="115">
        <v>0</v>
      </c>
      <c r="U17" s="1490">
        <v>0</v>
      </c>
      <c r="V17" s="1124"/>
      <c r="W17" s="37"/>
      <c r="X17" s="646"/>
      <c r="Y17" s="5"/>
      <c r="Z17" s="646"/>
      <c r="AA17" s="25"/>
    </row>
    <row r="18" spans="1:28" ht="12" customHeight="1">
      <c r="A18" s="134" t="s">
        <v>333</v>
      </c>
      <c r="B18" s="580"/>
      <c r="C18" s="85">
        <f t="shared" ref="C18:H18" si="0">SUM(C12:C17)</f>
        <v>29130</v>
      </c>
      <c r="D18" s="86">
        <f t="shared" si="0"/>
        <v>28718</v>
      </c>
      <c r="E18" s="86">
        <f t="shared" si="0"/>
        <v>28213</v>
      </c>
      <c r="F18" s="86">
        <f t="shared" si="0"/>
        <v>28438</v>
      </c>
      <c r="G18" s="86">
        <f t="shared" si="0"/>
        <v>27852.3</v>
      </c>
      <c r="H18" s="86">
        <f t="shared" si="0"/>
        <v>26446</v>
      </c>
      <c r="I18" s="86">
        <f t="shared" ref="I18:O18" si="1">I12+SUM(I14:I17)</f>
        <v>27081.342521957115</v>
      </c>
      <c r="J18" s="1170">
        <f t="shared" si="1"/>
        <v>27756.395069999999</v>
      </c>
      <c r="K18" s="85">
        <f t="shared" si="1"/>
        <v>30937.954929357504</v>
      </c>
      <c r="L18" s="86">
        <f t="shared" si="1"/>
        <v>30193.924055224317</v>
      </c>
      <c r="M18" s="86">
        <f t="shared" si="1"/>
        <v>31631.804677089873</v>
      </c>
      <c r="N18" s="86">
        <f t="shared" si="1"/>
        <v>33079.187312470771</v>
      </c>
      <c r="O18" s="86">
        <f t="shared" si="1"/>
        <v>38640.665612974866</v>
      </c>
      <c r="P18" s="86">
        <f t="shared" ref="P18:R18" si="2">P12+SUM(P14:P17)</f>
        <v>39501.623145362442</v>
      </c>
      <c r="Q18" s="86">
        <f t="shared" si="2"/>
        <v>39933.780782552552</v>
      </c>
      <c r="R18" s="1175">
        <f t="shared" si="2"/>
        <v>39875.598678985043</v>
      </c>
      <c r="S18" s="26"/>
      <c r="T18" s="85">
        <f t="shared" ref="T18:U18" si="3">T12+SUM(T14:T17)</f>
        <v>28865.467896628572</v>
      </c>
      <c r="U18" s="86">
        <f t="shared" si="3"/>
        <v>29269.24</v>
      </c>
      <c r="V18" s="1125"/>
      <c r="W18" s="85"/>
      <c r="X18" s="684"/>
      <c r="Y18" s="86"/>
      <c r="Z18" s="684"/>
      <c r="AA18" s="630"/>
    </row>
    <row r="19" spans="1:28" ht="12" customHeight="1">
      <c r="A19" s="102" t="s">
        <v>334</v>
      </c>
      <c r="B19" s="31"/>
      <c r="C19" s="28"/>
      <c r="D19" s="29">
        <f t="shared" ref="D19:N19" si="4">+D18/C18-1</f>
        <v>-1.4143494679025093E-2</v>
      </c>
      <c r="E19" s="29">
        <f t="shared" si="4"/>
        <v>-1.7584790027160624E-2</v>
      </c>
      <c r="F19" s="29">
        <f t="shared" si="4"/>
        <v>7.9750469641655108E-3</v>
      </c>
      <c r="G19" s="29">
        <f t="shared" si="4"/>
        <v>-2.0595681834165602E-2</v>
      </c>
      <c r="H19" s="29">
        <f t="shared" si="4"/>
        <v>-5.049134182814341E-2</v>
      </c>
      <c r="I19" s="29">
        <f t="shared" si="4"/>
        <v>2.4024144368037348E-2</v>
      </c>
      <c r="J19" s="802">
        <f t="shared" si="4"/>
        <v>2.4926849453477562E-2</v>
      </c>
      <c r="K19" s="28">
        <f t="shared" si="4"/>
        <v>0.11462439021111348</v>
      </c>
      <c r="L19" s="29">
        <f t="shared" si="4"/>
        <v>-2.4049129162935223E-2</v>
      </c>
      <c r="M19" s="29">
        <f t="shared" si="4"/>
        <v>4.7621522106092939E-2</v>
      </c>
      <c r="N19" s="29">
        <f t="shared" si="4"/>
        <v>4.5757194385725342E-2</v>
      </c>
      <c r="O19" s="29">
        <f>+O18/N18-1</f>
        <v>0.16812620721209282</v>
      </c>
      <c r="P19" s="29">
        <f t="shared" ref="P19:Q19" si="5">+P18/O18-1</f>
        <v>2.2281125822493086E-2</v>
      </c>
      <c r="Q19" s="29">
        <f t="shared" si="5"/>
        <v>1.0940250115794248E-2</v>
      </c>
      <c r="R19" s="1176">
        <f t="shared" ref="R19" si="6">+R18/Q18-1</f>
        <v>-1.4569645655221342E-3</v>
      </c>
      <c r="S19" s="27"/>
      <c r="T19" s="28">
        <f>T18/J18-1</f>
        <v>3.9957380049950864E-2</v>
      </c>
      <c r="U19" s="29">
        <f>U18/L18-1</f>
        <v>-3.0624838743486316E-2</v>
      </c>
      <c r="V19" s="1100"/>
      <c r="W19" s="28"/>
      <c r="X19" s="29"/>
      <c r="Y19" s="29"/>
      <c r="Z19" s="29"/>
      <c r="AA19" s="30"/>
    </row>
    <row r="20" spans="1:28" ht="12" customHeight="1">
      <c r="A20" s="31"/>
      <c r="B20" s="31"/>
      <c r="C20" s="31"/>
      <c r="D20" s="31"/>
      <c r="E20" s="31"/>
      <c r="F20" s="31"/>
      <c r="G20" s="31"/>
      <c r="H20" s="31"/>
      <c r="I20" s="31"/>
      <c r="J20" s="701"/>
      <c r="K20" s="32"/>
      <c r="L20" s="32"/>
      <c r="M20" s="32"/>
      <c r="N20" s="32"/>
      <c r="O20" s="32"/>
      <c r="P20" s="32"/>
      <c r="Q20" s="32"/>
      <c r="R20" s="32"/>
      <c r="S20" s="27"/>
      <c r="T20" s="32"/>
      <c r="U20" s="32"/>
      <c r="V20" s="32"/>
      <c r="W20" s="32"/>
      <c r="X20" s="32"/>
      <c r="Y20" s="32"/>
      <c r="Z20" s="32"/>
      <c r="AA20" s="32"/>
    </row>
    <row r="21" spans="1:28" ht="15.6" customHeight="1">
      <c r="A21" s="15" t="s">
        <v>335</v>
      </c>
      <c r="B21" s="15"/>
      <c r="C21" s="15"/>
      <c r="D21" s="15"/>
      <c r="E21" s="15"/>
      <c r="F21" s="15"/>
      <c r="G21" s="15"/>
      <c r="H21" s="15"/>
      <c r="I21" s="15"/>
      <c r="J21" s="695"/>
      <c r="K21" s="17"/>
      <c r="L21" s="17"/>
      <c r="M21" s="17"/>
      <c r="N21" s="17"/>
      <c r="O21" s="18"/>
      <c r="P21" s="17"/>
      <c r="Q21" s="18"/>
      <c r="R21" s="17"/>
      <c r="S21" s="18"/>
      <c r="T21" s="17"/>
      <c r="U21" s="17"/>
      <c r="V21" s="19"/>
      <c r="W21" s="19"/>
      <c r="X21" s="19"/>
      <c r="Y21" s="19"/>
      <c r="Z21" s="19"/>
      <c r="AA21" s="19"/>
    </row>
    <row r="22" spans="1:28" ht="12" customHeight="1">
      <c r="A22" s="135" t="s">
        <v>336</v>
      </c>
      <c r="B22" s="24"/>
      <c r="C22" s="685"/>
      <c r="D22" s="665"/>
      <c r="E22" s="665"/>
      <c r="F22" s="665"/>
      <c r="G22" s="665"/>
      <c r="H22" s="665"/>
      <c r="I22" s="686"/>
      <c r="J22" s="743"/>
      <c r="K22" s="685"/>
      <c r="L22" s="665"/>
      <c r="M22" s="1193"/>
      <c r="N22" s="685"/>
      <c r="O22" s="665"/>
      <c r="P22" s="665"/>
      <c r="Q22" s="665"/>
      <c r="R22" s="1194"/>
      <c r="S22" s="648"/>
      <c r="T22" s="685"/>
      <c r="U22" s="1149"/>
      <c r="V22" s="1126"/>
      <c r="W22" s="1128"/>
      <c r="X22" s="687"/>
      <c r="Y22" s="688"/>
      <c r="Z22" s="687"/>
      <c r="AA22" s="1111"/>
    </row>
    <row r="23" spans="1:28" ht="12" customHeight="1">
      <c r="A23" s="21" t="s">
        <v>337</v>
      </c>
      <c r="B23" s="24"/>
      <c r="C23" s="673"/>
      <c r="D23" s="666"/>
      <c r="E23" s="666"/>
      <c r="F23" s="666"/>
      <c r="G23" s="666"/>
      <c r="H23" s="666"/>
      <c r="I23" s="644"/>
      <c r="J23" s="727"/>
      <c r="K23" s="673"/>
      <c r="L23" s="666"/>
      <c r="M23" s="1108"/>
      <c r="N23" s="673"/>
      <c r="O23" s="666"/>
      <c r="P23" s="666"/>
      <c r="Q23" s="666"/>
      <c r="R23" s="674"/>
      <c r="S23" s="648"/>
      <c r="T23" s="673"/>
      <c r="U23" s="1150"/>
      <c r="V23" s="1127"/>
      <c r="W23" s="1129"/>
      <c r="X23" s="654"/>
      <c r="Y23" s="675"/>
      <c r="Z23" s="654"/>
      <c r="AA23" s="1112"/>
    </row>
    <row r="24" spans="1:28" ht="12" customHeight="1">
      <c r="A24" s="21" t="s">
        <v>338</v>
      </c>
      <c r="B24" s="24"/>
      <c r="C24" s="673"/>
      <c r="D24" s="666"/>
      <c r="E24" s="666"/>
      <c r="F24" s="666"/>
      <c r="G24" s="666"/>
      <c r="H24" s="666"/>
      <c r="I24" s="644"/>
      <c r="J24" s="727"/>
      <c r="K24" s="673"/>
      <c r="L24" s="666"/>
      <c r="M24" s="1108"/>
      <c r="N24" s="673"/>
      <c r="O24" s="666"/>
      <c r="P24" s="666"/>
      <c r="Q24" s="666"/>
      <c r="R24" s="674"/>
      <c r="S24" s="648"/>
      <c r="T24" s="673"/>
      <c r="U24" s="1150"/>
      <c r="V24" s="1127"/>
      <c r="W24" s="1129"/>
      <c r="X24" s="654"/>
      <c r="Y24" s="675"/>
      <c r="Z24" s="654"/>
      <c r="AA24" s="1112"/>
      <c r="AB24" s="133"/>
    </row>
    <row r="25" spans="1:28" ht="12" customHeight="1">
      <c r="A25" s="21" t="s">
        <v>339</v>
      </c>
      <c r="B25" s="24"/>
      <c r="C25" s="673"/>
      <c r="D25" s="666"/>
      <c r="E25" s="666"/>
      <c r="F25" s="666"/>
      <c r="G25" s="666"/>
      <c r="H25" s="666"/>
      <c r="I25" s="644"/>
      <c r="J25" s="727"/>
      <c r="K25" s="673"/>
      <c r="L25" s="666"/>
      <c r="M25" s="1108"/>
      <c r="N25" s="673"/>
      <c r="O25" s="666"/>
      <c r="P25" s="666"/>
      <c r="Q25" s="666"/>
      <c r="R25" s="674"/>
      <c r="S25" s="648"/>
      <c r="T25" s="673"/>
      <c r="U25" s="1150"/>
      <c r="V25" s="1127"/>
      <c r="W25" s="1129"/>
      <c r="X25" s="654"/>
      <c r="Y25" s="675"/>
      <c r="Z25" s="654"/>
      <c r="AA25" s="1112"/>
    </row>
    <row r="26" spans="1:28" ht="12" customHeight="1">
      <c r="A26" s="21" t="s">
        <v>340</v>
      </c>
      <c r="B26" s="24"/>
      <c r="C26" s="673"/>
      <c r="D26" s="666"/>
      <c r="E26" s="666"/>
      <c r="F26" s="666"/>
      <c r="G26" s="666"/>
      <c r="H26" s="666"/>
      <c r="I26" s="644"/>
      <c r="J26" s="727"/>
      <c r="K26" s="673"/>
      <c r="L26" s="666"/>
      <c r="M26" s="1108"/>
      <c r="N26" s="673"/>
      <c r="O26" s="666"/>
      <c r="P26" s="666"/>
      <c r="Q26" s="666"/>
      <c r="R26" s="674"/>
      <c r="S26" s="648"/>
      <c r="T26" s="673"/>
      <c r="U26" s="1150"/>
      <c r="V26" s="1127"/>
      <c r="W26" s="1129"/>
      <c r="X26" s="654"/>
      <c r="Y26" s="675"/>
      <c r="Z26" s="654"/>
      <c r="AA26" s="1112"/>
    </row>
    <row r="27" spans="1:28" ht="12" customHeight="1">
      <c r="A27" s="21" t="s">
        <v>341</v>
      </c>
      <c r="B27" s="24"/>
      <c r="C27" s="673"/>
      <c r="D27" s="666"/>
      <c r="E27" s="666"/>
      <c r="F27" s="666"/>
      <c r="G27" s="666"/>
      <c r="H27" s="666"/>
      <c r="I27" s="644"/>
      <c r="J27" s="727"/>
      <c r="K27" s="673"/>
      <c r="L27" s="666"/>
      <c r="M27" s="1108"/>
      <c r="N27" s="673"/>
      <c r="O27" s="666"/>
      <c r="P27" s="666"/>
      <c r="Q27" s="666"/>
      <c r="R27" s="674"/>
      <c r="S27" s="648"/>
      <c r="T27" s="673"/>
      <c r="U27" s="1150"/>
      <c r="V27" s="1127"/>
      <c r="W27" s="1129"/>
      <c r="X27" s="654"/>
      <c r="Y27" s="675"/>
      <c r="Z27" s="654"/>
      <c r="AA27" s="1112"/>
    </row>
    <row r="28" spans="1:28" ht="12" customHeight="1">
      <c r="A28" s="21" t="s">
        <v>342</v>
      </c>
      <c r="B28" s="24"/>
      <c r="C28" s="37">
        <v>29130</v>
      </c>
      <c r="D28" s="5">
        <v>28718</v>
      </c>
      <c r="E28" s="5">
        <v>28213</v>
      </c>
      <c r="F28" s="5">
        <v>28438</v>
      </c>
      <c r="G28" s="5">
        <v>27852.3</v>
      </c>
      <c r="H28" s="5">
        <v>26446</v>
      </c>
      <c r="I28" s="5">
        <v>27081.342521957115</v>
      </c>
      <c r="J28" s="697">
        <f>J18</f>
        <v>27756.395069999999</v>
      </c>
      <c r="K28" s="37">
        <f>K18</f>
        <v>30937.954929357504</v>
      </c>
      <c r="L28" s="5">
        <f>L18</f>
        <v>30193.924055224317</v>
      </c>
      <c r="M28" s="1098">
        <f t="shared" ref="M28" si="7">M18</f>
        <v>31631.804677089873</v>
      </c>
      <c r="N28" s="1010">
        <v>34291.187312470771</v>
      </c>
      <c r="O28" s="1151">
        <v>38640.665612974866</v>
      </c>
      <c r="P28" s="1151">
        <v>39501.623145362442</v>
      </c>
      <c r="Q28" s="1151">
        <v>39933.780782552552</v>
      </c>
      <c r="R28" s="1391">
        <v>39875.598678985043</v>
      </c>
      <c r="S28" s="26"/>
      <c r="T28" s="37">
        <f>T18</f>
        <v>28865.467896628572</v>
      </c>
      <c r="U28" s="1151">
        <f>U18</f>
        <v>29269.24</v>
      </c>
      <c r="V28" s="1098"/>
      <c r="W28" s="1130"/>
      <c r="X28" s="5"/>
      <c r="Y28" s="35"/>
      <c r="Z28" s="5"/>
      <c r="AA28" s="581"/>
    </row>
    <row r="29" spans="1:28" ht="12" customHeight="1">
      <c r="A29" s="21" t="s">
        <v>343</v>
      </c>
      <c r="B29" s="24"/>
      <c r="C29" s="673"/>
      <c r="D29" s="666"/>
      <c r="E29" s="666"/>
      <c r="F29" s="666"/>
      <c r="G29" s="666"/>
      <c r="H29" s="666"/>
      <c r="I29" s="644"/>
      <c r="J29" s="727"/>
      <c r="K29" s="673"/>
      <c r="L29" s="666"/>
      <c r="M29" s="1108"/>
      <c r="N29" s="673"/>
      <c r="O29" s="666"/>
      <c r="P29" s="666"/>
      <c r="Q29" s="666"/>
      <c r="R29" s="674"/>
      <c r="S29" s="648"/>
      <c r="T29" s="673"/>
      <c r="U29" s="1150"/>
      <c r="V29" s="1127"/>
      <c r="W29" s="1129"/>
      <c r="X29" s="654"/>
      <c r="Y29" s="675"/>
      <c r="Z29" s="654"/>
      <c r="AA29" s="1112"/>
    </row>
    <row r="30" spans="1:28" ht="12" customHeight="1">
      <c r="A30" s="21" t="s">
        <v>344</v>
      </c>
      <c r="B30" s="24"/>
      <c r="C30" s="673"/>
      <c r="D30" s="666"/>
      <c r="E30" s="666"/>
      <c r="F30" s="666"/>
      <c r="G30" s="666"/>
      <c r="H30" s="666"/>
      <c r="I30" s="644"/>
      <c r="J30" s="727"/>
      <c r="K30" s="673"/>
      <c r="L30" s="666"/>
      <c r="M30" s="1108"/>
      <c r="N30" s="673"/>
      <c r="O30" s="666"/>
      <c r="P30" s="666"/>
      <c r="Q30" s="666"/>
      <c r="R30" s="674"/>
      <c r="S30" s="648"/>
      <c r="T30" s="673"/>
      <c r="U30" s="1150"/>
      <c r="V30" s="1127"/>
      <c r="W30" s="1129"/>
      <c r="X30" s="654"/>
      <c r="Y30" s="675"/>
      <c r="Z30" s="654"/>
      <c r="AA30" s="1112"/>
    </row>
    <row r="31" spans="1:28" s="143" customFormat="1" ht="12" customHeight="1">
      <c r="A31" s="141" t="s">
        <v>345</v>
      </c>
      <c r="B31" s="134"/>
      <c r="C31" s="85">
        <f t="shared" ref="C31:H31" si="8">SUM(C22:C30)</f>
        <v>29130</v>
      </c>
      <c r="D31" s="86">
        <f t="shared" si="8"/>
        <v>28718</v>
      </c>
      <c r="E31" s="86">
        <f t="shared" si="8"/>
        <v>28213</v>
      </c>
      <c r="F31" s="86">
        <f t="shared" si="8"/>
        <v>28438</v>
      </c>
      <c r="G31" s="86">
        <f t="shared" si="8"/>
        <v>27852.3</v>
      </c>
      <c r="H31" s="86">
        <f t="shared" si="8"/>
        <v>26446</v>
      </c>
      <c r="I31" s="86">
        <f t="shared" ref="I31:O31" si="9">SUM(I22:I30)</f>
        <v>27081.342521957115</v>
      </c>
      <c r="J31" s="699">
        <f t="shared" si="9"/>
        <v>27756.395069999999</v>
      </c>
      <c r="K31" s="85">
        <f t="shared" si="9"/>
        <v>30937.954929357504</v>
      </c>
      <c r="L31" s="86">
        <f t="shared" si="9"/>
        <v>30193.924055224317</v>
      </c>
      <c r="M31" s="801">
        <f t="shared" si="9"/>
        <v>31631.804677089873</v>
      </c>
      <c r="N31" s="85">
        <f t="shared" si="9"/>
        <v>34291.187312470771</v>
      </c>
      <c r="O31" s="86">
        <f t="shared" si="9"/>
        <v>38640.665612974866</v>
      </c>
      <c r="P31" s="86">
        <f t="shared" ref="P31:R31" si="10">SUM(P22:P30)</f>
        <v>39501.623145362442</v>
      </c>
      <c r="Q31" s="86">
        <f t="shared" si="10"/>
        <v>39933.780782552552</v>
      </c>
      <c r="R31" s="630">
        <f t="shared" si="10"/>
        <v>39875.598678985043</v>
      </c>
      <c r="S31" s="87"/>
      <c r="T31" s="85">
        <f t="shared" ref="T31:U31" si="11">SUM(T22:T30)</f>
        <v>28865.467896628572</v>
      </c>
      <c r="U31" s="86">
        <f t="shared" si="11"/>
        <v>29269.24</v>
      </c>
      <c r="V31" s="801"/>
      <c r="W31" s="85"/>
      <c r="X31" s="86"/>
      <c r="Y31" s="86"/>
      <c r="Z31" s="86"/>
      <c r="AA31" s="630"/>
    </row>
    <row r="32" spans="1:28" ht="12" customHeight="1">
      <c r="A32" s="102" t="s">
        <v>334</v>
      </c>
      <c r="B32" s="689"/>
      <c r="C32" s="28"/>
      <c r="D32" s="29">
        <f t="shared" ref="D32:N32" si="12">+D31/C31-1</f>
        <v>-1.4143494679025093E-2</v>
      </c>
      <c r="E32" s="29">
        <f t="shared" si="12"/>
        <v>-1.7584790027160624E-2</v>
      </c>
      <c r="F32" s="29">
        <f t="shared" si="12"/>
        <v>7.9750469641655108E-3</v>
      </c>
      <c r="G32" s="29">
        <f t="shared" si="12"/>
        <v>-2.0595681834165602E-2</v>
      </c>
      <c r="H32" s="29">
        <f t="shared" si="12"/>
        <v>-5.049134182814341E-2</v>
      </c>
      <c r="I32" s="29">
        <f t="shared" si="12"/>
        <v>2.4024144368037348E-2</v>
      </c>
      <c r="J32" s="700">
        <f t="shared" si="12"/>
        <v>2.4926849453477562E-2</v>
      </c>
      <c r="K32" s="28">
        <f t="shared" si="12"/>
        <v>0.11462439021111348</v>
      </c>
      <c r="L32" s="29">
        <f t="shared" si="12"/>
        <v>-2.4049129162935223E-2</v>
      </c>
      <c r="M32" s="1100">
        <f t="shared" si="12"/>
        <v>4.7621522106092939E-2</v>
      </c>
      <c r="N32" s="28">
        <f t="shared" si="12"/>
        <v>8.4073060722552606E-2</v>
      </c>
      <c r="O32" s="29">
        <f>+O31/N31-1</f>
        <v>0.12683953637622536</v>
      </c>
      <c r="P32" s="29">
        <f t="shared" ref="P32:Q32" si="13">+P31/O31-1</f>
        <v>2.2281125822493086E-2</v>
      </c>
      <c r="Q32" s="29">
        <f t="shared" si="13"/>
        <v>1.0940250115794248E-2</v>
      </c>
      <c r="R32" s="30">
        <f t="shared" ref="R32" si="14">+R31/Q31-1</f>
        <v>-1.4569645655221342E-3</v>
      </c>
      <c r="S32" s="27"/>
      <c r="T32" s="28">
        <f>T31/J31-1</f>
        <v>3.9957380049950864E-2</v>
      </c>
      <c r="U32" s="29">
        <f>U31/L31-1</f>
        <v>-3.0624838743486316E-2</v>
      </c>
      <c r="V32" s="1100"/>
      <c r="W32" s="28"/>
      <c r="X32" s="29"/>
      <c r="Y32" s="29"/>
      <c r="Z32" s="29"/>
      <c r="AA32" s="30"/>
    </row>
    <row r="33" spans="1:27" ht="12" customHeight="1">
      <c r="A33" s="31"/>
      <c r="B33" s="32"/>
      <c r="C33" s="32"/>
      <c r="D33" s="32"/>
      <c r="E33" s="32"/>
      <c r="F33" s="32"/>
      <c r="G33" s="32"/>
      <c r="H33" s="32"/>
      <c r="I33" s="32"/>
      <c r="J33" s="703"/>
      <c r="K33" s="32"/>
      <c r="L33" s="32"/>
      <c r="M33" s="32"/>
      <c r="N33" s="32"/>
      <c r="O33" s="32"/>
      <c r="P33" s="32"/>
      <c r="Q33" s="32"/>
      <c r="R33" s="32"/>
      <c r="S33" s="32"/>
      <c r="T33" s="32"/>
      <c r="U33" s="32"/>
      <c r="V33" s="32"/>
      <c r="W33" s="32"/>
      <c r="X33" s="32"/>
      <c r="Y33" s="32"/>
      <c r="Z33" s="32"/>
      <c r="AA33" s="32"/>
    </row>
    <row r="34" spans="1:27" ht="15.6" customHeight="1">
      <c r="A34" s="15" t="s">
        <v>346</v>
      </c>
      <c r="B34" s="15"/>
      <c r="C34" s="15"/>
      <c r="D34" s="15"/>
      <c r="E34" s="15"/>
      <c r="F34" s="15"/>
      <c r="G34" s="15"/>
      <c r="H34" s="15"/>
      <c r="I34" s="15"/>
      <c r="J34" s="695"/>
      <c r="K34" s="17"/>
      <c r="L34" s="17"/>
      <c r="M34" s="17"/>
      <c r="N34" s="17"/>
      <c r="O34" s="18"/>
      <c r="P34" s="17"/>
      <c r="Q34" s="18"/>
      <c r="R34" s="17"/>
      <c r="S34" s="18"/>
      <c r="T34" s="17"/>
      <c r="U34" s="17"/>
      <c r="V34" s="17"/>
      <c r="W34" s="17"/>
      <c r="X34" s="17"/>
      <c r="Y34" s="17"/>
      <c r="Z34" s="17"/>
      <c r="AA34" s="17"/>
    </row>
    <row r="35" spans="1:27" ht="12" customHeight="1">
      <c r="A35" s="15" t="s">
        <v>347</v>
      </c>
      <c r="B35" s="15"/>
      <c r="C35" s="15"/>
      <c r="D35" s="15"/>
      <c r="E35" s="15"/>
      <c r="F35" s="15"/>
      <c r="G35" s="15"/>
      <c r="H35" s="15"/>
      <c r="I35" s="15"/>
      <c r="J35" s="695"/>
      <c r="K35" s="17"/>
      <c r="L35" s="17"/>
      <c r="M35" s="17"/>
      <c r="N35" s="17"/>
      <c r="O35" s="17"/>
      <c r="P35" s="17"/>
      <c r="Q35" s="17"/>
      <c r="R35" s="17"/>
      <c r="S35" s="17"/>
      <c r="T35" s="17"/>
      <c r="U35" s="17"/>
      <c r="V35" s="17"/>
      <c r="W35" s="17"/>
      <c r="X35" s="17"/>
      <c r="Y35" s="17"/>
      <c r="Z35" s="17"/>
      <c r="AA35" s="17"/>
    </row>
    <row r="36" spans="1:27" ht="12" customHeight="1">
      <c r="A36" s="42" t="s">
        <v>348</v>
      </c>
      <c r="B36" s="21"/>
      <c r="C36" s="22"/>
      <c r="D36" s="22"/>
      <c r="E36" s="22"/>
      <c r="F36" s="22">
        <v>39505</v>
      </c>
      <c r="G36" s="22">
        <v>39505</v>
      </c>
      <c r="H36" s="22">
        <v>39505</v>
      </c>
      <c r="I36" s="650">
        <v>39505</v>
      </c>
      <c r="J36" s="728">
        <v>39505</v>
      </c>
      <c r="K36" s="67">
        <v>37554.786616582744</v>
      </c>
      <c r="L36" s="22">
        <v>37554.786616582744</v>
      </c>
      <c r="M36" s="1101">
        <v>37554.786616582744</v>
      </c>
      <c r="N36" s="1011">
        <v>76654.933598278745</v>
      </c>
      <c r="O36" s="1152">
        <v>80280.373326035013</v>
      </c>
      <c r="P36" s="1152">
        <v>78357.157308112059</v>
      </c>
      <c r="Q36" s="1152">
        <v>71004.0124019535</v>
      </c>
      <c r="R36" s="1493">
        <v>62991.47235754854</v>
      </c>
      <c r="S36" s="690"/>
      <c r="T36" s="67">
        <v>46394.733938780322</v>
      </c>
      <c r="U36" s="1152">
        <v>48900</v>
      </c>
      <c r="V36" s="1131"/>
      <c r="W36" s="1133"/>
      <c r="X36" s="650"/>
      <c r="Y36" s="650"/>
      <c r="Z36" s="650"/>
      <c r="AA36" s="651"/>
    </row>
    <row r="37" spans="1:27" ht="12" customHeight="1">
      <c r="A37" s="44" t="s">
        <v>349</v>
      </c>
      <c r="B37" s="21"/>
      <c r="C37" s="5"/>
      <c r="D37" s="5"/>
      <c r="E37" s="5"/>
      <c r="F37" s="5"/>
      <c r="G37" s="5"/>
      <c r="H37" s="5"/>
      <c r="I37" s="645">
        <v>0</v>
      </c>
      <c r="J37" s="729">
        <v>0</v>
      </c>
      <c r="K37" s="37">
        <v>0</v>
      </c>
      <c r="L37" s="5">
        <v>0</v>
      </c>
      <c r="M37" s="1098">
        <v>0</v>
      </c>
      <c r="N37" s="1010">
        <v>0</v>
      </c>
      <c r="O37" s="1151">
        <v>0</v>
      </c>
      <c r="P37" s="1151">
        <v>0</v>
      </c>
      <c r="Q37" s="1151">
        <v>0</v>
      </c>
      <c r="R37" s="1391">
        <v>0</v>
      </c>
      <c r="S37" s="690"/>
      <c r="T37" s="37">
        <v>0</v>
      </c>
      <c r="U37" s="1151">
        <v>0</v>
      </c>
      <c r="V37" s="1132"/>
      <c r="W37" s="1130"/>
      <c r="X37" s="645"/>
      <c r="Y37" s="667"/>
      <c r="Z37" s="645"/>
      <c r="AA37" s="1113"/>
    </row>
    <row r="38" spans="1:27" ht="12" customHeight="1">
      <c r="A38" s="44" t="s">
        <v>350</v>
      </c>
      <c r="B38" s="21"/>
      <c r="C38" s="5"/>
      <c r="D38" s="5"/>
      <c r="E38" s="5"/>
      <c r="F38" s="5">
        <v>0</v>
      </c>
      <c r="G38" s="5">
        <v>0</v>
      </c>
      <c r="H38" s="5">
        <v>0</v>
      </c>
      <c r="I38" s="645">
        <v>0</v>
      </c>
      <c r="J38" s="729">
        <v>0</v>
      </c>
      <c r="K38" s="37">
        <v>0</v>
      </c>
      <c r="L38" s="5">
        <v>0</v>
      </c>
      <c r="M38" s="1098">
        <v>0</v>
      </c>
      <c r="N38" s="1010">
        <v>0</v>
      </c>
      <c r="O38" s="1151">
        <v>0</v>
      </c>
      <c r="P38" s="1151">
        <v>0</v>
      </c>
      <c r="Q38" s="1151">
        <v>0</v>
      </c>
      <c r="R38" s="1391">
        <v>0</v>
      </c>
      <c r="S38" s="690"/>
      <c r="T38" s="37">
        <v>0</v>
      </c>
      <c r="U38" s="1151">
        <v>0</v>
      </c>
      <c r="V38" s="1132"/>
      <c r="W38" s="1130"/>
      <c r="X38" s="645"/>
      <c r="Y38" s="667"/>
      <c r="Z38" s="645"/>
      <c r="AA38" s="1113"/>
    </row>
    <row r="39" spans="1:27" ht="12" customHeight="1">
      <c r="A39" s="45" t="s">
        <v>351</v>
      </c>
      <c r="B39" s="21"/>
      <c r="C39" s="149">
        <f>SUM(C36:C38)</f>
        <v>0</v>
      </c>
      <c r="D39" s="149">
        <f>SUM(D36:D38)</f>
        <v>0</v>
      </c>
      <c r="E39" s="149">
        <f>SUM(E36:E38)</f>
        <v>0</v>
      </c>
      <c r="F39" s="149">
        <f>SUM(F36:F38)</f>
        <v>39505</v>
      </c>
      <c r="G39" s="149">
        <f t="shared" ref="G39:O39" si="15">SUM(G36:G38)</f>
        <v>39505</v>
      </c>
      <c r="H39" s="149">
        <f t="shared" si="15"/>
        <v>39505</v>
      </c>
      <c r="I39" s="149">
        <f t="shared" si="15"/>
        <v>39505</v>
      </c>
      <c r="J39" s="717">
        <f t="shared" si="15"/>
        <v>39505</v>
      </c>
      <c r="K39" s="148">
        <f t="shared" si="15"/>
        <v>37554.786616582744</v>
      </c>
      <c r="L39" s="149">
        <f t="shared" si="15"/>
        <v>37554.786616582744</v>
      </c>
      <c r="M39" s="926">
        <f t="shared" si="15"/>
        <v>37554.786616582744</v>
      </c>
      <c r="N39" s="148">
        <f t="shared" si="15"/>
        <v>76654.933598278745</v>
      </c>
      <c r="O39" s="149">
        <f t="shared" si="15"/>
        <v>80280.373326035013</v>
      </c>
      <c r="P39" s="149">
        <f t="shared" ref="P39:R39" si="16">SUM(P36:P38)</f>
        <v>78357.157308112059</v>
      </c>
      <c r="Q39" s="149">
        <f t="shared" si="16"/>
        <v>71004.0124019535</v>
      </c>
      <c r="R39" s="150">
        <f t="shared" si="16"/>
        <v>62991.47235754854</v>
      </c>
      <c r="S39" s="43"/>
      <c r="T39" s="148">
        <f t="shared" ref="T39:U39" si="17">SUM(T36:T38)</f>
        <v>46394.733938780322</v>
      </c>
      <c r="U39" s="149">
        <f t="shared" si="17"/>
        <v>48900</v>
      </c>
      <c r="V39" s="926"/>
      <c r="W39" s="148"/>
      <c r="X39" s="149"/>
      <c r="Y39" s="149"/>
      <c r="Z39" s="149"/>
      <c r="AA39" s="150"/>
    </row>
    <row r="40" spans="1:27" ht="12" customHeight="1">
      <c r="A40" s="15" t="s">
        <v>352</v>
      </c>
      <c r="B40" s="15"/>
      <c r="C40" s="15"/>
      <c r="D40" s="15"/>
      <c r="E40" s="15"/>
      <c r="F40" s="15"/>
      <c r="G40" s="15"/>
      <c r="H40" s="15"/>
      <c r="I40" s="15"/>
      <c r="J40" s="695"/>
      <c r="K40" s="17"/>
      <c r="L40" s="17"/>
      <c r="M40" s="17"/>
      <c r="N40" s="17"/>
      <c r="O40" s="17"/>
      <c r="P40" s="17"/>
      <c r="Q40" s="17"/>
      <c r="R40" s="17"/>
      <c r="S40" s="51"/>
      <c r="T40" s="51"/>
      <c r="U40" s="51"/>
      <c r="V40" s="16"/>
      <c r="W40" s="16"/>
      <c r="X40" s="16"/>
      <c r="Y40" s="16"/>
      <c r="Z40" s="16"/>
      <c r="AA40" s="16"/>
    </row>
    <row r="41" spans="1:27" ht="12" customHeight="1">
      <c r="A41" s="52" t="s">
        <v>353</v>
      </c>
      <c r="B41" s="21"/>
      <c r="C41" s="121"/>
      <c r="D41" s="121"/>
      <c r="E41" s="121"/>
      <c r="F41" s="121">
        <f t="shared" ref="F41:O41" si="18">F16/F39</f>
        <v>5.2854069105176558E-2</v>
      </c>
      <c r="G41" s="121">
        <f t="shared" si="18"/>
        <v>5.2854069105176558E-2</v>
      </c>
      <c r="H41" s="121">
        <f t="shared" si="18"/>
        <v>5.2854069105176558E-2</v>
      </c>
      <c r="I41" s="121">
        <f t="shared" si="18"/>
        <v>5.2854069105176558E-2</v>
      </c>
      <c r="J41" s="730">
        <f t="shared" si="18"/>
        <v>5.2854069105176558E-2</v>
      </c>
      <c r="K41" s="876">
        <f t="shared" si="18"/>
        <v>5.2854069105176558E-2</v>
      </c>
      <c r="L41" s="877">
        <f t="shared" si="18"/>
        <v>5.2854069105176558E-2</v>
      </c>
      <c r="M41" s="1102">
        <f t="shared" si="18"/>
        <v>5.2854069105176558E-2</v>
      </c>
      <c r="N41" s="1494">
        <f t="shared" si="18"/>
        <v>4.3499999999999997E-2</v>
      </c>
      <c r="O41" s="1495">
        <f t="shared" si="18"/>
        <v>4.3500000000000004E-2</v>
      </c>
      <c r="P41" s="1495">
        <f t="shared" ref="P41:R41" si="19">P16/P39</f>
        <v>4.349999999999999E-2</v>
      </c>
      <c r="Q41" s="1495">
        <f t="shared" si="19"/>
        <v>4.3499999999999997E-2</v>
      </c>
      <c r="R41" s="1496">
        <f t="shared" si="19"/>
        <v>4.3499999999999997E-2</v>
      </c>
      <c r="S41" s="53"/>
      <c r="T41" s="876">
        <f t="shared" ref="T41:U41" si="20">T16/T39</f>
        <v>4.2783374718393871E-2</v>
      </c>
      <c r="U41" s="121">
        <f t="shared" si="20"/>
        <v>5.2999999999999999E-2</v>
      </c>
      <c r="V41" s="1134"/>
      <c r="W41" s="1137"/>
      <c r="X41" s="655"/>
      <c r="Y41" s="54"/>
      <c r="Z41" s="655"/>
      <c r="AA41" s="1114"/>
    </row>
    <row r="42" spans="1:27" ht="12" customHeight="1">
      <c r="A42" s="56" t="s">
        <v>354</v>
      </c>
      <c r="B42" s="21"/>
      <c r="C42" s="118"/>
      <c r="D42" s="117"/>
      <c r="E42" s="117"/>
      <c r="F42" s="117">
        <v>5.2999999999999999E-2</v>
      </c>
      <c r="G42" s="117">
        <v>5.2999999999999999E-2</v>
      </c>
      <c r="H42" s="117">
        <v>5.2999999999999999E-2</v>
      </c>
      <c r="I42" s="656">
        <v>5.2999999999999999E-2</v>
      </c>
      <c r="J42" s="731">
        <v>5.2999999999999999E-2</v>
      </c>
      <c r="K42" s="1017">
        <v>5.2999999999999999E-2</v>
      </c>
      <c r="L42" s="1018">
        <v>5.2999999999999999E-2</v>
      </c>
      <c r="M42" s="1103">
        <v>5.2999999999999999E-2</v>
      </c>
      <c r="N42" s="1497">
        <v>5.2999999999999999E-2</v>
      </c>
      <c r="O42" s="1498">
        <v>5.2999999999999999E-2</v>
      </c>
      <c r="P42" s="1498">
        <v>5.2999999999999999E-2</v>
      </c>
      <c r="Q42" s="1498">
        <v>5.2999999999999999E-2</v>
      </c>
      <c r="R42" s="1499">
        <v>5.2999999999999999E-2</v>
      </c>
      <c r="S42" s="657"/>
      <c r="T42" s="1017">
        <f>K42</f>
        <v>5.2999999999999999E-2</v>
      </c>
      <c r="U42" s="1153">
        <f>L42</f>
        <v>5.2999999999999999E-2</v>
      </c>
      <c r="V42" s="1135"/>
      <c r="W42" s="1138"/>
      <c r="X42" s="658"/>
      <c r="Y42" s="57"/>
      <c r="Z42" s="658"/>
      <c r="AA42" s="1115"/>
    </row>
    <row r="43" spans="1:27" ht="12" customHeight="1">
      <c r="A43" s="56" t="s">
        <v>355</v>
      </c>
      <c r="B43" s="21"/>
      <c r="C43" s="118"/>
      <c r="D43" s="117"/>
      <c r="E43" s="117"/>
      <c r="F43" s="117"/>
      <c r="G43" s="117"/>
      <c r="H43" s="117"/>
      <c r="I43" s="656"/>
      <c r="J43" s="731"/>
      <c r="K43" s="118"/>
      <c r="L43" s="117"/>
      <c r="M43" s="1104"/>
      <c r="N43" s="118" t="s">
        <v>385</v>
      </c>
      <c r="O43" s="117" t="s">
        <v>385</v>
      </c>
      <c r="P43" s="117" t="s">
        <v>385</v>
      </c>
      <c r="Q43" s="117" t="s">
        <v>385</v>
      </c>
      <c r="R43" s="1019" t="s">
        <v>385</v>
      </c>
      <c r="S43" s="657"/>
      <c r="T43" s="118"/>
      <c r="U43" s="1153"/>
      <c r="V43" s="1135"/>
      <c r="W43" s="1138"/>
      <c r="X43" s="658"/>
      <c r="Y43" s="57"/>
      <c r="Z43" s="658"/>
      <c r="AA43" s="1115"/>
    </row>
    <row r="44" spans="1:27" ht="12" customHeight="1">
      <c r="A44" s="137" t="s">
        <v>356</v>
      </c>
      <c r="B44" s="21"/>
      <c r="C44" s="120">
        <v>1</v>
      </c>
      <c r="D44" s="119">
        <v>1</v>
      </c>
      <c r="E44" s="119">
        <v>1</v>
      </c>
      <c r="F44" s="119">
        <v>1</v>
      </c>
      <c r="G44" s="119">
        <v>1</v>
      </c>
      <c r="H44" s="119">
        <v>1</v>
      </c>
      <c r="I44" s="659">
        <v>1</v>
      </c>
      <c r="J44" s="732">
        <v>1</v>
      </c>
      <c r="K44" s="120">
        <v>1</v>
      </c>
      <c r="L44" s="119">
        <v>1</v>
      </c>
      <c r="M44" s="1105">
        <v>1</v>
      </c>
      <c r="N44" s="120">
        <v>1</v>
      </c>
      <c r="O44" s="119">
        <v>1</v>
      </c>
      <c r="P44" s="119">
        <v>1</v>
      </c>
      <c r="Q44" s="119">
        <v>1</v>
      </c>
      <c r="R44" s="1020">
        <v>1</v>
      </c>
      <c r="S44" s="660"/>
      <c r="T44" s="120">
        <v>1</v>
      </c>
      <c r="U44" s="1154">
        <v>1</v>
      </c>
      <c r="V44" s="1136"/>
      <c r="W44" s="103"/>
      <c r="X44" s="661"/>
      <c r="Y44" s="61"/>
      <c r="Z44" s="661"/>
      <c r="AA44" s="136"/>
    </row>
    <row r="45" spans="1:27" ht="5.45" customHeight="1">
      <c r="A45" s="17"/>
      <c r="K45" s="144"/>
      <c r="L45" s="144"/>
      <c r="M45" s="144"/>
      <c r="N45" s="144"/>
      <c r="O45" s="144"/>
      <c r="P45" s="144"/>
      <c r="Q45" s="144"/>
      <c r="R45" s="144"/>
      <c r="S45" s="59"/>
      <c r="T45" s="144"/>
      <c r="U45" s="144"/>
      <c r="V45" s="145"/>
      <c r="W45" s="146"/>
      <c r="X45" s="146"/>
      <c r="Y45" s="146"/>
      <c r="Z45" s="146"/>
      <c r="AA45" s="146"/>
    </row>
    <row r="46" spans="1:27" s="605" customFormat="1" ht="12" customHeight="1">
      <c r="A46" s="71" t="s">
        <v>357</v>
      </c>
      <c r="B46" s="2"/>
      <c r="C46" s="2"/>
      <c r="D46" s="2"/>
      <c r="E46" s="2"/>
      <c r="F46" s="2"/>
      <c r="G46" s="2"/>
      <c r="H46" s="2"/>
      <c r="I46" s="2"/>
      <c r="J46" s="641"/>
      <c r="K46" s="27"/>
      <c r="L46" s="27"/>
      <c r="M46" s="27"/>
      <c r="N46" s="27"/>
      <c r="O46" s="27"/>
      <c r="P46" s="27"/>
      <c r="Q46" s="27"/>
      <c r="R46" s="27"/>
      <c r="S46" s="604"/>
      <c r="T46" s="27"/>
      <c r="U46" s="27"/>
      <c r="V46" s="604"/>
      <c r="W46" s="604"/>
      <c r="X46" s="604"/>
      <c r="Y46" s="604"/>
      <c r="Z46" s="604"/>
      <c r="AA46" s="604"/>
    </row>
    <row r="47" spans="1:27" s="605" customFormat="1" ht="12" customHeight="1">
      <c r="A47" s="126" t="s">
        <v>358</v>
      </c>
      <c r="B47" s="123"/>
      <c r="C47" s="664"/>
      <c r="D47" s="664"/>
      <c r="E47" s="664"/>
      <c r="F47" s="128"/>
      <c r="G47" s="128"/>
      <c r="H47" s="128"/>
      <c r="I47" s="128"/>
      <c r="J47" s="744"/>
      <c r="K47" s="127"/>
      <c r="L47" s="128"/>
      <c r="M47" s="1139"/>
      <c r="N47" s="1527"/>
      <c r="O47" s="1528"/>
      <c r="P47" s="1528"/>
      <c r="Q47" s="1528"/>
      <c r="R47" s="1529"/>
      <c r="S47" s="619"/>
      <c r="T47" s="1021"/>
      <c r="U47" s="1155"/>
      <c r="V47" s="1139"/>
      <c r="W47" s="1021"/>
      <c r="X47" s="128"/>
      <c r="Y47" s="128"/>
      <c r="Z47" s="128"/>
      <c r="AA47" s="1022"/>
    </row>
    <row r="48" spans="1:27" ht="5.45" customHeight="1">
      <c r="A48" s="17"/>
      <c r="K48" s="144"/>
      <c r="L48" s="144"/>
      <c r="M48" s="144"/>
      <c r="N48" s="144"/>
      <c r="O48" s="144"/>
      <c r="P48" s="144"/>
      <c r="Q48" s="144"/>
      <c r="R48" s="144"/>
      <c r="S48" s="59"/>
      <c r="T48" s="144"/>
      <c r="U48" s="144"/>
      <c r="V48" s="145"/>
      <c r="W48" s="146"/>
      <c r="X48" s="146"/>
      <c r="Y48" s="146"/>
      <c r="Z48" s="146"/>
      <c r="AA48" s="146"/>
    </row>
    <row r="49" spans="1:27" s="615" customFormat="1" ht="12" customHeight="1">
      <c r="A49" s="71" t="s">
        <v>359</v>
      </c>
      <c r="B49" s="2"/>
      <c r="C49" s="2"/>
      <c r="D49" s="2"/>
      <c r="E49" s="2"/>
      <c r="F49" s="2"/>
      <c r="G49" s="2"/>
      <c r="H49" s="2"/>
      <c r="I49" s="2"/>
      <c r="J49" s="641"/>
      <c r="K49" s="27"/>
      <c r="L49" s="27"/>
      <c r="M49" s="27"/>
      <c r="N49" s="27"/>
      <c r="O49" s="27"/>
      <c r="P49" s="27"/>
      <c r="Q49" s="27"/>
      <c r="R49" s="27"/>
      <c r="S49" s="604"/>
      <c r="T49" s="27"/>
      <c r="U49" s="27"/>
      <c r="V49" s="604"/>
      <c r="W49" s="604"/>
      <c r="X49" s="604"/>
      <c r="Y49" s="604"/>
      <c r="Z49" s="604"/>
      <c r="AA49" s="604"/>
    </row>
    <row r="50" spans="1:27" ht="12" customHeight="1">
      <c r="A50" s="42" t="s">
        <v>360</v>
      </c>
      <c r="B50" s="21"/>
      <c r="C50" s="665"/>
      <c r="D50" s="665"/>
      <c r="E50" s="665"/>
      <c r="F50" s="665"/>
      <c r="G50" s="665"/>
      <c r="H50" s="665"/>
      <c r="I50" s="665"/>
      <c r="J50" s="745"/>
      <c r="K50" s="67">
        <v>0</v>
      </c>
      <c r="L50" s="22">
        <v>0</v>
      </c>
      <c r="M50" s="23">
        <v>0</v>
      </c>
      <c r="N50" s="158">
        <v>0</v>
      </c>
      <c r="O50" s="22">
        <v>0</v>
      </c>
      <c r="P50" s="22">
        <v>0</v>
      </c>
      <c r="Q50" s="22">
        <v>0</v>
      </c>
      <c r="R50" s="22">
        <v>0</v>
      </c>
      <c r="S50" s="43"/>
      <c r="T50" s="67">
        <v>0</v>
      </c>
      <c r="U50" s="1152"/>
      <c r="V50" s="1101"/>
      <c r="W50" s="1133"/>
      <c r="X50" s="22"/>
      <c r="Y50" s="22"/>
      <c r="Z50" s="22"/>
      <c r="AA50" s="23"/>
    </row>
    <row r="51" spans="1:27" ht="12" customHeight="1">
      <c r="A51" s="44" t="s">
        <v>361</v>
      </c>
      <c r="B51" s="21"/>
      <c r="C51" s="666"/>
      <c r="D51" s="666"/>
      <c r="E51" s="666"/>
      <c r="F51" s="666"/>
      <c r="G51" s="666"/>
      <c r="H51" s="666"/>
      <c r="I51" s="666"/>
      <c r="J51" s="746"/>
      <c r="K51" s="37">
        <v>0</v>
      </c>
      <c r="L51" s="5">
        <v>0</v>
      </c>
      <c r="M51" s="25">
        <v>0</v>
      </c>
      <c r="N51" s="157">
        <v>0</v>
      </c>
      <c r="O51" s="5">
        <v>0</v>
      </c>
      <c r="P51" s="5">
        <v>0</v>
      </c>
      <c r="Q51" s="5">
        <v>0</v>
      </c>
      <c r="R51" s="5">
        <v>0</v>
      </c>
      <c r="S51" s="43"/>
      <c r="T51" s="37">
        <v>0</v>
      </c>
      <c r="U51" s="1151"/>
      <c r="V51" s="1140"/>
      <c r="W51" s="1130"/>
      <c r="X51" s="5"/>
      <c r="Y51" s="35"/>
      <c r="Z51" s="5"/>
      <c r="AA51" s="581"/>
    </row>
    <row r="52" spans="1:27" ht="12" customHeight="1">
      <c r="A52" s="137" t="s">
        <v>362</v>
      </c>
      <c r="B52" s="21"/>
      <c r="C52" s="599"/>
      <c r="D52" s="599"/>
      <c r="E52" s="599"/>
      <c r="F52" s="599"/>
      <c r="G52" s="599"/>
      <c r="H52" s="599"/>
      <c r="I52" s="599"/>
      <c r="J52" s="747"/>
      <c r="K52" s="46">
        <v>0</v>
      </c>
      <c r="L52" s="47">
        <v>0</v>
      </c>
      <c r="M52" s="48">
        <v>0</v>
      </c>
      <c r="N52" s="159">
        <v>0</v>
      </c>
      <c r="O52" s="47">
        <v>0</v>
      </c>
      <c r="P52" s="47">
        <v>0</v>
      </c>
      <c r="Q52" s="47">
        <v>0</v>
      </c>
      <c r="R52" s="47">
        <v>0</v>
      </c>
      <c r="S52" s="59"/>
      <c r="T52" s="46">
        <v>0</v>
      </c>
      <c r="U52" s="1154"/>
      <c r="V52" s="1141"/>
      <c r="W52" s="103"/>
      <c r="X52" s="119"/>
      <c r="Y52" s="60"/>
      <c r="Z52" s="119"/>
      <c r="AA52" s="1116"/>
    </row>
    <row r="53" spans="1:27" ht="5.45" customHeight="1">
      <c r="A53" s="17"/>
      <c r="K53" s="144"/>
      <c r="L53" s="144"/>
      <c r="M53" s="144"/>
      <c r="N53" s="144"/>
      <c r="O53" s="144"/>
      <c r="P53" s="144"/>
      <c r="Q53" s="144"/>
      <c r="R53" s="144"/>
      <c r="S53" s="59"/>
      <c r="T53" s="144"/>
      <c r="U53" s="144"/>
      <c r="V53" s="145"/>
      <c r="W53" s="146"/>
      <c r="X53" s="146"/>
      <c r="Y53" s="146"/>
      <c r="Z53" s="146"/>
      <c r="AA53" s="146"/>
    </row>
    <row r="54" spans="1:27" s="615" customFormat="1" ht="12" customHeight="1">
      <c r="A54" s="71" t="s">
        <v>363</v>
      </c>
      <c r="B54" s="2"/>
      <c r="C54" s="2"/>
      <c r="D54" s="2"/>
      <c r="E54" s="2"/>
      <c r="F54" s="2"/>
      <c r="G54" s="2"/>
      <c r="H54" s="2"/>
      <c r="I54" s="2"/>
      <c r="J54" s="641"/>
      <c r="K54" s="27"/>
      <c r="L54" s="27"/>
      <c r="M54" s="27"/>
      <c r="N54" s="27"/>
      <c r="O54" s="27"/>
      <c r="P54" s="27"/>
      <c r="Q54" s="27"/>
      <c r="R54" s="27"/>
      <c r="S54" s="604"/>
      <c r="T54" s="27"/>
      <c r="U54" s="27"/>
      <c r="V54" s="604"/>
      <c r="W54" s="604"/>
      <c r="X54" s="604"/>
      <c r="Y54" s="604"/>
      <c r="Z54" s="604"/>
      <c r="AA54" s="604"/>
    </row>
    <row r="55" spans="1:27" s="615" customFormat="1" ht="12" customHeight="1">
      <c r="A55" s="122" t="s">
        <v>364</v>
      </c>
      <c r="B55" s="123"/>
      <c r="C55" s="668"/>
      <c r="D55" s="669"/>
      <c r="E55" s="669"/>
      <c r="F55" s="669"/>
      <c r="G55" s="669"/>
      <c r="H55" s="669"/>
      <c r="I55" s="670"/>
      <c r="J55" s="736"/>
      <c r="K55" s="668"/>
      <c r="L55" s="669"/>
      <c r="M55" s="669"/>
      <c r="N55" s="669"/>
      <c r="O55" s="669"/>
      <c r="P55" s="669"/>
      <c r="Q55" s="669"/>
      <c r="R55" s="1117"/>
      <c r="S55" s="619"/>
      <c r="T55" s="668"/>
      <c r="U55" s="669"/>
      <c r="V55" s="1186"/>
      <c r="W55" s="1189"/>
      <c r="X55" s="671"/>
      <c r="Y55" s="671"/>
      <c r="Z55" s="671"/>
      <c r="AA55" s="672"/>
    </row>
    <row r="56" spans="1:27" ht="12" customHeight="1">
      <c r="A56" s="44" t="s">
        <v>365</v>
      </c>
      <c r="B56" s="21"/>
      <c r="C56" s="673"/>
      <c r="D56" s="666"/>
      <c r="E56" s="666"/>
      <c r="F56" s="666"/>
      <c r="G56" s="666"/>
      <c r="H56" s="666"/>
      <c r="I56" s="666"/>
      <c r="J56" s="737"/>
      <c r="K56" s="673"/>
      <c r="L56" s="666"/>
      <c r="M56" s="666"/>
      <c r="N56" s="666"/>
      <c r="O56" s="666"/>
      <c r="P56" s="666"/>
      <c r="Q56" s="666"/>
      <c r="R56" s="674"/>
      <c r="S56" s="43"/>
      <c r="T56" s="673"/>
      <c r="U56" s="666"/>
      <c r="V56" s="1187"/>
      <c r="W56" s="1129"/>
      <c r="X56" s="675"/>
      <c r="Y56" s="675"/>
      <c r="Z56" s="675"/>
      <c r="AA56" s="1112"/>
    </row>
    <row r="57" spans="1:27" ht="12" customHeight="1">
      <c r="A57" s="137" t="s">
        <v>366</v>
      </c>
      <c r="B57" s="21"/>
      <c r="C57" s="598"/>
      <c r="D57" s="599"/>
      <c r="E57" s="599"/>
      <c r="F57" s="599"/>
      <c r="G57" s="599"/>
      <c r="H57" s="599"/>
      <c r="I57" s="599"/>
      <c r="J57" s="738"/>
      <c r="K57" s="598"/>
      <c r="L57" s="599"/>
      <c r="M57" s="599"/>
      <c r="N57" s="599"/>
      <c r="O57" s="599"/>
      <c r="P57" s="599"/>
      <c r="Q57" s="599"/>
      <c r="R57" s="600"/>
      <c r="S57" s="59"/>
      <c r="T57" s="598"/>
      <c r="U57" s="599"/>
      <c r="V57" s="1188"/>
      <c r="W57" s="1190"/>
      <c r="X57" s="601"/>
      <c r="Y57" s="602"/>
      <c r="Z57" s="601"/>
      <c r="AA57" s="1118"/>
    </row>
    <row r="58" spans="1:27" ht="12" customHeight="1">
      <c r="A58" s="138"/>
      <c r="B58" s="139"/>
      <c r="C58" s="139"/>
      <c r="D58" s="139"/>
      <c r="E58" s="139"/>
      <c r="F58" s="139"/>
      <c r="G58" s="139"/>
      <c r="H58" s="139"/>
      <c r="I58" s="139"/>
      <c r="J58" s="739"/>
      <c r="K58" s="140"/>
      <c r="L58" s="140"/>
      <c r="M58" s="140"/>
      <c r="N58" s="140"/>
      <c r="O58" s="140"/>
      <c r="P58" s="140"/>
      <c r="Q58" s="140"/>
      <c r="R58" s="140"/>
      <c r="S58" s="677"/>
      <c r="T58" s="140"/>
      <c r="U58" s="140"/>
      <c r="V58" s="627"/>
      <c r="W58" s="627"/>
      <c r="X58" s="627"/>
      <c r="Y58" s="627"/>
      <c r="Z58" s="627"/>
      <c r="AA58" s="627"/>
    </row>
    <row r="59" spans="1:27" ht="15.6" customHeight="1">
      <c r="A59" s="15" t="s">
        <v>367</v>
      </c>
      <c r="B59" s="15"/>
      <c r="C59" s="15"/>
      <c r="D59" s="15"/>
      <c r="E59" s="15"/>
      <c r="F59" s="15"/>
      <c r="G59" s="15"/>
      <c r="H59" s="15"/>
      <c r="I59" s="15"/>
      <c r="J59" s="695"/>
      <c r="K59" s="17"/>
      <c r="L59" s="17"/>
      <c r="M59" s="17"/>
      <c r="N59" s="17"/>
      <c r="O59" s="18"/>
      <c r="P59" s="17"/>
      <c r="Q59" s="18"/>
      <c r="R59" s="17"/>
      <c r="S59" s="18"/>
      <c r="T59" s="17"/>
      <c r="U59" s="17"/>
      <c r="V59" s="19"/>
      <c r="W59" s="19"/>
      <c r="X59" s="19"/>
      <c r="Y59" s="19"/>
      <c r="Z59" s="19"/>
      <c r="AA59" s="19"/>
    </row>
    <row r="60" spans="1:27" ht="12" customHeight="1">
      <c r="A60" s="66" t="s">
        <v>368</v>
      </c>
      <c r="B60" s="21"/>
      <c r="C60" s="67"/>
      <c r="D60" s="22"/>
      <c r="E60" s="22"/>
      <c r="F60" s="22"/>
      <c r="G60" s="22"/>
      <c r="H60" s="22"/>
      <c r="I60" s="650"/>
      <c r="J60" s="728"/>
      <c r="K60" s="67"/>
      <c r="L60" s="22"/>
      <c r="M60" s="1101"/>
      <c r="N60" s="67"/>
      <c r="O60" s="22"/>
      <c r="P60" s="22"/>
      <c r="Q60" s="22"/>
      <c r="R60" s="23"/>
      <c r="S60" s="26"/>
      <c r="T60" s="67"/>
      <c r="U60" s="22"/>
      <c r="V60" s="33"/>
      <c r="W60" s="33"/>
      <c r="X60" s="22"/>
      <c r="Y60" s="33"/>
      <c r="Z60" s="22"/>
      <c r="AA60" s="1119"/>
    </row>
    <row r="61" spans="1:27" s="143" customFormat="1" ht="12" customHeight="1">
      <c r="A61" s="147" t="s">
        <v>369</v>
      </c>
      <c r="B61" s="7"/>
      <c r="C61" s="148">
        <f>C18-C60</f>
        <v>29130</v>
      </c>
      <c r="D61" s="149">
        <f t="shared" ref="D61:J61" si="21">D18-D60</f>
        <v>28718</v>
      </c>
      <c r="E61" s="149">
        <f t="shared" si="21"/>
        <v>28213</v>
      </c>
      <c r="F61" s="149">
        <f t="shared" si="21"/>
        <v>28438</v>
      </c>
      <c r="G61" s="149">
        <f t="shared" si="21"/>
        <v>27852.3</v>
      </c>
      <c r="H61" s="149">
        <f t="shared" si="21"/>
        <v>26446</v>
      </c>
      <c r="I61" s="149">
        <f t="shared" si="21"/>
        <v>27081.342521957115</v>
      </c>
      <c r="J61" s="717">
        <f t="shared" si="21"/>
        <v>27756.395069999999</v>
      </c>
      <c r="K61" s="148">
        <f>K18-K60</f>
        <v>30937.954929357504</v>
      </c>
      <c r="L61" s="149">
        <f>L18-L60</f>
        <v>30193.924055224317</v>
      </c>
      <c r="M61" s="926">
        <f>M18-M60</f>
        <v>31631.804677089873</v>
      </c>
      <c r="N61" s="148">
        <f>N18-N60</f>
        <v>33079.187312470771</v>
      </c>
      <c r="O61" s="149">
        <f>O18-O60</f>
        <v>38640.665612974866</v>
      </c>
      <c r="P61" s="149">
        <f t="shared" ref="P61:R61" si="22">P18-P60</f>
        <v>39501.623145362442</v>
      </c>
      <c r="Q61" s="149">
        <f t="shared" si="22"/>
        <v>39933.780782552552</v>
      </c>
      <c r="R61" s="150">
        <f t="shared" si="22"/>
        <v>39875.598678985043</v>
      </c>
      <c r="S61" s="68"/>
      <c r="T61" s="148">
        <f>T18-T60</f>
        <v>28865.467896628572</v>
      </c>
      <c r="U61" s="149">
        <f>U18-U60</f>
        <v>29269.24</v>
      </c>
      <c r="V61" s="69"/>
      <c r="W61" s="69"/>
      <c r="X61" s="149"/>
      <c r="Y61" s="69"/>
      <c r="Z61" s="149"/>
      <c r="AA61" s="1120"/>
    </row>
    <row r="62" spans="1:27" s="77" customFormat="1" ht="12" customHeight="1">
      <c r="A62" s="17"/>
      <c r="B62" s="2"/>
      <c r="C62" s="2"/>
      <c r="D62" s="2"/>
      <c r="E62" s="2"/>
      <c r="F62" s="2"/>
      <c r="G62" s="2"/>
      <c r="H62" s="2"/>
      <c r="I62" s="2"/>
      <c r="J62" s="641"/>
      <c r="K62" s="65"/>
      <c r="L62" s="65"/>
      <c r="M62" s="65"/>
      <c r="N62" s="65"/>
      <c r="O62" s="65"/>
      <c r="P62" s="65"/>
      <c r="Q62" s="65"/>
      <c r="R62" s="65"/>
      <c r="S62" s="64"/>
      <c r="T62" s="65"/>
      <c r="U62" s="65"/>
      <c r="V62" s="63"/>
      <c r="W62" s="63"/>
      <c r="X62" s="63"/>
      <c r="Y62" s="63"/>
      <c r="Z62" s="63"/>
      <c r="AA62" s="63"/>
    </row>
    <row r="63" spans="1:27" ht="15.6" customHeight="1">
      <c r="A63" s="15" t="s">
        <v>370</v>
      </c>
      <c r="B63" s="15"/>
      <c r="C63" s="15"/>
      <c r="D63" s="15"/>
      <c r="E63" s="15"/>
      <c r="F63" s="15"/>
      <c r="G63" s="15"/>
      <c r="H63" s="15"/>
      <c r="I63" s="15"/>
      <c r="J63" s="695"/>
      <c r="K63" s="17"/>
      <c r="L63" s="17"/>
      <c r="M63" s="17"/>
      <c r="N63" s="17"/>
      <c r="O63" s="18"/>
      <c r="P63" s="17"/>
      <c r="Q63" s="18"/>
      <c r="R63" s="17"/>
      <c r="S63" s="18"/>
      <c r="T63" s="17"/>
      <c r="U63" s="17"/>
      <c r="V63" s="19"/>
      <c r="W63" s="19"/>
      <c r="X63" s="19"/>
      <c r="Y63" s="19"/>
      <c r="Z63" s="19"/>
      <c r="AA63" s="19"/>
    </row>
    <row r="64" spans="1:27" s="90" customFormat="1" ht="12" customHeight="1">
      <c r="A64" s="42" t="s">
        <v>371</v>
      </c>
      <c r="B64" s="2"/>
      <c r="C64" s="72">
        <f>'T1'!C64</f>
        <v>2.8000000000000001E-2</v>
      </c>
      <c r="D64" s="73">
        <f>'T1'!D64</f>
        <v>2.5999999999999999E-2</v>
      </c>
      <c r="E64" s="73">
        <f>'T1'!E64</f>
        <v>1.4999999999999999E-2</v>
      </c>
      <c r="F64" s="73">
        <f>'T1'!F64</f>
        <v>0</v>
      </c>
      <c r="G64" s="73">
        <f>'T1'!G64</f>
        <v>7.0000000000000001E-3</v>
      </c>
      <c r="H64" s="73">
        <f>'T1'!H64</f>
        <v>2.7E-2</v>
      </c>
      <c r="I64" s="73">
        <f>'T1'!I64</f>
        <v>2.5000000000000001E-2</v>
      </c>
      <c r="J64" s="748">
        <f>'T1'!J64</f>
        <v>1.7999999999999999E-2</v>
      </c>
      <c r="K64" s="72">
        <f>'T1'!K64</f>
        <v>2.0000000000000132E-2</v>
      </c>
      <c r="L64" s="73">
        <f>'T1'!L64</f>
        <v>1.9999999999999799E-2</v>
      </c>
      <c r="M64" s="73">
        <f>'T1'!M64</f>
        <v>2.0000000000000205E-2</v>
      </c>
      <c r="N64" s="73">
        <f>'T1'!N64</f>
        <v>4.0419530703928341E-2</v>
      </c>
      <c r="O64" s="73">
        <f>'T1'!O64</f>
        <v>1.5350874280278148E-2</v>
      </c>
      <c r="P64" s="73">
        <f>'T1'!P64</f>
        <v>1.8799526478357587E-2</v>
      </c>
      <c r="Q64" s="73">
        <f>'T1'!Q64</f>
        <v>1.9999999999999796E-2</v>
      </c>
      <c r="R64" s="74">
        <f>'T1'!R64</f>
        <v>1.9999999999999574E-2</v>
      </c>
      <c r="S64" s="75"/>
      <c r="T64" s="72">
        <f>'T1'!T64</f>
        <v>8.9999999999999993E-3</v>
      </c>
      <c r="U64" s="73">
        <f>'T1'!U64</f>
        <v>2.5999999999999999E-2</v>
      </c>
      <c r="V64" s="73"/>
      <c r="W64" s="73"/>
      <c r="X64" s="73"/>
      <c r="Y64" s="73"/>
      <c r="Z64" s="73"/>
      <c r="AA64" s="74"/>
    </row>
    <row r="65" spans="1:27" s="77" customFormat="1" ht="12" customHeight="1">
      <c r="A65" s="44" t="s">
        <v>372</v>
      </c>
      <c r="B65" s="2"/>
      <c r="C65" s="78">
        <f>'T1'!C65</f>
        <v>92.851020823042745</v>
      </c>
      <c r="D65" s="79">
        <f>'T1'!D65</f>
        <v>95.265147364441859</v>
      </c>
      <c r="E65" s="79">
        <f>'T1'!E65</f>
        <v>96.694124574908471</v>
      </c>
      <c r="F65" s="79">
        <f>'T1'!F65</f>
        <v>96.694124574908471</v>
      </c>
      <c r="G65" s="79">
        <f>'T1'!G65</f>
        <v>97.370983446932826</v>
      </c>
      <c r="H65" s="79">
        <f>'T1'!H65</f>
        <v>100</v>
      </c>
      <c r="I65" s="79">
        <f>'T1'!I65</f>
        <v>102.49999999999999</v>
      </c>
      <c r="J65" s="749">
        <f>'T1'!J65</f>
        <v>104.34499999999998</v>
      </c>
      <c r="K65" s="78">
        <f>'T1'!K65</f>
        <v>106.44304700754894</v>
      </c>
      <c r="L65" s="79">
        <f>'T1'!L65</f>
        <v>108.5719079476999</v>
      </c>
      <c r="M65" s="79">
        <f>'T1'!M65</f>
        <v>110.74334610665392</v>
      </c>
      <c r="N65" s="79">
        <f>'T1'!N65</f>
        <v>115.21954018486758</v>
      </c>
      <c r="O65" s="79">
        <f>'T1'!O65</f>
        <v>116.98826086087693</v>
      </c>
      <c r="P65" s="79">
        <f>'T1'!P65</f>
        <v>119.187584768588</v>
      </c>
      <c r="Q65" s="79">
        <f>'T1'!Q65</f>
        <v>121.57133646395974</v>
      </c>
      <c r="R65" s="80">
        <f>'T1'!R65</f>
        <v>124.00276319323888</v>
      </c>
      <c r="S65" s="81"/>
      <c r="T65" s="78">
        <f>'T1'!T65</f>
        <v>105.28410499999997</v>
      </c>
      <c r="U65" s="79">
        <f>'T1'!U65</f>
        <v>108.02149172999997</v>
      </c>
      <c r="V65" s="79"/>
      <c r="W65" s="79"/>
      <c r="X65" s="79"/>
      <c r="Y65" s="79"/>
      <c r="Z65" s="79"/>
      <c r="AA65" s="80"/>
    </row>
    <row r="66" spans="1:27" s="77" customFormat="1" ht="12" customHeight="1">
      <c r="A66" s="83" t="s">
        <v>373</v>
      </c>
      <c r="B66" s="84"/>
      <c r="C66" s="85">
        <f>((C61)/(C65/100))</f>
        <v>31372.837629342292</v>
      </c>
      <c r="D66" s="85">
        <f t="shared" ref="D66:O66" si="23">((D61)/(D65/100))</f>
        <v>30145.33729752999</v>
      </c>
      <c r="E66" s="85">
        <f t="shared" si="23"/>
        <v>29177.574256999997</v>
      </c>
      <c r="F66" s="85">
        <f t="shared" si="23"/>
        <v>29410.266781999995</v>
      </c>
      <c r="G66" s="85">
        <f t="shared" si="23"/>
        <v>28604.312099999996</v>
      </c>
      <c r="H66" s="85">
        <f t="shared" si="23"/>
        <v>26446</v>
      </c>
      <c r="I66" s="85">
        <f t="shared" si="23"/>
        <v>26420.82197264109</v>
      </c>
      <c r="J66" s="85">
        <f t="shared" si="23"/>
        <v>26600.599041640715</v>
      </c>
      <c r="K66" s="85">
        <f t="shared" si="23"/>
        <v>29065.266167327383</v>
      </c>
      <c r="L66" s="85">
        <f t="shared" si="23"/>
        <v>27810.070418739448</v>
      </c>
      <c r="M66" s="85">
        <f t="shared" si="23"/>
        <v>28563.165001919071</v>
      </c>
      <c r="N66" s="85">
        <f t="shared" si="23"/>
        <v>28709.702589852241</v>
      </c>
      <c r="O66" s="85">
        <f t="shared" si="23"/>
        <v>33029.523927128517</v>
      </c>
      <c r="P66" s="85">
        <f t="shared" ref="P66:R66" si="24">((P61)/(P65/100))</f>
        <v>33142.397525764056</v>
      </c>
      <c r="Q66" s="85">
        <f t="shared" si="24"/>
        <v>32848.023180522541</v>
      </c>
      <c r="R66" s="1122">
        <f t="shared" si="24"/>
        <v>32157.024288922632</v>
      </c>
      <c r="S66" s="87"/>
      <c r="T66" s="85">
        <f t="shared" ref="T66:U66" si="25">((T61)/(T65/100))</f>
        <v>27416.738639349769</v>
      </c>
      <c r="U66" s="86">
        <f t="shared" si="25"/>
        <v>27095.756160411624</v>
      </c>
      <c r="V66" s="88"/>
      <c r="W66" s="88"/>
      <c r="X66" s="88"/>
      <c r="Y66" s="88"/>
      <c r="Z66" s="88"/>
      <c r="AA66" s="1121"/>
    </row>
    <row r="67" spans="1:27" s="77" customFormat="1" ht="12" customHeight="1">
      <c r="A67" s="91" t="s">
        <v>334</v>
      </c>
      <c r="B67" s="2"/>
      <c r="C67" s="38"/>
      <c r="D67" s="40">
        <f>D66/C66-1</f>
        <v>-3.9126213137451349E-2</v>
      </c>
      <c r="E67" s="40">
        <f t="shared" ref="E67:J67" si="26">E66/D66-1</f>
        <v>-3.210324140606946E-2</v>
      </c>
      <c r="F67" s="40">
        <f t="shared" si="26"/>
        <v>7.9750469641655108E-3</v>
      </c>
      <c r="G67" s="40">
        <f t="shared" si="26"/>
        <v>-2.7403854850214016E-2</v>
      </c>
      <c r="H67" s="40">
        <f t="shared" si="26"/>
        <v>-7.5454081624287572E-2</v>
      </c>
      <c r="I67" s="40">
        <f t="shared" si="26"/>
        <v>-9.520542750854899E-4</v>
      </c>
      <c r="J67" s="750">
        <f t="shared" si="26"/>
        <v>6.8043707794476216E-3</v>
      </c>
      <c r="K67" s="38">
        <f>K66/J66-1</f>
        <v>9.265457224585294E-2</v>
      </c>
      <c r="L67" s="40">
        <f>L66/K66-1</f>
        <v>-4.3185420747975711E-2</v>
      </c>
      <c r="M67" s="40">
        <f>M66/L66-1</f>
        <v>2.7079923633424485E-2</v>
      </c>
      <c r="N67" s="40">
        <f>N66/M66-1</f>
        <v>5.1302993881567893E-3</v>
      </c>
      <c r="O67" s="40">
        <f>O66/N66-1</f>
        <v>0.15046555511178172</v>
      </c>
      <c r="P67" s="40">
        <f t="shared" ref="P67:R67" si="27">P66/O66-1</f>
        <v>3.4173546940781119E-3</v>
      </c>
      <c r="Q67" s="40">
        <f t="shared" si="27"/>
        <v>-8.8821077296136197E-3</v>
      </c>
      <c r="R67" s="92">
        <f t="shared" si="27"/>
        <v>-2.1036239770119258E-2</v>
      </c>
      <c r="S67" s="39"/>
      <c r="T67" s="38">
        <f>+T66/J66-1</f>
        <v>3.0681248810655148E-2</v>
      </c>
      <c r="U67" s="40">
        <f>+U66/K66-1</f>
        <v>-6.7761636710201856E-2</v>
      </c>
      <c r="V67" s="40"/>
      <c r="W67" s="40"/>
      <c r="X67" s="40"/>
      <c r="Y67" s="40"/>
      <c r="Z67" s="40"/>
      <c r="AA67" s="92"/>
    </row>
    <row r="68" spans="1:27" s="77" customFormat="1" ht="12" customHeight="1">
      <c r="A68" s="93" t="s">
        <v>374</v>
      </c>
      <c r="B68" s="4"/>
      <c r="C68" s="94">
        <f>'T1'!C68</f>
        <v>9607.8779999999988</v>
      </c>
      <c r="D68" s="95">
        <f>'T1'!D68</f>
        <v>9754.9330000000009</v>
      </c>
      <c r="E68" s="95">
        <f>'T1'!E68</f>
        <v>9979.4030000000002</v>
      </c>
      <c r="F68" s="95">
        <f>'T1'!F68</f>
        <v>10153.9</v>
      </c>
      <c r="G68" s="95">
        <f>'T1'!G68</f>
        <v>10874.798000000001</v>
      </c>
      <c r="H68" s="95">
        <f>'T1'!H68</f>
        <v>11767.620999999999</v>
      </c>
      <c r="I68" s="95">
        <v>12194.153</v>
      </c>
      <c r="J68" s="751">
        <f>'T1'!J68</f>
        <v>12593.8988214</v>
      </c>
      <c r="K68" s="94">
        <f>'T1'!K68</f>
        <v>12647.945</v>
      </c>
      <c r="L68" s="95">
        <f>'T1'!L68</f>
        <v>12891</v>
      </c>
      <c r="M68" s="95">
        <f>'T1'!M68</f>
        <v>13183</v>
      </c>
      <c r="N68" s="95">
        <f>'T1'!N68</f>
        <v>11715</v>
      </c>
      <c r="O68" s="95">
        <f>'T1'!O68</f>
        <v>12228</v>
      </c>
      <c r="P68" s="95">
        <f>'T1'!P68</f>
        <v>12424</v>
      </c>
      <c r="Q68" s="95">
        <f>'T1'!Q68</f>
        <v>12641</v>
      </c>
      <c r="R68" s="96">
        <f>'T1'!R68</f>
        <v>12850</v>
      </c>
      <c r="S68" s="68"/>
      <c r="T68" s="94">
        <f>'T1'!T68</f>
        <v>5099.1790000000001</v>
      </c>
      <c r="U68" s="679">
        <f>'T1'!U68</f>
        <v>5395.3419999999996</v>
      </c>
      <c r="V68" s="680"/>
      <c r="W68" s="88"/>
      <c r="X68" s="680"/>
      <c r="Y68" s="88"/>
      <c r="Z68" s="680"/>
      <c r="AA68" s="1121"/>
    </row>
    <row r="69" spans="1:27" s="77" customFormat="1" ht="12" customHeight="1">
      <c r="A69" s="91" t="s">
        <v>334</v>
      </c>
      <c r="B69" s="4"/>
      <c r="C69" s="38"/>
      <c r="D69" s="40">
        <f>D68/C68-1</f>
        <v>1.5305668952083185E-2</v>
      </c>
      <c r="E69" s="40">
        <f t="shared" ref="E69:J69" si="28">E68/D68-1</f>
        <v>2.3010921756202674E-2</v>
      </c>
      <c r="F69" s="40">
        <f t="shared" si="28"/>
        <v>1.7485715327860696E-2</v>
      </c>
      <c r="G69" s="40">
        <f t="shared" si="28"/>
        <v>7.0997153802972335E-2</v>
      </c>
      <c r="H69" s="40">
        <f t="shared" si="28"/>
        <v>8.2100191654134402E-2</v>
      </c>
      <c r="I69" s="40">
        <f t="shared" si="28"/>
        <v>3.6246238725737401E-2</v>
      </c>
      <c r="J69" s="750">
        <f t="shared" si="28"/>
        <v>3.2781761996917735E-2</v>
      </c>
      <c r="K69" s="38">
        <f>K68/J68-1</f>
        <v>4.2914572656533867E-3</v>
      </c>
      <c r="L69" s="40">
        <f>L68/K68-1</f>
        <v>1.9216955797957791E-2</v>
      </c>
      <c r="M69" s="40">
        <f>M68/L68-1</f>
        <v>2.2651462260491861E-2</v>
      </c>
      <c r="N69" s="40">
        <f>N68/M68-1</f>
        <v>-0.11135553364181139</v>
      </c>
      <c r="O69" s="40">
        <f>O68/N68-1</f>
        <v>4.3790012804097334E-2</v>
      </c>
      <c r="P69" s="40">
        <f t="shared" ref="P69:R69" si="29">P68/O68-1</f>
        <v>1.602878639188754E-2</v>
      </c>
      <c r="Q69" s="40">
        <f t="shared" si="29"/>
        <v>1.7466194462330886E-2</v>
      </c>
      <c r="R69" s="92">
        <f t="shared" si="29"/>
        <v>1.653350209635307E-2</v>
      </c>
      <c r="S69" s="39"/>
      <c r="T69" s="38">
        <f>+T68/J68-1</f>
        <v>-0.59510719656288691</v>
      </c>
      <c r="U69" s="40">
        <f>+U68/K68-1</f>
        <v>-0.57342145305027814</v>
      </c>
      <c r="V69" s="151"/>
      <c r="W69" s="40"/>
      <c r="X69" s="151"/>
      <c r="Y69" s="40"/>
      <c r="Z69" s="151"/>
      <c r="AA69" s="92"/>
    </row>
    <row r="70" spans="1:27" s="77" customFormat="1" ht="12" customHeight="1">
      <c r="A70" s="93" t="s">
        <v>375</v>
      </c>
      <c r="B70" s="4"/>
      <c r="C70" s="97">
        <f>C66/C68</f>
        <v>3.2653243129588341</v>
      </c>
      <c r="D70" s="98">
        <f>D66/D68</f>
        <v>3.0902659503176482</v>
      </c>
      <c r="E70" s="98">
        <f t="shared" ref="E70:J70" si="30">E66/E68</f>
        <v>2.9237795344070179</v>
      </c>
      <c r="F70" s="98">
        <f t="shared" si="30"/>
        <v>2.8964503079604875</v>
      </c>
      <c r="G70" s="98">
        <f t="shared" si="30"/>
        <v>2.6303304300456887</v>
      </c>
      <c r="H70" s="98">
        <f t="shared" si="30"/>
        <v>2.2473531396023039</v>
      </c>
      <c r="I70" s="98">
        <f t="shared" si="30"/>
        <v>2.1666795531137826</v>
      </c>
      <c r="J70" s="752">
        <f t="shared" si="30"/>
        <v>2.1121814156899554</v>
      </c>
      <c r="K70" s="97">
        <f>K66/K68</f>
        <v>2.2980228145621586</v>
      </c>
      <c r="L70" s="98">
        <f>L66/L68</f>
        <v>2.1573245224373165</v>
      </c>
      <c r="M70" s="98">
        <f>M66/M68</f>
        <v>2.1666665403867915</v>
      </c>
      <c r="N70" s="98">
        <f>N66/N68</f>
        <v>2.4506788382289577</v>
      </c>
      <c r="O70" s="98">
        <f>O66/O68</f>
        <v>2.7011386921106082</v>
      </c>
      <c r="P70" s="98">
        <f t="shared" ref="P70:R70" si="31">P66/P68</f>
        <v>2.6676108761883497</v>
      </c>
      <c r="Q70" s="98">
        <f t="shared" si="31"/>
        <v>2.5985304311781143</v>
      </c>
      <c r="R70" s="99">
        <f t="shared" si="31"/>
        <v>2.5024921625620724</v>
      </c>
      <c r="S70" s="100"/>
      <c r="T70" s="97">
        <f>T66/T68</f>
        <v>5.3766966484898386</v>
      </c>
      <c r="U70" s="101">
        <f>U66/U68</f>
        <v>5.0220646180374899</v>
      </c>
      <c r="V70" s="98"/>
      <c r="W70" s="88"/>
      <c r="X70" s="98"/>
      <c r="Y70" s="88"/>
      <c r="Z70" s="98"/>
      <c r="AA70" s="1121"/>
    </row>
    <row r="71" spans="1:27" ht="12" customHeight="1">
      <c r="A71" s="102" t="s">
        <v>334</v>
      </c>
      <c r="B71" s="4"/>
      <c r="C71" s="103"/>
      <c r="D71" s="104">
        <f t="shared" ref="D71:N71" si="32">D70/C70-1</f>
        <v>-5.3611324898554691E-2</v>
      </c>
      <c r="E71" s="104">
        <f t="shared" si="32"/>
        <v>-5.3874462129551381E-2</v>
      </c>
      <c r="F71" s="104">
        <f t="shared" si="32"/>
        <v>-9.3472254405368993E-3</v>
      </c>
      <c r="G71" s="104">
        <f t="shared" si="32"/>
        <v>-9.1877936653498193E-2</v>
      </c>
      <c r="H71" s="104">
        <f t="shared" si="32"/>
        <v>-0.1456004485477258</v>
      </c>
      <c r="I71" s="104">
        <f t="shared" si="32"/>
        <v>-3.5897156110853756E-2</v>
      </c>
      <c r="J71" s="753">
        <f t="shared" si="32"/>
        <v>-2.5152836904518971E-2</v>
      </c>
      <c r="K71" s="103">
        <f t="shared" si="32"/>
        <v>8.7985528843173233E-2</v>
      </c>
      <c r="L71" s="104">
        <f t="shared" si="32"/>
        <v>-6.1225802996063505E-2</v>
      </c>
      <c r="M71" s="104">
        <f t="shared" si="32"/>
        <v>4.3303721124536843E-3</v>
      </c>
      <c r="N71" s="104">
        <f t="shared" si="32"/>
        <v>0.13108260664396676</v>
      </c>
      <c r="O71" s="104">
        <f>O70/N70-1</f>
        <v>0.10220019448270556</v>
      </c>
      <c r="P71" s="104">
        <f t="shared" ref="P71:Q71" si="33">P70/O70-1</f>
        <v>-1.2412474790792993E-2</v>
      </c>
      <c r="Q71" s="104">
        <f t="shared" si="33"/>
        <v>-2.5895997661001369E-2</v>
      </c>
      <c r="R71" s="105">
        <f t="shared" ref="R71" si="34">R70/Q70-1</f>
        <v>-3.695868536451985E-2</v>
      </c>
      <c r="S71" s="39"/>
      <c r="T71" s="103">
        <f>+T70/J70-1</f>
        <v>1.5455657400212055</v>
      </c>
      <c r="U71" s="104">
        <f>+U70/K70-1</f>
        <v>1.1853850128090837</v>
      </c>
      <c r="V71" s="61"/>
      <c r="W71" s="104"/>
      <c r="X71" s="61"/>
      <c r="Y71" s="104"/>
      <c r="Z71" s="61"/>
      <c r="AA71" s="105"/>
    </row>
    <row r="72" spans="1:27" s="605" customFormat="1" ht="12" customHeight="1">
      <c r="A72" s="107"/>
      <c r="B72" s="4"/>
      <c r="C72" s="4"/>
      <c r="D72" s="4"/>
      <c r="E72" s="4"/>
      <c r="F72" s="4"/>
      <c r="G72" s="4"/>
      <c r="H72" s="4"/>
      <c r="I72" s="4"/>
      <c r="J72" s="722"/>
      <c r="K72" s="39"/>
      <c r="L72" s="39"/>
      <c r="M72" s="39"/>
      <c r="N72" s="39"/>
      <c r="O72" s="39"/>
      <c r="P72" s="39"/>
      <c r="Q72" s="39"/>
      <c r="R72" s="39"/>
      <c r="S72" s="39"/>
      <c r="T72" s="77"/>
      <c r="U72" s="77"/>
      <c r="V72" s="77"/>
      <c r="W72" s="77"/>
      <c r="X72" s="77"/>
    </row>
    <row r="73" spans="1:27" s="605" customFormat="1" ht="12" customHeight="1">
      <c r="A73" s="108" t="s">
        <v>377</v>
      </c>
      <c r="B73" s="1"/>
      <c r="C73" s="1"/>
      <c r="D73" s="1"/>
      <c r="E73" s="1"/>
      <c r="F73" s="1"/>
      <c r="G73" s="1"/>
      <c r="H73" s="1"/>
      <c r="I73" s="1"/>
      <c r="J73" s="108"/>
      <c r="K73" s="1"/>
      <c r="L73" s="1"/>
      <c r="M73" s="1"/>
      <c r="N73" s="1"/>
      <c r="O73" s="1"/>
      <c r="P73" s="1"/>
      <c r="Q73" s="1"/>
      <c r="R73" s="1"/>
      <c r="S73" s="1"/>
      <c r="T73" s="1"/>
      <c r="U73" s="1"/>
      <c r="V73" s="1"/>
      <c r="W73" s="1"/>
      <c r="X73" s="1"/>
    </row>
    <row r="74" spans="1:27" s="615" customFormat="1" ht="12" customHeight="1">
      <c r="A74" s="129" t="s">
        <v>387</v>
      </c>
      <c r="B74" s="130"/>
      <c r="C74" s="130"/>
      <c r="D74" s="130"/>
      <c r="E74" s="130"/>
      <c r="F74" s="130"/>
      <c r="G74" s="130"/>
      <c r="H74" s="130"/>
      <c r="I74" s="130"/>
      <c r="J74" s="723"/>
      <c r="K74" s="109"/>
      <c r="L74" s="109"/>
      <c r="M74" s="75"/>
      <c r="N74" s="633"/>
      <c r="O74" s="155"/>
      <c r="P74" s="155"/>
      <c r="Q74" s="155"/>
      <c r="R74" s="155"/>
      <c r="S74" s="605"/>
      <c r="T74" s="1142"/>
      <c r="U74" s="605"/>
      <c r="V74" s="605"/>
      <c r="W74" s="605"/>
      <c r="X74" s="605"/>
    </row>
    <row r="75" spans="1:27" s="615" customFormat="1" ht="12" customHeight="1">
      <c r="A75" s="129" t="s">
        <v>379</v>
      </c>
      <c r="B75" s="130"/>
      <c r="C75" s="130"/>
      <c r="D75" s="130"/>
      <c r="E75" s="130"/>
      <c r="F75" s="130"/>
      <c r="G75" s="130"/>
      <c r="H75" s="130"/>
      <c r="I75" s="130"/>
      <c r="J75" s="723"/>
      <c r="K75" s="109"/>
      <c r="L75" s="109"/>
      <c r="M75" s="75"/>
      <c r="N75" s="633"/>
      <c r="O75" s="155"/>
      <c r="P75" s="155"/>
      <c r="Q75" s="155"/>
      <c r="R75" s="155"/>
      <c r="S75" s="605"/>
      <c r="T75" s="1142"/>
      <c r="U75" s="605"/>
      <c r="V75" s="605"/>
      <c r="W75" s="605"/>
      <c r="X75" s="605"/>
    </row>
    <row r="76" spans="1:27" s="615" customFormat="1" ht="12" customHeight="1">
      <c r="A76" s="129" t="s">
        <v>380</v>
      </c>
      <c r="B76" s="131"/>
      <c r="C76" s="131"/>
      <c r="D76" s="131"/>
      <c r="E76" s="131"/>
      <c r="F76" s="131"/>
      <c r="G76" s="131"/>
      <c r="H76" s="131"/>
      <c r="I76" s="131"/>
      <c r="J76" s="724"/>
      <c r="K76" s="132"/>
      <c r="L76" s="132"/>
      <c r="M76" s="132"/>
      <c r="N76" s="635"/>
      <c r="O76" s="109"/>
      <c r="P76" s="109"/>
      <c r="Q76" s="109"/>
      <c r="R76" s="109"/>
      <c r="S76" s="109"/>
      <c r="T76" s="1"/>
      <c r="U76" s="1"/>
      <c r="V76" s="1"/>
      <c r="W76" s="1"/>
      <c r="X76" s="1"/>
    </row>
    <row r="77" spans="1:27" ht="12" customHeight="1">
      <c r="A77" s="129"/>
      <c r="B77" s="110"/>
      <c r="C77" s="110"/>
      <c r="D77" s="110"/>
      <c r="E77" s="110"/>
      <c r="F77" s="110"/>
      <c r="G77" s="110"/>
      <c r="H77" s="110"/>
      <c r="I77" s="110"/>
      <c r="J77" s="725"/>
      <c r="K77" s="111"/>
      <c r="L77" s="111"/>
      <c r="M77" s="111"/>
      <c r="N77" s="154"/>
      <c r="O77" s="636"/>
      <c r="P77" s="636"/>
      <c r="Q77" s="636"/>
      <c r="R77" s="636"/>
      <c r="S77" s="637"/>
      <c r="T77" s="1143"/>
      <c r="U77" s="615"/>
      <c r="V77" s="615"/>
      <c r="W77" s="615"/>
      <c r="X77" s="615"/>
    </row>
    <row r="78" spans="1:27" ht="12" customHeight="1">
      <c r="A78" s="641"/>
      <c r="B78" s="641"/>
      <c r="C78" s="641"/>
      <c r="D78" s="641"/>
      <c r="E78" s="641"/>
      <c r="F78" s="641"/>
      <c r="G78" s="641"/>
      <c r="H78" s="641"/>
      <c r="I78" s="641"/>
      <c r="K78" s="641"/>
      <c r="L78" s="641"/>
      <c r="M78" s="641"/>
      <c r="N78" s="641"/>
      <c r="O78" s="111"/>
      <c r="P78" s="111"/>
      <c r="Q78" s="111"/>
      <c r="R78" s="111"/>
      <c r="S78" s="1"/>
    </row>
    <row r="79" spans="1:27" ht="12" customHeight="1">
      <c r="O79" s="639"/>
      <c r="P79" s="639"/>
      <c r="Q79" s="639"/>
      <c r="R79" s="639"/>
      <c r="S79" s="639"/>
      <c r="U79" s="615"/>
      <c r="V79" s="615"/>
      <c r="W79" s="615"/>
      <c r="X79" s="615"/>
    </row>
    <row r="80" spans="1:27" ht="12">
      <c r="O80" s="641"/>
      <c r="P80" s="641"/>
      <c r="Q80" s="641"/>
      <c r="R80" s="641"/>
      <c r="S80" s="641"/>
      <c r="T80" s="108"/>
    </row>
  </sheetData>
  <mergeCells count="7">
    <mergeCell ref="C7:J7"/>
    <mergeCell ref="A1:X1"/>
    <mergeCell ref="C2:AB6"/>
    <mergeCell ref="K7:M7"/>
    <mergeCell ref="N7:R7"/>
    <mergeCell ref="T7:V7"/>
    <mergeCell ref="W7:AA7"/>
  </mergeCells>
  <pageMargins left="0.7" right="0.7" top="0.75" bottom="0.75" header="0.3" footer="0.3"/>
  <pageSetup paperSize="9" scale="59" orientation="portrait" r:id="rId1"/>
  <customProperties>
    <customPr name="_pios_id" r:id="rId2"/>
  </customProperties>
  <ignoredErrors>
    <ignoredError sqref="S68:T70 K68:O70 P68:R68 P70:R70 U68:U70"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0"/>
  <sheetViews>
    <sheetView showGridLines="0" zoomScale="98" zoomScaleNormal="98" workbookViewId="0">
      <pane xSplit="2" ySplit="9" topLeftCell="S62" activePane="bottomRight" state="frozen"/>
      <selection pane="topRight" activeCell="AG41" sqref="AG41"/>
      <selection pane="bottomLeft" activeCell="AG41" sqref="AG41"/>
      <selection pane="bottomRight" activeCell="AA69" sqref="AA69"/>
    </sheetView>
  </sheetViews>
  <sheetFormatPr defaultColWidth="12.5703125" defaultRowHeight="12" outlineLevelCol="1"/>
  <cols>
    <col min="1" max="1" width="34.7109375" style="2" customWidth="1"/>
    <col min="2" max="2" width="0.42578125" style="2" customWidth="1"/>
    <col min="3" max="9" width="7.5703125" style="2" customWidth="1"/>
    <col min="10" max="10" width="7.5703125" style="641" customWidth="1"/>
    <col min="11" max="18" width="7.5703125" style="2" customWidth="1"/>
    <col min="19" max="19" width="1.140625" style="2" customWidth="1"/>
    <col min="20" max="27" width="7.5703125" style="1" customWidth="1" outlineLevel="1"/>
    <col min="28" max="28" width="12.5703125" style="1" customWidth="1" outlineLevel="1"/>
    <col min="29" max="16384" width="12.5703125" style="1"/>
  </cols>
  <sheetData>
    <row r="1" spans="1:27" ht="12" customHeight="1">
      <c r="A1" s="1588"/>
      <c r="B1" s="1588"/>
      <c r="C1" s="1588"/>
      <c r="D1" s="1588"/>
      <c r="E1" s="1588"/>
      <c r="F1" s="1588"/>
      <c r="G1" s="1588"/>
      <c r="H1" s="1588"/>
      <c r="I1" s="1588"/>
      <c r="J1" s="1588"/>
      <c r="K1" s="1588" t="s">
        <v>315</v>
      </c>
      <c r="L1" s="1588"/>
      <c r="M1" s="1588"/>
      <c r="N1" s="1588"/>
      <c r="O1" s="1588"/>
      <c r="P1" s="1588"/>
      <c r="Q1" s="1588"/>
      <c r="R1" s="1588"/>
      <c r="S1" s="1588"/>
      <c r="T1" s="1588"/>
      <c r="U1" s="1588"/>
      <c r="V1" s="1588"/>
      <c r="W1" s="1588"/>
      <c r="X1" s="1588"/>
    </row>
    <row r="2" spans="1:27" ht="12" customHeight="1">
      <c r="C2" s="1590" t="s">
        <v>392</v>
      </c>
      <c r="D2" s="1590"/>
      <c r="E2" s="1590"/>
      <c r="F2" s="1590"/>
      <c r="G2" s="1590"/>
      <c r="H2" s="1590"/>
      <c r="I2" s="1590"/>
      <c r="J2" s="1590"/>
      <c r="K2" s="1590"/>
      <c r="L2" s="1590"/>
      <c r="M2" s="1590"/>
      <c r="N2" s="1590"/>
      <c r="O2" s="1590"/>
      <c r="P2" s="1590"/>
      <c r="Q2" s="1590"/>
      <c r="R2" s="1590"/>
      <c r="S2" s="1590"/>
      <c r="T2" s="1590"/>
      <c r="U2" s="1590"/>
      <c r="V2" s="1590"/>
      <c r="W2" s="1590"/>
      <c r="X2" s="1590"/>
      <c r="Y2" s="1590"/>
    </row>
    <row r="3" spans="1:27" ht="12" customHeight="1">
      <c r="A3" s="6" t="s">
        <v>317</v>
      </c>
      <c r="B3" s="1"/>
      <c r="C3" s="1590"/>
      <c r="D3" s="1590"/>
      <c r="E3" s="1590"/>
      <c r="F3" s="1590"/>
      <c r="G3" s="1590"/>
      <c r="H3" s="1590"/>
      <c r="I3" s="1590"/>
      <c r="J3" s="1590"/>
      <c r="K3" s="1590"/>
      <c r="L3" s="1590"/>
      <c r="M3" s="1590"/>
      <c r="N3" s="1590"/>
      <c r="O3" s="1590"/>
      <c r="P3" s="1590"/>
      <c r="Q3" s="1590"/>
      <c r="R3" s="1590"/>
      <c r="S3" s="1590"/>
      <c r="T3" s="1590"/>
      <c r="U3" s="1590"/>
      <c r="V3" s="1590"/>
      <c r="W3" s="1590"/>
      <c r="X3" s="1590"/>
      <c r="Y3" s="1590"/>
    </row>
    <row r="4" spans="1:27" ht="12" customHeight="1">
      <c r="A4" s="7" t="s">
        <v>318</v>
      </c>
      <c r="B4" s="1"/>
      <c r="C4" s="1590"/>
      <c r="D4" s="1590"/>
      <c r="E4" s="1590"/>
      <c r="F4" s="1590"/>
      <c r="G4" s="1590"/>
      <c r="H4" s="1590"/>
      <c r="I4" s="1590"/>
      <c r="J4" s="1590"/>
      <c r="K4" s="1590"/>
      <c r="L4" s="1590"/>
      <c r="M4" s="1590"/>
      <c r="N4" s="1590"/>
      <c r="O4" s="1590"/>
      <c r="P4" s="1590"/>
      <c r="Q4" s="1590"/>
      <c r="R4" s="1590"/>
      <c r="S4" s="1590"/>
      <c r="T4" s="1590"/>
      <c r="U4" s="1590"/>
      <c r="V4" s="1590"/>
      <c r="W4" s="1590"/>
      <c r="X4" s="1590"/>
      <c r="Y4" s="1590"/>
    </row>
    <row r="5" spans="1:27" ht="12" customHeight="1">
      <c r="A5" s="8" t="s">
        <v>393</v>
      </c>
      <c r="B5" s="1"/>
      <c r="C5" s="1590"/>
      <c r="D5" s="1590"/>
      <c r="E5" s="1590"/>
      <c r="F5" s="1590"/>
      <c r="G5" s="1590"/>
      <c r="H5" s="1590"/>
      <c r="I5" s="1590"/>
      <c r="J5" s="1590"/>
      <c r="K5" s="1590"/>
      <c r="L5" s="1590"/>
      <c r="M5" s="1590"/>
      <c r="N5" s="1590"/>
      <c r="O5" s="1590"/>
      <c r="P5" s="1590"/>
      <c r="Q5" s="1590"/>
      <c r="R5" s="1590"/>
      <c r="S5" s="1590"/>
      <c r="T5" s="1590"/>
      <c r="U5" s="1590"/>
      <c r="V5" s="1590"/>
      <c r="W5" s="1590"/>
      <c r="X5" s="1590"/>
      <c r="Y5" s="1590"/>
    </row>
    <row r="6" spans="1:27" ht="12" customHeight="1">
      <c r="C6" s="1590"/>
      <c r="D6" s="1590"/>
      <c r="E6" s="1590"/>
      <c r="F6" s="1590"/>
      <c r="G6" s="1590"/>
      <c r="H6" s="1590"/>
      <c r="I6" s="1590"/>
      <c r="J6" s="1590"/>
      <c r="K6" s="1590"/>
      <c r="L6" s="1590"/>
      <c r="M6" s="1590"/>
      <c r="N6" s="1590"/>
      <c r="O6" s="1590"/>
      <c r="P6" s="1590"/>
      <c r="Q6" s="1590"/>
      <c r="R6" s="1590"/>
      <c r="S6" s="1590"/>
      <c r="T6" s="1590"/>
      <c r="U6" s="1590"/>
      <c r="V6" s="1590"/>
      <c r="W6" s="1590"/>
      <c r="X6" s="1590"/>
      <c r="Y6" s="1590"/>
    </row>
    <row r="7" spans="1:27" s="9" customFormat="1" ht="12" customHeight="1">
      <c r="C7" s="1582" t="s">
        <v>320</v>
      </c>
      <c r="D7" s="1583"/>
      <c r="E7" s="1583"/>
      <c r="F7" s="1583"/>
      <c r="G7" s="1583"/>
      <c r="H7" s="1583"/>
      <c r="I7" s="1583"/>
      <c r="J7" s="1584"/>
      <c r="K7" s="1585" t="s">
        <v>390</v>
      </c>
      <c r="L7" s="1586"/>
      <c r="M7" s="1587"/>
      <c r="N7" s="1585" t="s">
        <v>322</v>
      </c>
      <c r="O7" s="1586"/>
      <c r="P7" s="1586"/>
      <c r="Q7" s="1586"/>
      <c r="R7" s="1587"/>
      <c r="S7" s="10"/>
      <c r="T7" s="1582" t="s">
        <v>391</v>
      </c>
      <c r="U7" s="1583"/>
      <c r="V7" s="1583"/>
      <c r="W7" s="1582" t="s">
        <v>324</v>
      </c>
      <c r="X7" s="1583"/>
      <c r="Y7" s="1583"/>
      <c r="Z7" s="1583"/>
      <c r="AA7" s="1584"/>
    </row>
    <row r="8" spans="1:27" ht="12" customHeight="1">
      <c r="A8" s="1"/>
      <c r="B8" s="1"/>
      <c r="C8" s="1"/>
      <c r="D8" s="1"/>
      <c r="E8" s="1"/>
      <c r="F8" s="1"/>
      <c r="G8" s="1"/>
      <c r="H8" s="1"/>
      <c r="I8" s="1"/>
      <c r="J8" s="108"/>
      <c r="K8" s="1"/>
      <c r="L8" s="1"/>
      <c r="M8" s="1"/>
      <c r="N8" s="1"/>
      <c r="O8" s="1"/>
      <c r="P8" s="1"/>
      <c r="Q8" s="1"/>
      <c r="R8" s="1"/>
      <c r="S8" s="1"/>
    </row>
    <row r="9" spans="1:27" ht="12" customHeight="1">
      <c r="A9" s="11" t="s">
        <v>325</v>
      </c>
      <c r="C9" s="12">
        <v>2012</v>
      </c>
      <c r="D9" s="3">
        <v>2013</v>
      </c>
      <c r="E9" s="3">
        <v>2014</v>
      </c>
      <c r="F9" s="3">
        <v>2015</v>
      </c>
      <c r="G9" s="3">
        <v>2016</v>
      </c>
      <c r="H9" s="3">
        <v>2017</v>
      </c>
      <c r="I9" s="3">
        <v>2018</v>
      </c>
      <c r="J9" s="13">
        <v>2019</v>
      </c>
      <c r="K9" s="12">
        <v>2020</v>
      </c>
      <c r="L9" s="3">
        <v>2021</v>
      </c>
      <c r="M9" s="3">
        <v>2022</v>
      </c>
      <c r="N9" s="3">
        <v>2023</v>
      </c>
      <c r="O9" s="13">
        <v>2024</v>
      </c>
      <c r="P9" s="13">
        <v>2025</v>
      </c>
      <c r="Q9" s="13">
        <v>2026</v>
      </c>
      <c r="R9" s="13">
        <v>2027</v>
      </c>
      <c r="S9" s="14"/>
      <c r="T9" s="12">
        <v>2020</v>
      </c>
      <c r="U9" s="3">
        <v>2021</v>
      </c>
      <c r="V9" s="3">
        <v>2022</v>
      </c>
      <c r="W9" s="3">
        <v>2023</v>
      </c>
      <c r="X9" s="13">
        <v>2024</v>
      </c>
      <c r="Y9" s="13">
        <v>2025</v>
      </c>
      <c r="Z9" s="13">
        <v>2026</v>
      </c>
      <c r="AA9" s="13">
        <v>2027</v>
      </c>
    </row>
    <row r="10" spans="1:27" ht="12" customHeight="1">
      <c r="T10" s="2"/>
      <c r="U10" s="2"/>
      <c r="V10" s="2"/>
      <c r="W10" s="2"/>
      <c r="X10" s="2"/>
      <c r="Y10" s="2"/>
      <c r="Z10" s="2"/>
      <c r="AA10" s="2"/>
    </row>
    <row r="11" spans="1:27" ht="15.6" customHeight="1">
      <c r="A11" s="15" t="s">
        <v>326</v>
      </c>
      <c r="B11" s="15"/>
      <c r="C11" s="15"/>
      <c r="D11" s="15"/>
      <c r="E11" s="15"/>
      <c r="F11" s="15"/>
      <c r="G11" s="15"/>
      <c r="H11" s="15"/>
      <c r="I11" s="15"/>
      <c r="J11" s="920"/>
      <c r="K11" s="17"/>
      <c r="L11" s="17"/>
      <c r="M11" s="17"/>
      <c r="N11" s="17"/>
      <c r="O11" s="18"/>
      <c r="P11" s="18"/>
      <c r="Q11" s="18"/>
      <c r="R11" s="18"/>
      <c r="S11" s="18"/>
      <c r="T11" s="17"/>
      <c r="U11" s="17"/>
      <c r="V11" s="19"/>
      <c r="W11" s="19"/>
      <c r="X11" s="19"/>
      <c r="Y11" s="19"/>
      <c r="Z11" s="19"/>
      <c r="AA11" s="19"/>
    </row>
    <row r="12" spans="1:27" ht="12" customHeight="1">
      <c r="A12" s="20" t="s">
        <v>327</v>
      </c>
      <c r="B12" s="20"/>
      <c r="C12" s="112">
        <v>3920</v>
      </c>
      <c r="D12" s="113">
        <v>3459</v>
      </c>
      <c r="E12" s="113">
        <v>3192</v>
      </c>
      <c r="F12" s="113">
        <v>4026</v>
      </c>
      <c r="G12" s="113">
        <v>4093</v>
      </c>
      <c r="H12" s="113">
        <v>4099</v>
      </c>
      <c r="I12" s="113">
        <v>4126</v>
      </c>
      <c r="J12" s="1167">
        <v>4526</v>
      </c>
      <c r="K12" s="112">
        <v>8164</v>
      </c>
      <c r="L12" s="113">
        <v>9373</v>
      </c>
      <c r="M12" s="113">
        <v>9950</v>
      </c>
      <c r="N12" s="1145">
        <v>12875</v>
      </c>
      <c r="O12" s="1145">
        <v>13190</v>
      </c>
      <c r="P12" s="1145">
        <v>13570</v>
      </c>
      <c r="Q12" s="1145">
        <v>13934</v>
      </c>
      <c r="R12" s="1491">
        <v>13906</v>
      </c>
      <c r="S12" s="682"/>
      <c r="T12" s="112">
        <v>5703</v>
      </c>
      <c r="U12" s="1145">
        <v>6743</v>
      </c>
      <c r="V12" s="1123"/>
      <c r="W12" s="67"/>
      <c r="X12" s="652"/>
      <c r="Y12" s="22"/>
      <c r="Z12" s="652"/>
      <c r="AA12" s="23"/>
    </row>
    <row r="13" spans="1:27" ht="12" customHeight="1">
      <c r="A13" s="24" t="s">
        <v>328</v>
      </c>
      <c r="B13" s="24"/>
      <c r="C13" s="37"/>
      <c r="D13" s="5"/>
      <c r="E13" s="5"/>
      <c r="F13" s="5"/>
      <c r="G13" s="5"/>
      <c r="H13" s="5"/>
      <c r="I13" s="5"/>
      <c r="J13" s="1168"/>
      <c r="K13" s="1195">
        <v>0</v>
      </c>
      <c r="L13" s="1196">
        <v>0</v>
      </c>
      <c r="M13" s="1196">
        <v>0</v>
      </c>
      <c r="N13" s="1388">
        <v>0</v>
      </c>
      <c r="O13" s="1388">
        <v>0</v>
      </c>
      <c r="P13" s="1388">
        <v>0</v>
      </c>
      <c r="Q13" s="1388">
        <v>0</v>
      </c>
      <c r="R13" s="1389">
        <v>0</v>
      </c>
      <c r="S13" s="648"/>
      <c r="T13" s="37">
        <v>0</v>
      </c>
      <c r="U13" s="1146">
        <v>0</v>
      </c>
      <c r="V13" s="1124"/>
      <c r="W13" s="37"/>
      <c r="X13" s="646"/>
      <c r="Y13" s="5"/>
      <c r="Z13" s="646"/>
      <c r="AA13" s="25"/>
    </row>
    <row r="14" spans="1:27" ht="12" customHeight="1">
      <c r="A14" s="24" t="s">
        <v>329</v>
      </c>
      <c r="B14" s="24"/>
      <c r="C14" s="115">
        <v>45252</v>
      </c>
      <c r="D14" s="116">
        <v>48996</v>
      </c>
      <c r="E14" s="116">
        <v>47541.838000000003</v>
      </c>
      <c r="F14" s="796">
        <v>44270.412164200003</v>
      </c>
      <c r="G14" s="116">
        <v>49754.614212217602</v>
      </c>
      <c r="H14" s="796">
        <v>54742.816455627602</v>
      </c>
      <c r="I14" s="116">
        <v>53025.501011894878</v>
      </c>
      <c r="J14" s="1169">
        <v>51128.050029999999</v>
      </c>
      <c r="K14" s="115">
        <f>K30+4604+1</f>
        <v>55100.243628479999</v>
      </c>
      <c r="L14" s="116">
        <f>L30+5121+1</f>
        <v>54929.543279311998</v>
      </c>
      <c r="M14" s="116">
        <f>M30+5312+1</f>
        <v>54359.220078352002</v>
      </c>
      <c r="N14" s="1146">
        <v>57604.897191403994</v>
      </c>
      <c r="O14" s="1146">
        <v>57496.903836459998</v>
      </c>
      <c r="P14" s="1146">
        <v>58353.620069580997</v>
      </c>
      <c r="Q14" s="1146">
        <v>60427.894646126995</v>
      </c>
      <c r="R14" s="1390">
        <v>59905.581046127001</v>
      </c>
      <c r="S14" s="682"/>
      <c r="T14" s="115">
        <v>50067.9305360992</v>
      </c>
      <c r="U14" s="1146">
        <v>50950.278483809998</v>
      </c>
      <c r="V14" s="1124"/>
      <c r="W14" s="37"/>
      <c r="X14" s="646"/>
      <c r="Y14" s="5"/>
      <c r="Z14" s="646"/>
      <c r="AA14" s="25"/>
    </row>
    <row r="15" spans="1:27" ht="12" customHeight="1">
      <c r="A15" s="24" t="s">
        <v>330</v>
      </c>
      <c r="B15" s="24"/>
      <c r="C15" s="115">
        <v>1319</v>
      </c>
      <c r="D15" s="116">
        <v>1317</v>
      </c>
      <c r="E15" s="116">
        <v>1314</v>
      </c>
      <c r="F15" s="116">
        <v>1318</v>
      </c>
      <c r="G15" s="116">
        <v>1317</v>
      </c>
      <c r="H15" s="116">
        <v>1318</v>
      </c>
      <c r="I15" s="116">
        <v>1068</v>
      </c>
      <c r="J15" s="1169">
        <v>1032</v>
      </c>
      <c r="K15" s="115">
        <v>212</v>
      </c>
      <c r="L15" s="116">
        <v>217</v>
      </c>
      <c r="M15" s="116">
        <v>219</v>
      </c>
      <c r="N15" s="1146">
        <v>205</v>
      </c>
      <c r="O15" s="1146">
        <v>202</v>
      </c>
      <c r="P15" s="1146">
        <v>203</v>
      </c>
      <c r="Q15" s="1146">
        <v>192</v>
      </c>
      <c r="R15" s="1390">
        <v>188</v>
      </c>
      <c r="S15" s="648"/>
      <c r="T15" s="115">
        <v>186</v>
      </c>
      <c r="U15" s="1146">
        <v>217</v>
      </c>
      <c r="V15" s="1124"/>
      <c r="W15" s="37"/>
      <c r="X15" s="646"/>
      <c r="Y15" s="5"/>
      <c r="Z15" s="646"/>
      <c r="AA15" s="25"/>
    </row>
    <row r="16" spans="1:27" ht="12" customHeight="1">
      <c r="A16" s="24" t="s">
        <v>331</v>
      </c>
      <c r="B16" s="24"/>
      <c r="C16" s="115">
        <v>427</v>
      </c>
      <c r="D16" s="116">
        <v>365</v>
      </c>
      <c r="E16" s="116">
        <v>304</v>
      </c>
      <c r="F16" s="116">
        <v>244</v>
      </c>
      <c r="G16" s="116">
        <v>183.46559999999999</v>
      </c>
      <c r="H16" s="116">
        <v>123</v>
      </c>
      <c r="I16" s="1156">
        <v>63.001600000000003</v>
      </c>
      <c r="J16" s="1169">
        <v>21</v>
      </c>
      <c r="K16" s="115">
        <v>49.3232</v>
      </c>
      <c r="L16" s="116">
        <v>42.734399999999994</v>
      </c>
      <c r="M16" s="116">
        <v>36.145599999999995</v>
      </c>
      <c r="N16" s="1146">
        <v>29.556799999999999</v>
      </c>
      <c r="O16" s="1146">
        <v>23.431999999999999</v>
      </c>
      <c r="P16" s="1146">
        <v>18.258399999999998</v>
      </c>
      <c r="Q16" s="1146">
        <v>13.571999999999999</v>
      </c>
      <c r="R16" s="1390">
        <v>8.8856000000000002</v>
      </c>
      <c r="S16" s="648"/>
      <c r="T16" s="115">
        <v>49</v>
      </c>
      <c r="U16" s="1146">
        <v>43</v>
      </c>
      <c r="V16" s="1124"/>
      <c r="W16" s="37"/>
      <c r="X16" s="646"/>
      <c r="Y16" s="5"/>
      <c r="Z16" s="646"/>
      <c r="AA16" s="25"/>
    </row>
    <row r="17" spans="1:27" ht="12" customHeight="1">
      <c r="A17" s="24" t="s">
        <v>332</v>
      </c>
      <c r="B17" s="24"/>
      <c r="C17" s="115">
        <v>6000</v>
      </c>
      <c r="D17" s="116">
        <v>6000</v>
      </c>
      <c r="E17" s="116">
        <v>6000</v>
      </c>
      <c r="F17" s="116">
        <v>6000</v>
      </c>
      <c r="G17" s="116">
        <v>6000</v>
      </c>
      <c r="H17" s="116">
        <v>6000</v>
      </c>
      <c r="I17" s="116">
        <v>6000</v>
      </c>
      <c r="J17" s="1169">
        <v>6000</v>
      </c>
      <c r="K17" s="115">
        <v>6000</v>
      </c>
      <c r="L17" s="116">
        <v>6000</v>
      </c>
      <c r="M17" s="116">
        <v>6000</v>
      </c>
      <c r="N17" s="1146">
        <v>6000</v>
      </c>
      <c r="O17" s="1146">
        <v>6000</v>
      </c>
      <c r="P17" s="1146">
        <v>6000</v>
      </c>
      <c r="Q17" s="1146">
        <v>6000</v>
      </c>
      <c r="R17" s="1390">
        <v>6000</v>
      </c>
      <c r="S17" s="648"/>
      <c r="T17" s="115">
        <v>6000</v>
      </c>
      <c r="U17" s="1146">
        <v>6000</v>
      </c>
      <c r="V17" s="1124"/>
      <c r="W17" s="37"/>
      <c r="X17" s="646"/>
      <c r="Y17" s="5"/>
      <c r="Z17" s="646"/>
      <c r="AA17" s="25"/>
    </row>
    <row r="18" spans="1:27" ht="12" customHeight="1">
      <c r="A18" s="134" t="s">
        <v>333</v>
      </c>
      <c r="B18" s="580"/>
      <c r="C18" s="85">
        <f t="shared" ref="C18:H18" si="0">SUM(C12:C17)</f>
        <v>56918</v>
      </c>
      <c r="D18" s="86">
        <f t="shared" si="0"/>
        <v>60137</v>
      </c>
      <c r="E18" s="86">
        <f t="shared" si="0"/>
        <v>58351.838000000003</v>
      </c>
      <c r="F18" s="86">
        <f t="shared" si="0"/>
        <v>55858.412164200003</v>
      </c>
      <c r="G18" s="86">
        <f t="shared" si="0"/>
        <v>61348.079812217606</v>
      </c>
      <c r="H18" s="86">
        <f t="shared" si="0"/>
        <v>66282.816455627602</v>
      </c>
      <c r="I18" s="86">
        <f t="shared" ref="I18:O18" si="1">I12+SUM(I14:I17)</f>
        <v>64282.502611894881</v>
      </c>
      <c r="J18" s="1170">
        <f t="shared" si="1"/>
        <v>62707.050029999999</v>
      </c>
      <c r="K18" s="85">
        <f t="shared" si="1"/>
        <v>69525.56682847999</v>
      </c>
      <c r="L18" s="86">
        <f t="shared" si="1"/>
        <v>70562.277679311999</v>
      </c>
      <c r="M18" s="86">
        <f t="shared" si="1"/>
        <v>70564.365678352013</v>
      </c>
      <c r="N18" s="86">
        <f t="shared" si="1"/>
        <v>76714.453991403992</v>
      </c>
      <c r="O18" s="86">
        <f t="shared" si="1"/>
        <v>76912.335836459999</v>
      </c>
      <c r="P18" s="86">
        <f t="shared" ref="P18:R18" si="2">P12+SUM(P14:P17)</f>
        <v>78144.878469580988</v>
      </c>
      <c r="Q18" s="86">
        <f t="shared" si="2"/>
        <v>80567.466646126995</v>
      </c>
      <c r="R18" s="1175">
        <f t="shared" si="2"/>
        <v>80008.466646126995</v>
      </c>
      <c r="S18" s="26"/>
      <c r="T18" s="85">
        <f t="shared" ref="T18:U18" si="3">T12+SUM(T14:T17)</f>
        <v>62005.9305360992</v>
      </c>
      <c r="U18" s="86">
        <f t="shared" si="3"/>
        <v>63953.278483809998</v>
      </c>
      <c r="V18" s="1125"/>
      <c r="W18" s="85"/>
      <c r="X18" s="684"/>
      <c r="Y18" s="86"/>
      <c r="Z18" s="684"/>
      <c r="AA18" s="630"/>
    </row>
    <row r="19" spans="1:27" ht="12" customHeight="1">
      <c r="A19" s="102" t="s">
        <v>334</v>
      </c>
      <c r="B19" s="31"/>
      <c r="C19" s="28"/>
      <c r="D19" s="29">
        <f t="shared" ref="D19:O19" si="4">+D18/C18-1</f>
        <v>5.6555044098527629E-2</v>
      </c>
      <c r="E19" s="29">
        <f t="shared" si="4"/>
        <v>-2.9684919433959123E-2</v>
      </c>
      <c r="F19" s="29">
        <f t="shared" si="4"/>
        <v>-4.2730887685148877E-2</v>
      </c>
      <c r="G19" s="29">
        <f t="shared" si="4"/>
        <v>9.8278261685640356E-2</v>
      </c>
      <c r="H19" s="29">
        <f t="shared" si="4"/>
        <v>8.0438322739927681E-2</v>
      </c>
      <c r="I19" s="29">
        <f t="shared" si="4"/>
        <v>-3.0178467824640731E-2</v>
      </c>
      <c r="J19" s="802">
        <f t="shared" si="4"/>
        <v>-2.4508264580280326E-2</v>
      </c>
      <c r="K19" s="28">
        <f t="shared" si="4"/>
        <v>0.10873604794385816</v>
      </c>
      <c r="L19" s="29">
        <f t="shared" si="4"/>
        <v>1.4911217529367082E-2</v>
      </c>
      <c r="M19" s="29">
        <f t="shared" si="4"/>
        <v>2.9590867935080922E-5</v>
      </c>
      <c r="N19" s="29">
        <f t="shared" si="4"/>
        <v>8.7155723061204116E-2</v>
      </c>
      <c r="O19" s="29">
        <f t="shared" si="4"/>
        <v>2.5794597336008529E-3</v>
      </c>
      <c r="P19" s="29">
        <f t="shared" ref="P19" si="5">+P18/O18-1</f>
        <v>1.6025291908202677E-2</v>
      </c>
      <c r="Q19" s="29">
        <f t="shared" ref="Q19" si="6">+Q18/P18-1</f>
        <v>3.100124056740361E-2</v>
      </c>
      <c r="R19" s="1176">
        <f t="shared" ref="R19" si="7">+R18/Q18-1</f>
        <v>-6.9382844375046604E-3</v>
      </c>
      <c r="S19" s="27"/>
      <c r="T19" s="28">
        <f>T18/J18-1</f>
        <v>-1.1180871904600376E-2</v>
      </c>
      <c r="U19" s="29">
        <v>-1.1180871904600376E-2</v>
      </c>
      <c r="V19" s="1100"/>
      <c r="W19" s="28"/>
      <c r="X19" s="29"/>
      <c r="Y19" s="29"/>
      <c r="Z19" s="29"/>
      <c r="AA19" s="30"/>
    </row>
    <row r="20" spans="1:27" ht="12" customHeight="1">
      <c r="A20" s="31"/>
      <c r="B20" s="31"/>
      <c r="C20" s="31"/>
      <c r="D20" s="31"/>
      <c r="E20" s="31"/>
      <c r="F20" s="31"/>
      <c r="G20" s="31"/>
      <c r="H20" s="31"/>
      <c r="I20" s="31"/>
      <c r="J20" s="701"/>
      <c r="K20" s="32"/>
      <c r="L20" s="32"/>
      <c r="M20" s="32"/>
      <c r="N20" s="32"/>
      <c r="O20" s="32"/>
      <c r="P20" s="32"/>
      <c r="Q20" s="32"/>
      <c r="R20" s="32"/>
      <c r="S20" s="27"/>
      <c r="T20" s="32"/>
      <c r="U20" s="1147"/>
      <c r="V20" s="32"/>
      <c r="W20" s="32"/>
      <c r="X20" s="32"/>
      <c r="Y20" s="32"/>
      <c r="Z20" s="32"/>
      <c r="AA20" s="32"/>
    </row>
    <row r="21" spans="1:27" ht="15.6" customHeight="1">
      <c r="A21" s="15" t="s">
        <v>335</v>
      </c>
      <c r="B21" s="15"/>
      <c r="C21" s="15"/>
      <c r="D21" s="15"/>
      <c r="E21" s="15"/>
      <c r="F21" s="15"/>
      <c r="G21" s="15"/>
      <c r="H21" s="15"/>
      <c r="I21" s="15"/>
      <c r="J21" s="695"/>
      <c r="K21" s="17"/>
      <c r="L21" s="17"/>
      <c r="M21" s="17"/>
      <c r="N21" s="17"/>
      <c r="O21" s="18"/>
      <c r="P21" s="18"/>
      <c r="Q21" s="18"/>
      <c r="R21" s="18"/>
      <c r="S21" s="18"/>
      <c r="T21" s="17"/>
      <c r="U21" s="1148"/>
      <c r="V21" s="18"/>
      <c r="W21" s="19"/>
      <c r="X21" s="19"/>
      <c r="Y21" s="19"/>
      <c r="Z21" s="19"/>
      <c r="AA21" s="19"/>
    </row>
    <row r="22" spans="1:27" ht="12" customHeight="1">
      <c r="A22" s="135" t="s">
        <v>336</v>
      </c>
      <c r="B22" s="24"/>
      <c r="C22" s="67">
        <v>11432</v>
      </c>
      <c r="D22" s="22">
        <v>11095</v>
      </c>
      <c r="E22" s="22">
        <v>10916</v>
      </c>
      <c r="F22" s="22">
        <v>11652</v>
      </c>
      <c r="G22" s="22">
        <v>11339.4656</v>
      </c>
      <c r="H22" s="22">
        <v>11189.000000000002</v>
      </c>
      <c r="I22" s="158">
        <v>11255</v>
      </c>
      <c r="J22" s="712">
        <v>11769</v>
      </c>
      <c r="K22" s="712">
        <v>18406</v>
      </c>
      <c r="L22" s="712">
        <v>20123</v>
      </c>
      <c r="M22" s="712">
        <v>20883</v>
      </c>
      <c r="N22" s="1011">
        <v>26879.819789999998</v>
      </c>
      <c r="O22" s="1152">
        <v>26907.227910000001</v>
      </c>
      <c r="P22" s="1152">
        <v>27285.634619999997</v>
      </c>
      <c r="Q22" s="1152">
        <v>28469.883570000002</v>
      </c>
      <c r="R22" s="1493">
        <v>27914.192570000003</v>
      </c>
      <c r="S22" s="648"/>
      <c r="T22" s="67">
        <v>14778</v>
      </c>
      <c r="U22" s="1152">
        <v>20042</v>
      </c>
      <c r="V22" s="1199"/>
      <c r="W22" s="1133"/>
      <c r="X22" s="652"/>
      <c r="Y22" s="33"/>
      <c r="Z22" s="652"/>
      <c r="AA22" s="1119"/>
    </row>
    <row r="23" spans="1:27" ht="12" customHeight="1">
      <c r="A23" s="21" t="s">
        <v>337</v>
      </c>
      <c r="B23" s="24"/>
      <c r="C23" s="673"/>
      <c r="D23" s="666"/>
      <c r="E23" s="666"/>
      <c r="F23" s="666"/>
      <c r="G23" s="666"/>
      <c r="H23" s="666"/>
      <c r="I23" s="1144"/>
      <c r="J23" s="737"/>
      <c r="K23" s="673"/>
      <c r="L23" s="666"/>
      <c r="M23" s="666"/>
      <c r="N23" s="673"/>
      <c r="O23" s="666"/>
      <c r="P23" s="666"/>
      <c r="Q23" s="666"/>
      <c r="R23" s="674"/>
      <c r="S23" s="648"/>
      <c r="T23" s="673"/>
      <c r="U23" s="666"/>
      <c r="V23" s="1197"/>
      <c r="W23" s="1129"/>
      <c r="X23" s="654"/>
      <c r="Y23" s="675"/>
      <c r="Z23" s="654"/>
      <c r="AA23" s="1112"/>
    </row>
    <row r="24" spans="1:27" ht="12" customHeight="1">
      <c r="A24" s="21" t="s">
        <v>338</v>
      </c>
      <c r="B24" s="24"/>
      <c r="C24" s="673"/>
      <c r="D24" s="666"/>
      <c r="E24" s="666"/>
      <c r="F24" s="666"/>
      <c r="G24" s="666"/>
      <c r="H24" s="666"/>
      <c r="I24" s="1144"/>
      <c r="J24" s="737"/>
      <c r="K24" s="673"/>
      <c r="L24" s="666"/>
      <c r="M24" s="666"/>
      <c r="N24" s="673"/>
      <c r="O24" s="666"/>
      <c r="P24" s="666"/>
      <c r="Q24" s="666"/>
      <c r="R24" s="674"/>
      <c r="S24" s="648"/>
      <c r="T24" s="673"/>
      <c r="U24" s="666"/>
      <c r="V24" s="1197"/>
      <c r="W24" s="1129"/>
      <c r="X24" s="654"/>
      <c r="Y24" s="675"/>
      <c r="Z24" s="654"/>
      <c r="AA24" s="1112"/>
    </row>
    <row r="25" spans="1:27" ht="12" customHeight="1">
      <c r="A25" s="21" t="s">
        <v>339</v>
      </c>
      <c r="B25" s="24"/>
      <c r="C25" s="673"/>
      <c r="D25" s="666"/>
      <c r="E25" s="666"/>
      <c r="F25" s="666"/>
      <c r="G25" s="666"/>
      <c r="H25" s="666"/>
      <c r="I25" s="1144"/>
      <c r="J25" s="737"/>
      <c r="K25" s="673"/>
      <c r="L25" s="666"/>
      <c r="M25" s="666"/>
      <c r="N25" s="673"/>
      <c r="O25" s="666"/>
      <c r="P25" s="666"/>
      <c r="Q25" s="666"/>
      <c r="R25" s="674"/>
      <c r="S25" s="648"/>
      <c r="T25" s="673"/>
      <c r="U25" s="666"/>
      <c r="V25" s="1197"/>
      <c r="W25" s="1129"/>
      <c r="X25" s="654"/>
      <c r="Y25" s="675"/>
      <c r="Z25" s="654"/>
      <c r="AA25" s="1112"/>
    </row>
    <row r="26" spans="1:27" ht="12" customHeight="1">
      <c r="A26" s="21" t="s">
        <v>340</v>
      </c>
      <c r="B26" s="24"/>
      <c r="C26" s="673"/>
      <c r="D26" s="666"/>
      <c r="E26" s="666"/>
      <c r="F26" s="666"/>
      <c r="G26" s="666"/>
      <c r="H26" s="666"/>
      <c r="I26" s="1144"/>
      <c r="J26" s="737"/>
      <c r="K26" s="673"/>
      <c r="L26" s="666"/>
      <c r="M26" s="666"/>
      <c r="N26" s="673"/>
      <c r="O26" s="666"/>
      <c r="P26" s="666"/>
      <c r="Q26" s="666"/>
      <c r="R26" s="674"/>
      <c r="S26" s="648"/>
      <c r="T26" s="673"/>
      <c r="U26" s="666"/>
      <c r="V26" s="1197"/>
      <c r="W26" s="1129"/>
      <c r="X26" s="654"/>
      <c r="Y26" s="675"/>
      <c r="Z26" s="654"/>
      <c r="AA26" s="1112"/>
    </row>
    <row r="27" spans="1:27" ht="12" customHeight="1">
      <c r="A27" s="21" t="s">
        <v>341</v>
      </c>
      <c r="B27" s="24"/>
      <c r="C27" s="673"/>
      <c r="D27" s="666"/>
      <c r="E27" s="666"/>
      <c r="F27" s="666"/>
      <c r="G27" s="666"/>
      <c r="H27" s="666"/>
      <c r="I27" s="1144"/>
      <c r="J27" s="737"/>
      <c r="K27" s="673"/>
      <c r="L27" s="666"/>
      <c r="M27" s="666"/>
      <c r="N27" s="673"/>
      <c r="O27" s="666"/>
      <c r="P27" s="666"/>
      <c r="Q27" s="666"/>
      <c r="R27" s="674"/>
      <c r="S27" s="648"/>
      <c r="T27" s="673"/>
      <c r="U27" s="666"/>
      <c r="V27" s="1197"/>
      <c r="W27" s="1129"/>
      <c r="X27" s="654"/>
      <c r="Y27" s="675"/>
      <c r="Z27" s="654"/>
      <c r="AA27" s="1112"/>
    </row>
    <row r="28" spans="1:27" ht="12" customHeight="1">
      <c r="A28" s="21" t="s">
        <v>342</v>
      </c>
      <c r="B28" s="24"/>
      <c r="C28" s="673"/>
      <c r="D28" s="666"/>
      <c r="E28" s="666"/>
      <c r="F28" s="666"/>
      <c r="G28" s="666"/>
      <c r="H28" s="666"/>
      <c r="I28" s="1144"/>
      <c r="J28" s="737"/>
      <c r="K28" s="673"/>
      <c r="L28" s="666"/>
      <c r="M28" s="666"/>
      <c r="N28" s="673"/>
      <c r="O28" s="666"/>
      <c r="P28" s="666"/>
      <c r="Q28" s="666"/>
      <c r="R28" s="674"/>
      <c r="S28" s="648"/>
      <c r="T28" s="673"/>
      <c r="U28" s="666"/>
      <c r="V28" s="1197"/>
      <c r="W28" s="1129"/>
      <c r="X28" s="654"/>
      <c r="Y28" s="675"/>
      <c r="Z28" s="654"/>
      <c r="AA28" s="1112"/>
    </row>
    <row r="29" spans="1:27" ht="12" customHeight="1">
      <c r="A29" s="21" t="s">
        <v>343</v>
      </c>
      <c r="B29" s="24"/>
      <c r="C29" s="37">
        <v>2100</v>
      </c>
      <c r="D29" s="5">
        <v>1996</v>
      </c>
      <c r="E29" s="5">
        <v>1848</v>
      </c>
      <c r="F29" s="5">
        <v>1841</v>
      </c>
      <c r="G29" s="5">
        <v>1811</v>
      </c>
      <c r="H29" s="5">
        <v>1824</v>
      </c>
      <c r="I29" s="1157">
        <v>1537.0016000000001</v>
      </c>
      <c r="J29" s="697">
        <v>1409</v>
      </c>
      <c r="K29" s="37">
        <v>624.32320000000004</v>
      </c>
      <c r="L29" s="5">
        <v>631.73440000000005</v>
      </c>
      <c r="M29" s="5">
        <v>635.14560000000006</v>
      </c>
      <c r="N29" s="1010">
        <v>626.08000000000004</v>
      </c>
      <c r="O29" s="1151">
        <v>623.71199999999999</v>
      </c>
      <c r="P29" s="1151">
        <v>625.36300000000006</v>
      </c>
      <c r="Q29" s="1151">
        <v>615.03399999999999</v>
      </c>
      <c r="R29" s="1391">
        <v>611.72500000000002</v>
      </c>
      <c r="S29" s="648"/>
      <c r="T29" s="37">
        <v>541</v>
      </c>
      <c r="U29" s="1151">
        <v>713</v>
      </c>
      <c r="V29" s="1198"/>
      <c r="W29" s="1130"/>
      <c r="X29" s="646"/>
      <c r="Y29" s="35"/>
      <c r="Z29" s="646"/>
      <c r="AA29" s="581"/>
    </row>
    <row r="30" spans="1:27" ht="12" customHeight="1">
      <c r="A30" s="21" t="s">
        <v>344</v>
      </c>
      <c r="B30" s="24"/>
      <c r="C30" s="37">
        <v>43386</v>
      </c>
      <c r="D30" s="5">
        <v>47046</v>
      </c>
      <c r="E30" s="5">
        <v>45587.838000000003</v>
      </c>
      <c r="F30" s="797">
        <v>42365.412164199995</v>
      </c>
      <c r="G30" s="5">
        <v>48197.614212217602</v>
      </c>
      <c r="H30" s="797">
        <v>53269.816455627595</v>
      </c>
      <c r="I30" s="157">
        <v>51490.501011894878</v>
      </c>
      <c r="J30" s="697">
        <v>49529.050029999999</v>
      </c>
      <c r="K30" s="1026">
        <v>50495.243628479999</v>
      </c>
      <c r="L30" s="1027">
        <v>49807.543279311998</v>
      </c>
      <c r="M30" s="1027">
        <v>49046.220078352002</v>
      </c>
      <c r="N30" s="1010">
        <v>49208.554201403997</v>
      </c>
      <c r="O30" s="1151">
        <v>49381.395926459998</v>
      </c>
      <c r="P30" s="1151">
        <v>50233.880849580994</v>
      </c>
      <c r="Q30" s="1151">
        <v>51482.549076126998</v>
      </c>
      <c r="R30" s="1391">
        <v>51482.549076126998</v>
      </c>
      <c r="S30" s="648"/>
      <c r="T30" s="1026">
        <v>46686.930536099186</v>
      </c>
      <c r="U30" s="1240">
        <v>43198.278483809998</v>
      </c>
      <c r="V30" s="1198"/>
      <c r="W30" s="1130"/>
      <c r="X30" s="646"/>
      <c r="Y30" s="35"/>
      <c r="Z30" s="646"/>
      <c r="AA30" s="581"/>
    </row>
    <row r="31" spans="1:27" s="143" customFormat="1" ht="12" customHeight="1">
      <c r="A31" s="141" t="s">
        <v>345</v>
      </c>
      <c r="B31" s="134"/>
      <c r="C31" s="85">
        <f t="shared" ref="C31:H31" si="8">SUM(C22:C30)</f>
        <v>56918</v>
      </c>
      <c r="D31" s="86">
        <f t="shared" si="8"/>
        <v>60137</v>
      </c>
      <c r="E31" s="86">
        <f t="shared" si="8"/>
        <v>58351.838000000003</v>
      </c>
      <c r="F31" s="86">
        <f t="shared" si="8"/>
        <v>55858.412164199995</v>
      </c>
      <c r="G31" s="86">
        <f t="shared" si="8"/>
        <v>61348.079812217606</v>
      </c>
      <c r="H31" s="86">
        <f t="shared" si="8"/>
        <v>66282.816455627602</v>
      </c>
      <c r="I31" s="156">
        <f t="shared" ref="I31:O31" si="9">SUM(I22:I30)</f>
        <v>64282.502611894874</v>
      </c>
      <c r="J31" s="699">
        <f t="shared" si="9"/>
        <v>62707.050029999999</v>
      </c>
      <c r="K31" s="85">
        <f t="shared" si="9"/>
        <v>69525.56682847999</v>
      </c>
      <c r="L31" s="86">
        <f>SUM(L22:L30)</f>
        <v>70562.277679311999</v>
      </c>
      <c r="M31" s="86">
        <f t="shared" si="9"/>
        <v>70564.365678351998</v>
      </c>
      <c r="N31" s="85">
        <f t="shared" si="9"/>
        <v>76714.453991403992</v>
      </c>
      <c r="O31" s="86">
        <f t="shared" si="9"/>
        <v>76912.335836459999</v>
      </c>
      <c r="P31" s="86">
        <f t="shared" ref="P31:R31" si="10">SUM(P22:P30)</f>
        <v>78144.878469580988</v>
      </c>
      <c r="Q31" s="86">
        <f t="shared" si="10"/>
        <v>80567.466646126995</v>
      </c>
      <c r="R31" s="630">
        <f t="shared" si="10"/>
        <v>80008.466646126995</v>
      </c>
      <c r="S31" s="87"/>
      <c r="T31" s="85">
        <f t="shared" ref="T31:U31" si="11">SUM(T22:T30)</f>
        <v>62005.930536099186</v>
      </c>
      <c r="U31" s="86">
        <f t="shared" si="11"/>
        <v>63953.278483809998</v>
      </c>
      <c r="V31" s="630"/>
      <c r="W31" s="85"/>
      <c r="X31" s="86"/>
      <c r="Y31" s="86"/>
      <c r="Z31" s="86"/>
      <c r="AA31" s="630"/>
    </row>
    <row r="32" spans="1:27" ht="12" customHeight="1">
      <c r="A32" s="102" t="s">
        <v>334</v>
      </c>
      <c r="B32" s="31"/>
      <c r="C32" s="28"/>
      <c r="D32" s="29">
        <f t="shared" ref="D32:O32" si="12">+D31/C31-1</f>
        <v>5.6555044098527629E-2</v>
      </c>
      <c r="E32" s="29">
        <f t="shared" si="12"/>
        <v>-2.9684919433959123E-2</v>
      </c>
      <c r="F32" s="29">
        <f t="shared" si="12"/>
        <v>-4.2730887685148988E-2</v>
      </c>
      <c r="G32" s="29">
        <f t="shared" si="12"/>
        <v>9.8278261685640578E-2</v>
      </c>
      <c r="H32" s="29">
        <f t="shared" si="12"/>
        <v>8.0438322739927681E-2</v>
      </c>
      <c r="I32" s="160">
        <f t="shared" si="12"/>
        <v>-3.0178467824640842E-2</v>
      </c>
      <c r="J32" s="700">
        <f t="shared" si="12"/>
        <v>-2.4508264580280215E-2</v>
      </c>
      <c r="K32" s="28">
        <f t="shared" si="12"/>
        <v>0.10873604794385816</v>
      </c>
      <c r="L32" s="29">
        <f t="shared" si="12"/>
        <v>1.4911217529367082E-2</v>
      </c>
      <c r="M32" s="29">
        <f t="shared" si="12"/>
        <v>2.9590867934858878E-5</v>
      </c>
      <c r="N32" s="28">
        <f t="shared" si="12"/>
        <v>8.7155723061204338E-2</v>
      </c>
      <c r="O32" s="29">
        <f t="shared" si="12"/>
        <v>2.5794597336008529E-3</v>
      </c>
      <c r="P32" s="29">
        <f t="shared" ref="P32" si="13">+P31/O31-1</f>
        <v>1.6025291908202677E-2</v>
      </c>
      <c r="Q32" s="29">
        <f t="shared" ref="Q32" si="14">+Q31/P31-1</f>
        <v>3.100124056740361E-2</v>
      </c>
      <c r="R32" s="30">
        <f t="shared" ref="R32" si="15">+R31/Q31-1</f>
        <v>-6.9382844375046604E-3</v>
      </c>
      <c r="S32" s="27"/>
      <c r="T32" s="28">
        <f>T31/J31-1</f>
        <v>-1.1180871904600598E-2</v>
      </c>
      <c r="U32" s="29">
        <f>U31/K31-1</f>
        <v>-8.0147327074899799E-2</v>
      </c>
      <c r="V32" s="30"/>
      <c r="W32" s="28"/>
      <c r="X32" s="29"/>
      <c r="Y32" s="29"/>
      <c r="Z32" s="29"/>
      <c r="AA32" s="30"/>
    </row>
    <row r="33" spans="1:27" ht="12" customHeight="1">
      <c r="A33" s="31"/>
      <c r="B33" s="32"/>
      <c r="C33" s="32"/>
      <c r="D33" s="32"/>
      <c r="E33" s="32"/>
      <c r="F33" s="32"/>
      <c r="G33" s="32"/>
      <c r="H33" s="32"/>
      <c r="I33" s="32"/>
      <c r="J33" s="703"/>
      <c r="K33" s="26"/>
      <c r="L33" s="26"/>
      <c r="M33" s="26"/>
      <c r="N33" s="26"/>
      <c r="O33" s="26"/>
      <c r="P33" s="26"/>
      <c r="Q33" s="26"/>
      <c r="R33" s="26"/>
      <c r="S33" s="32"/>
      <c r="T33" s="32"/>
      <c r="U33" s="1147"/>
      <c r="V33" s="32"/>
      <c r="W33" s="32"/>
      <c r="X33" s="32"/>
      <c r="Y33" s="32"/>
      <c r="Z33" s="32"/>
      <c r="AA33" s="32"/>
    </row>
    <row r="34" spans="1:27" ht="15.6" customHeight="1">
      <c r="A34" s="15" t="s">
        <v>346</v>
      </c>
      <c r="B34" s="15"/>
      <c r="C34" s="15"/>
      <c r="D34" s="15"/>
      <c r="E34" s="15"/>
      <c r="F34" s="15"/>
      <c r="G34" s="15"/>
      <c r="H34" s="15"/>
      <c r="I34" s="15"/>
      <c r="J34" s="695"/>
      <c r="K34" s="17"/>
      <c r="L34" s="17"/>
      <c r="M34" s="17"/>
      <c r="N34" s="17"/>
      <c r="O34" s="17"/>
      <c r="P34" s="17"/>
      <c r="Q34" s="17"/>
      <c r="R34" s="17"/>
      <c r="S34" s="18"/>
      <c r="T34" s="17"/>
      <c r="U34" s="1148"/>
      <c r="V34" s="17"/>
      <c r="W34" s="17"/>
      <c r="X34" s="17"/>
      <c r="Y34" s="17"/>
      <c r="Z34" s="17"/>
      <c r="AA34" s="17"/>
    </row>
    <row r="35" spans="1:27" ht="12" customHeight="1">
      <c r="A35" s="15" t="s">
        <v>347</v>
      </c>
      <c r="B35" s="15"/>
      <c r="C35" s="15"/>
      <c r="D35" s="15"/>
      <c r="E35" s="15"/>
      <c r="F35" s="15"/>
      <c r="G35" s="15"/>
      <c r="H35" s="15"/>
      <c r="I35" s="15"/>
      <c r="J35" s="695"/>
      <c r="K35" s="17"/>
      <c r="L35" s="17"/>
      <c r="M35" s="17"/>
      <c r="N35" s="17"/>
      <c r="O35" s="17"/>
      <c r="P35" s="17"/>
      <c r="Q35" s="17"/>
      <c r="R35" s="17"/>
      <c r="S35" s="17"/>
      <c r="T35" s="17"/>
      <c r="U35" s="1148"/>
      <c r="V35" s="17"/>
      <c r="W35" s="17"/>
      <c r="X35" s="17"/>
      <c r="Y35" s="17"/>
      <c r="Z35" s="17"/>
      <c r="AA35" s="17"/>
    </row>
    <row r="36" spans="1:27" ht="12" customHeight="1">
      <c r="A36" s="42" t="s">
        <v>348</v>
      </c>
      <c r="B36" s="21"/>
      <c r="C36" s="22">
        <v>9162</v>
      </c>
      <c r="D36" s="22">
        <v>7860</v>
      </c>
      <c r="E36" s="22">
        <v>6558</v>
      </c>
      <c r="F36" s="22">
        <v>5256</v>
      </c>
      <c r="G36" s="22">
        <v>3954</v>
      </c>
      <c r="H36" s="22">
        <v>2652</v>
      </c>
      <c r="I36" s="650">
        <v>1350</v>
      </c>
      <c r="J36" s="728">
        <v>450</v>
      </c>
      <c r="K36" s="67">
        <v>1065</v>
      </c>
      <c r="L36" s="22">
        <v>935</v>
      </c>
      <c r="M36" s="23">
        <v>783</v>
      </c>
      <c r="N36" s="1530">
        <v>637</v>
      </c>
      <c r="O36" s="22">
        <v>505</v>
      </c>
      <c r="P36" s="22">
        <v>393.5</v>
      </c>
      <c r="Q36" s="22">
        <v>292.5</v>
      </c>
      <c r="R36" s="1493">
        <v>191.5</v>
      </c>
      <c r="S36" s="690"/>
      <c r="T36" s="67">
        <v>1065</v>
      </c>
      <c r="U36" s="1011">
        <v>1065</v>
      </c>
      <c r="V36" s="1131"/>
      <c r="W36" s="1133"/>
      <c r="X36" s="650"/>
      <c r="Y36" s="650"/>
      <c r="Z36" s="650"/>
      <c r="AA36" s="651"/>
    </row>
    <row r="37" spans="1:27" ht="12" customHeight="1">
      <c r="A37" s="44" t="s">
        <v>349</v>
      </c>
      <c r="B37" s="21"/>
      <c r="C37" s="5"/>
      <c r="D37" s="5"/>
      <c r="E37" s="5"/>
      <c r="F37" s="5"/>
      <c r="G37" s="5"/>
      <c r="H37" s="5"/>
      <c r="I37" s="5"/>
      <c r="J37" s="705"/>
      <c r="K37" s="37"/>
      <c r="L37" s="5"/>
      <c r="M37" s="25"/>
      <c r="N37" s="157"/>
      <c r="O37" s="5"/>
      <c r="P37" s="5"/>
      <c r="Q37" s="5"/>
      <c r="R37" s="25"/>
      <c r="S37" s="43"/>
      <c r="T37" s="37"/>
      <c r="U37" s="1010"/>
      <c r="V37" s="1132"/>
      <c r="W37" s="1130"/>
      <c r="X37" s="645"/>
      <c r="Y37" s="667"/>
      <c r="Z37" s="645"/>
      <c r="AA37" s="1113"/>
    </row>
    <row r="38" spans="1:27" ht="12" customHeight="1">
      <c r="A38" s="44" t="s">
        <v>350</v>
      </c>
      <c r="B38" s="21"/>
      <c r="C38" s="5"/>
      <c r="D38" s="5"/>
      <c r="E38" s="5"/>
      <c r="F38" s="5"/>
      <c r="G38" s="5"/>
      <c r="H38" s="5"/>
      <c r="I38" s="5"/>
      <c r="J38" s="705"/>
      <c r="K38" s="37"/>
      <c r="L38" s="5"/>
      <c r="M38" s="25"/>
      <c r="N38" s="157"/>
      <c r="O38" s="5"/>
      <c r="P38" s="5"/>
      <c r="Q38" s="5"/>
      <c r="R38" s="25"/>
      <c r="S38" s="43"/>
      <c r="T38" s="37"/>
      <c r="U38" s="1010"/>
      <c r="V38" s="1132"/>
      <c r="W38" s="1130"/>
      <c r="X38" s="645"/>
      <c r="Y38" s="667"/>
      <c r="Z38" s="645"/>
      <c r="AA38" s="1113"/>
    </row>
    <row r="39" spans="1:27" ht="12" customHeight="1">
      <c r="A39" s="45" t="s">
        <v>351</v>
      </c>
      <c r="B39" s="21"/>
      <c r="C39" s="149">
        <f t="shared" ref="C39:J39" si="16">SUM(C36:C38)</f>
        <v>9162</v>
      </c>
      <c r="D39" s="149">
        <f t="shared" si="16"/>
        <v>7860</v>
      </c>
      <c r="E39" s="149">
        <f t="shared" si="16"/>
        <v>6558</v>
      </c>
      <c r="F39" s="149">
        <f t="shared" si="16"/>
        <v>5256</v>
      </c>
      <c r="G39" s="149">
        <f t="shared" si="16"/>
        <v>3954</v>
      </c>
      <c r="H39" s="149">
        <f t="shared" si="16"/>
        <v>2652</v>
      </c>
      <c r="I39" s="149">
        <f t="shared" si="16"/>
        <v>1350</v>
      </c>
      <c r="J39" s="717">
        <f t="shared" si="16"/>
        <v>450</v>
      </c>
      <c r="K39" s="148">
        <f>SUM(K36:K38)</f>
        <v>1065</v>
      </c>
      <c r="L39" s="149">
        <f>SUM(L36:L38)</f>
        <v>935</v>
      </c>
      <c r="M39" s="150">
        <f>SUM(M36:M38)</f>
        <v>783</v>
      </c>
      <c r="N39" s="1230">
        <f>SUM(N36:N38)</f>
        <v>637</v>
      </c>
      <c r="O39" s="149">
        <f>SUM(O36:O38)</f>
        <v>505</v>
      </c>
      <c r="P39" s="149">
        <f t="shared" ref="P39:R39" si="17">SUM(P36:P38)</f>
        <v>393.5</v>
      </c>
      <c r="Q39" s="149">
        <f t="shared" si="17"/>
        <v>292.5</v>
      </c>
      <c r="R39" s="150">
        <f t="shared" si="17"/>
        <v>191.5</v>
      </c>
      <c r="S39" s="43"/>
      <c r="T39" s="148">
        <f>SUM(T36:T38)</f>
        <v>1065</v>
      </c>
      <c r="U39" s="148">
        <f>SUM(U36:U38)</f>
        <v>1065</v>
      </c>
      <c r="V39" s="926"/>
      <c r="W39" s="148"/>
      <c r="X39" s="149"/>
      <c r="Y39" s="149"/>
      <c r="Z39" s="149"/>
      <c r="AA39" s="150"/>
    </row>
    <row r="40" spans="1:27" ht="12" customHeight="1">
      <c r="A40" s="15" t="s">
        <v>352</v>
      </c>
      <c r="B40" s="15"/>
      <c r="C40" s="15"/>
      <c r="D40" s="15"/>
      <c r="E40" s="15"/>
      <c r="F40" s="15"/>
      <c r="G40" s="15"/>
      <c r="H40" s="15"/>
      <c r="I40" s="15"/>
      <c r="J40" s="695"/>
      <c r="K40" s="17"/>
      <c r="L40" s="17"/>
      <c r="M40" s="17"/>
      <c r="N40" s="17"/>
      <c r="O40" s="17"/>
      <c r="P40" s="17"/>
      <c r="Q40" s="17"/>
      <c r="R40" s="17"/>
      <c r="S40" s="51"/>
      <c r="T40" s="51"/>
      <c r="U40" s="51"/>
      <c r="V40" s="16"/>
      <c r="W40" s="16"/>
      <c r="X40" s="16"/>
      <c r="Y40" s="16"/>
      <c r="Z40" s="16"/>
      <c r="AA40" s="16"/>
    </row>
    <row r="41" spans="1:27" ht="12" customHeight="1">
      <c r="A41" s="52" t="s">
        <v>353</v>
      </c>
      <c r="B41" s="21"/>
      <c r="C41" s="121">
        <f t="shared" ref="C41:O41" si="18">C16/C39</f>
        <v>4.6605544640908096E-2</v>
      </c>
      <c r="D41" s="121">
        <f t="shared" si="18"/>
        <v>4.6437659033078879E-2</v>
      </c>
      <c r="E41" s="121">
        <f t="shared" si="18"/>
        <v>4.6355596218359253E-2</v>
      </c>
      <c r="F41" s="121">
        <f t="shared" si="18"/>
        <v>4.6423135464231352E-2</v>
      </c>
      <c r="G41" s="121">
        <f t="shared" si="18"/>
        <v>4.6399999999999997E-2</v>
      </c>
      <c r="H41" s="121">
        <f t="shared" si="18"/>
        <v>4.6380090497737558E-2</v>
      </c>
      <c r="I41" s="121">
        <f t="shared" si="18"/>
        <v>4.6667851851851856E-2</v>
      </c>
      <c r="J41" s="807">
        <f t="shared" si="18"/>
        <v>4.6666666666666669E-2</v>
      </c>
      <c r="K41" s="871">
        <f t="shared" si="18"/>
        <v>4.6312863849765261E-2</v>
      </c>
      <c r="L41" s="121">
        <f t="shared" si="18"/>
        <v>4.570524064171122E-2</v>
      </c>
      <c r="M41" s="872">
        <f t="shared" si="18"/>
        <v>4.6162962962962954E-2</v>
      </c>
      <c r="N41" s="871">
        <f t="shared" si="18"/>
        <v>4.6399999999999997E-2</v>
      </c>
      <c r="O41" s="121">
        <f t="shared" si="18"/>
        <v>4.6399999999999997E-2</v>
      </c>
      <c r="P41" s="121">
        <f t="shared" ref="P41:R41" si="19">P16/P39</f>
        <v>4.6399999999999997E-2</v>
      </c>
      <c r="Q41" s="121">
        <f t="shared" si="19"/>
        <v>4.6399999999999997E-2</v>
      </c>
      <c r="R41" s="872">
        <f t="shared" si="19"/>
        <v>4.6400000000000004E-2</v>
      </c>
      <c r="S41" s="53"/>
      <c r="T41" s="876">
        <f t="shared" ref="T41:U41" si="20">T16/T39</f>
        <v>4.6009389671361506E-2</v>
      </c>
      <c r="U41" s="876">
        <f t="shared" si="20"/>
        <v>4.0375586854460091E-2</v>
      </c>
      <c r="V41" s="1134"/>
      <c r="W41" s="1137"/>
      <c r="X41" s="655"/>
      <c r="Y41" s="54"/>
      <c r="Z41" s="655"/>
      <c r="AA41" s="1114"/>
    </row>
    <row r="42" spans="1:27" ht="12" customHeight="1">
      <c r="A42" s="56" t="s">
        <v>354</v>
      </c>
      <c r="B42" s="21"/>
      <c r="C42" s="117">
        <v>4.8000000000000001E-2</v>
      </c>
      <c r="D42" s="117">
        <v>4.8000000000000001E-2</v>
      </c>
      <c r="E42" s="117">
        <v>4.8000000000000001E-2</v>
      </c>
      <c r="F42" s="117">
        <v>4.8000000000000001E-2</v>
      </c>
      <c r="G42" s="117">
        <v>4.8000000000000001E-2</v>
      </c>
      <c r="H42" s="117">
        <v>4.8000000000000001E-2</v>
      </c>
      <c r="I42" s="117">
        <v>4.8000000000000001E-2</v>
      </c>
      <c r="J42" s="1104">
        <v>4.8000000000000001E-2</v>
      </c>
      <c r="K42" s="118">
        <v>4.8000000000000001E-2</v>
      </c>
      <c r="L42" s="117">
        <v>4.8000000000000001E-2</v>
      </c>
      <c r="M42" s="1019">
        <v>4.8000000000000001E-2</v>
      </c>
      <c r="N42" s="118">
        <v>4.8000000000000001E-2</v>
      </c>
      <c r="O42" s="117">
        <v>4.8000000000000001E-2</v>
      </c>
      <c r="P42" s="117">
        <v>4.8000000000000001E-2</v>
      </c>
      <c r="Q42" s="117">
        <v>4.8000000000000001E-2</v>
      </c>
      <c r="R42" s="1019">
        <v>4.8000000000000001E-2</v>
      </c>
      <c r="S42" s="53"/>
      <c r="T42" s="1017">
        <f>K42</f>
        <v>4.8000000000000001E-2</v>
      </c>
      <c r="U42" s="1191">
        <f>L42</f>
        <v>4.8000000000000001E-2</v>
      </c>
      <c r="V42" s="1135"/>
      <c r="W42" s="1138"/>
      <c r="X42" s="658"/>
      <c r="Y42" s="57"/>
      <c r="Z42" s="658"/>
      <c r="AA42" s="1115"/>
    </row>
    <row r="43" spans="1:27" ht="12" customHeight="1">
      <c r="A43" s="56" t="s">
        <v>355</v>
      </c>
      <c r="B43" s="21"/>
      <c r="C43" s="117">
        <v>4.2999999999999997E-2</v>
      </c>
      <c r="D43" s="117">
        <v>4.2999999999999997E-2</v>
      </c>
      <c r="E43" s="117">
        <v>4.2999999999999997E-2</v>
      </c>
      <c r="F43" s="117">
        <v>4.2999999999999997E-2</v>
      </c>
      <c r="G43" s="117">
        <v>4.2999999999999997E-2</v>
      </c>
      <c r="H43" s="117">
        <v>4.2999999999999997E-2</v>
      </c>
      <c r="I43" s="117">
        <v>4.2999999999999997E-2</v>
      </c>
      <c r="J43" s="1104">
        <v>4.2999999999999997E-2</v>
      </c>
      <c r="K43" s="118">
        <v>4.2999999999999997E-2</v>
      </c>
      <c r="L43" s="117">
        <v>4.2999999999999997E-2</v>
      </c>
      <c r="M43" s="1019">
        <v>4.2999999999999997E-2</v>
      </c>
      <c r="N43" s="118">
        <v>4.2999999999999997E-2</v>
      </c>
      <c r="O43" s="117">
        <v>4.2999999999999997E-2</v>
      </c>
      <c r="P43" s="117">
        <v>4.2999999999999997E-2</v>
      </c>
      <c r="Q43" s="117">
        <v>4.2999999999999997E-2</v>
      </c>
      <c r="R43" s="1019">
        <v>4.2999999999999997E-2</v>
      </c>
      <c r="S43" s="53"/>
      <c r="T43" s="118">
        <v>4.2999999999999997E-2</v>
      </c>
      <c r="U43" s="1012">
        <v>4.2999999999999997E-2</v>
      </c>
      <c r="V43" s="1135"/>
      <c r="W43" s="1138"/>
      <c r="X43" s="658"/>
      <c r="Y43" s="57"/>
      <c r="Z43" s="658"/>
      <c r="AA43" s="1115"/>
    </row>
    <row r="44" spans="1:27" ht="12" customHeight="1">
      <c r="A44" s="137" t="s">
        <v>356</v>
      </c>
      <c r="B44" s="21"/>
      <c r="C44" s="119">
        <v>0.72</v>
      </c>
      <c r="D44" s="119">
        <v>0.69</v>
      </c>
      <c r="E44" s="119">
        <v>0.67</v>
      </c>
      <c r="F44" s="119">
        <v>0.68</v>
      </c>
      <c r="G44" s="119">
        <v>0.68</v>
      </c>
      <c r="H44" s="119">
        <v>0.68</v>
      </c>
      <c r="I44" s="119">
        <v>0.73</v>
      </c>
      <c r="J44" s="1105">
        <v>0.54</v>
      </c>
      <c r="K44" s="120">
        <v>0.66</v>
      </c>
      <c r="L44" s="119">
        <v>0.54</v>
      </c>
      <c r="M44" s="1020">
        <v>0.63</v>
      </c>
      <c r="N44" s="120">
        <v>0.47</v>
      </c>
      <c r="O44" s="119">
        <v>0.77</v>
      </c>
      <c r="P44" s="119">
        <v>0.77</v>
      </c>
      <c r="Q44" s="119">
        <v>0.77</v>
      </c>
      <c r="R44" s="1020">
        <v>0.77</v>
      </c>
      <c r="S44" s="59"/>
      <c r="T44" s="120">
        <v>0.66</v>
      </c>
      <c r="U44" s="1013">
        <v>0.66</v>
      </c>
      <c r="V44" s="1136"/>
      <c r="W44" s="103"/>
      <c r="X44" s="661"/>
      <c r="Y44" s="61"/>
      <c r="Z44" s="661"/>
      <c r="AA44" s="136"/>
    </row>
    <row r="45" spans="1:27" ht="5.45" customHeight="1">
      <c r="A45" s="17"/>
      <c r="K45" s="144"/>
      <c r="L45" s="144"/>
      <c r="M45" s="144"/>
      <c r="N45" s="144"/>
      <c r="O45" s="144"/>
      <c r="P45" s="144"/>
      <c r="Q45" s="144"/>
      <c r="R45" s="144"/>
      <c r="S45" s="59"/>
      <c r="T45" s="144"/>
      <c r="U45" s="144"/>
      <c r="V45" s="145"/>
      <c r="W45" s="146"/>
      <c r="X45" s="146"/>
      <c r="Y45" s="146"/>
      <c r="Z45" s="146"/>
      <c r="AA45" s="146"/>
    </row>
    <row r="46" spans="1:27" s="605" customFormat="1" ht="12" customHeight="1">
      <c r="A46" s="71" t="s">
        <v>357</v>
      </c>
      <c r="B46" s="2"/>
      <c r="C46" s="2"/>
      <c r="D46" s="2"/>
      <c r="E46" s="2"/>
      <c r="F46" s="2"/>
      <c r="G46" s="2"/>
      <c r="H46" s="2"/>
      <c r="I46" s="2"/>
      <c r="J46" s="641"/>
      <c r="K46" s="27"/>
      <c r="L46" s="27"/>
      <c r="M46" s="27"/>
      <c r="N46" s="27"/>
      <c r="O46" s="27"/>
      <c r="P46" s="27"/>
      <c r="Q46" s="27"/>
      <c r="R46" s="27"/>
      <c r="S46" s="604"/>
      <c r="T46" s="27"/>
      <c r="U46" s="27"/>
      <c r="V46" s="604"/>
      <c r="W46" s="604"/>
      <c r="X46" s="604"/>
      <c r="Y46" s="604"/>
      <c r="Z46" s="604"/>
      <c r="AA46" s="604"/>
    </row>
    <row r="47" spans="1:27" s="605" customFormat="1" ht="12" customHeight="1">
      <c r="A47" s="126" t="s">
        <v>358</v>
      </c>
      <c r="B47" s="123"/>
      <c r="C47" s="128"/>
      <c r="D47" s="128"/>
      <c r="E47" s="128"/>
      <c r="F47" s="128"/>
      <c r="G47" s="128"/>
      <c r="H47" s="128"/>
      <c r="I47" s="128"/>
      <c r="J47" s="1533"/>
      <c r="K47" s="127"/>
      <c r="L47" s="128"/>
      <c r="M47" s="1022"/>
      <c r="N47" s="1021"/>
      <c r="O47" s="128"/>
      <c r="P47" s="128"/>
      <c r="Q47" s="128"/>
      <c r="R47" s="1022"/>
      <c r="S47" s="619"/>
      <c r="T47" s="1021"/>
      <c r="U47" s="1192"/>
      <c r="V47" s="1139"/>
      <c r="W47" s="1021"/>
      <c r="X47" s="128"/>
      <c r="Y47" s="128"/>
      <c r="Z47" s="128"/>
      <c r="AA47" s="1022"/>
    </row>
    <row r="48" spans="1:27" ht="5.45" customHeight="1">
      <c r="A48" s="17"/>
      <c r="K48" s="144"/>
      <c r="L48" s="144"/>
      <c r="M48" s="144"/>
      <c r="N48" s="144"/>
      <c r="O48" s="144"/>
      <c r="P48" s="144"/>
      <c r="Q48" s="144"/>
      <c r="R48" s="144"/>
      <c r="S48" s="59"/>
      <c r="T48" s="144"/>
      <c r="U48" s="144"/>
      <c r="V48" s="145"/>
      <c r="W48" s="146"/>
      <c r="X48" s="146"/>
      <c r="Y48" s="146"/>
      <c r="Z48" s="146"/>
      <c r="AA48" s="146"/>
    </row>
    <row r="49" spans="1:27" s="615" customFormat="1" ht="12" customHeight="1">
      <c r="A49" s="71" t="s">
        <v>359</v>
      </c>
      <c r="B49" s="2"/>
      <c r="C49" s="2"/>
      <c r="D49" s="2"/>
      <c r="E49" s="2"/>
      <c r="F49" s="2"/>
      <c r="G49" s="2"/>
      <c r="H49" s="2"/>
      <c r="I49" s="2"/>
      <c r="J49" s="641"/>
      <c r="K49" s="27"/>
      <c r="L49" s="27"/>
      <c r="M49" s="27"/>
      <c r="N49" s="27"/>
      <c r="O49" s="27"/>
      <c r="P49" s="27"/>
      <c r="Q49" s="27"/>
      <c r="R49" s="27"/>
      <c r="S49" s="604"/>
      <c r="T49" s="27"/>
      <c r="U49" s="27"/>
      <c r="V49" s="604"/>
      <c r="W49" s="604"/>
      <c r="X49" s="604"/>
      <c r="Y49" s="604"/>
      <c r="Z49" s="604"/>
      <c r="AA49" s="604"/>
    </row>
    <row r="50" spans="1:27" ht="12" customHeight="1">
      <c r="A50" s="42" t="s">
        <v>360</v>
      </c>
      <c r="B50" s="21"/>
      <c r="C50" s="665"/>
      <c r="D50" s="665"/>
      <c r="E50" s="665"/>
      <c r="F50" s="665"/>
      <c r="G50" s="665"/>
      <c r="H50" s="665"/>
      <c r="I50" s="665"/>
      <c r="J50" s="733"/>
      <c r="K50" s="67">
        <v>0</v>
      </c>
      <c r="L50" s="22">
        <v>0</v>
      </c>
      <c r="M50" s="23">
        <v>0</v>
      </c>
      <c r="N50" s="67">
        <v>0</v>
      </c>
      <c r="O50" s="22">
        <v>0</v>
      </c>
      <c r="P50" s="22">
        <v>0</v>
      </c>
      <c r="Q50" s="22">
        <v>0</v>
      </c>
      <c r="R50" s="23">
        <v>0</v>
      </c>
      <c r="S50" s="43"/>
      <c r="T50" s="67">
        <v>0</v>
      </c>
      <c r="U50" s="1011">
        <v>0</v>
      </c>
      <c r="V50" s="1101"/>
      <c r="W50" s="1133"/>
      <c r="X50" s="22"/>
      <c r="Y50" s="22"/>
      <c r="Z50" s="22"/>
      <c r="AA50" s="23"/>
    </row>
    <row r="51" spans="1:27" ht="12" customHeight="1">
      <c r="A51" s="44" t="s">
        <v>361</v>
      </c>
      <c r="B51" s="21"/>
      <c r="C51" s="666"/>
      <c r="D51" s="666"/>
      <c r="E51" s="666"/>
      <c r="F51" s="666"/>
      <c r="G51" s="666"/>
      <c r="H51" s="666"/>
      <c r="I51" s="666"/>
      <c r="J51" s="734"/>
      <c r="K51" s="37">
        <v>0</v>
      </c>
      <c r="L51" s="5">
        <v>0</v>
      </c>
      <c r="M51" s="25">
        <v>0</v>
      </c>
      <c r="N51" s="37">
        <v>0</v>
      </c>
      <c r="O51" s="5">
        <v>0</v>
      </c>
      <c r="P51" s="5">
        <v>0</v>
      </c>
      <c r="Q51" s="5">
        <v>0</v>
      </c>
      <c r="R51" s="25">
        <v>0</v>
      </c>
      <c r="S51" s="43"/>
      <c r="T51" s="37">
        <v>0</v>
      </c>
      <c r="U51" s="1010">
        <v>0</v>
      </c>
      <c r="V51" s="1140"/>
      <c r="W51" s="1130"/>
      <c r="X51" s="5"/>
      <c r="Y51" s="35"/>
      <c r="Z51" s="5"/>
      <c r="AA51" s="581"/>
    </row>
    <row r="52" spans="1:27" ht="12" customHeight="1">
      <c r="A52" s="137" t="s">
        <v>362</v>
      </c>
      <c r="B52" s="21"/>
      <c r="C52" s="599"/>
      <c r="D52" s="599"/>
      <c r="E52" s="599"/>
      <c r="F52" s="599"/>
      <c r="G52" s="599"/>
      <c r="H52" s="599"/>
      <c r="I52" s="599"/>
      <c r="J52" s="735"/>
      <c r="K52" s="46">
        <v>0</v>
      </c>
      <c r="L52" s="47">
        <v>0</v>
      </c>
      <c r="M52" s="48">
        <v>0</v>
      </c>
      <c r="N52" s="46">
        <v>0</v>
      </c>
      <c r="O52" s="47">
        <v>0</v>
      </c>
      <c r="P52" s="47">
        <v>0</v>
      </c>
      <c r="Q52" s="47">
        <v>0</v>
      </c>
      <c r="R52" s="48">
        <v>0</v>
      </c>
      <c r="S52" s="59"/>
      <c r="T52" s="46">
        <v>0</v>
      </c>
      <c r="U52" s="1014">
        <v>0</v>
      </c>
      <c r="V52" s="1141"/>
      <c r="W52" s="103"/>
      <c r="X52" s="119"/>
      <c r="Y52" s="60"/>
      <c r="Z52" s="119"/>
      <c r="AA52" s="1116"/>
    </row>
    <row r="53" spans="1:27" ht="5.45" customHeight="1">
      <c r="A53" s="17"/>
      <c r="K53" s="144"/>
      <c r="L53" s="144"/>
      <c r="M53" s="144"/>
      <c r="N53" s="144"/>
      <c r="O53" s="144"/>
      <c r="P53" s="144"/>
      <c r="Q53" s="144"/>
      <c r="R53" s="144"/>
      <c r="S53" s="59"/>
      <c r="T53" s="144"/>
      <c r="U53" s="144"/>
      <c r="V53" s="145"/>
      <c r="W53" s="146"/>
      <c r="X53" s="146"/>
      <c r="Y53" s="146"/>
      <c r="Z53" s="146"/>
      <c r="AA53" s="146"/>
    </row>
    <row r="54" spans="1:27" s="615" customFormat="1" ht="12" customHeight="1">
      <c r="A54" s="71" t="s">
        <v>363</v>
      </c>
      <c r="B54" s="2"/>
      <c r="C54" s="2"/>
      <c r="D54" s="2"/>
      <c r="E54" s="2"/>
      <c r="F54" s="2"/>
      <c r="G54" s="2"/>
      <c r="H54" s="2"/>
      <c r="I54" s="2"/>
      <c r="J54" s="641"/>
      <c r="K54" s="27"/>
      <c r="L54" s="27"/>
      <c r="M54" s="27"/>
      <c r="N54" s="27"/>
      <c r="O54" s="27"/>
      <c r="P54" s="27"/>
      <c r="Q54" s="27"/>
      <c r="R54" s="27"/>
      <c r="S54" s="604"/>
      <c r="T54" s="27"/>
      <c r="U54" s="27"/>
      <c r="V54" s="604"/>
      <c r="W54" s="604"/>
      <c r="X54" s="604"/>
      <c r="Y54" s="604"/>
      <c r="Z54" s="604"/>
      <c r="AA54" s="604"/>
    </row>
    <row r="55" spans="1:27" s="615" customFormat="1" ht="12" customHeight="1">
      <c r="A55" s="122" t="s">
        <v>364</v>
      </c>
      <c r="B55" s="123"/>
      <c r="C55" s="125">
        <v>53481.307000000001</v>
      </c>
      <c r="D55" s="125">
        <v>55411.639000000003</v>
      </c>
      <c r="E55" s="125">
        <v>56546</v>
      </c>
      <c r="F55" s="125">
        <v>58338</v>
      </c>
      <c r="G55" s="125">
        <v>58852</v>
      </c>
      <c r="H55" s="125">
        <v>60816</v>
      </c>
      <c r="I55" s="125">
        <v>58204.770519999998</v>
      </c>
      <c r="J55" s="1158">
        <v>56478.439639999997</v>
      </c>
      <c r="K55" s="67">
        <v>58574.82</v>
      </c>
      <c r="L55" s="22">
        <v>57777.082999999999</v>
      </c>
      <c r="M55" s="1101">
        <v>56893.942999999999</v>
      </c>
      <c r="N55" s="1502">
        <v>58926.684000000001</v>
      </c>
      <c r="O55" s="1503">
        <v>59133.66</v>
      </c>
      <c r="P55" s="1503">
        <v>60154.500999999997</v>
      </c>
      <c r="Q55" s="1503">
        <v>61649.767</v>
      </c>
      <c r="R55" s="1531">
        <v>61649.767</v>
      </c>
      <c r="S55" s="619"/>
      <c r="T55" s="1241">
        <v>52518.418129999998</v>
      </c>
      <c r="U55" s="1500">
        <v>50244.695</v>
      </c>
      <c r="V55" s="1226"/>
      <c r="W55" s="1227"/>
      <c r="X55" s="620"/>
      <c r="Y55" s="620"/>
      <c r="Z55" s="620"/>
      <c r="AA55" s="621"/>
    </row>
    <row r="56" spans="1:27" ht="12" customHeight="1">
      <c r="A56" s="44" t="s">
        <v>365</v>
      </c>
      <c r="B56" s="21"/>
      <c r="C56" s="788">
        <v>0.81123500000000004</v>
      </c>
      <c r="D56" s="788">
        <v>0.84902</v>
      </c>
      <c r="E56" s="788">
        <v>0.80620800000000004</v>
      </c>
      <c r="F56" s="788">
        <v>0.72619999999999996</v>
      </c>
      <c r="G56" s="788">
        <v>0.81895899999999999</v>
      </c>
      <c r="H56" s="788">
        <v>0.875911</v>
      </c>
      <c r="I56" s="788">
        <v>0.88464399999999999</v>
      </c>
      <c r="J56" s="1159">
        <v>0.87695500000000004</v>
      </c>
      <c r="K56" s="1029">
        <v>0.86206400000000005</v>
      </c>
      <c r="L56" s="788">
        <v>0.86206400000000005</v>
      </c>
      <c r="M56" s="1225">
        <v>0.86206400000000005</v>
      </c>
      <c r="N56" s="1504">
        <v>0.83508099999999996</v>
      </c>
      <c r="O56" s="1505">
        <v>0.83508099999999996</v>
      </c>
      <c r="P56" s="1505">
        <v>0.83508099999999996</v>
      </c>
      <c r="Q56" s="1505">
        <v>0.83508099999999996</v>
      </c>
      <c r="R56" s="1532">
        <v>0.83508099999999996</v>
      </c>
      <c r="S56" s="43"/>
      <c r="T56" s="1244">
        <v>0.88896299999999995</v>
      </c>
      <c r="U56" s="1501">
        <v>0.85975800000000002</v>
      </c>
      <c r="V56" s="1140"/>
      <c r="W56" s="1130"/>
      <c r="X56" s="35"/>
      <c r="Y56" s="35"/>
      <c r="Z56" s="35"/>
      <c r="AA56" s="581"/>
    </row>
    <row r="57" spans="1:27" ht="12" customHeight="1">
      <c r="A57" s="137" t="s">
        <v>366</v>
      </c>
      <c r="B57" s="21"/>
      <c r="C57" s="49">
        <f>IF(C56=0,C55,C55*C56)</f>
        <v>43385.908084145005</v>
      </c>
      <c r="D57" s="49">
        <f t="shared" ref="D57:O57" si="21">IF(D56=0,D55,D55*D56)</f>
        <v>47045.589743780001</v>
      </c>
      <c r="E57" s="49">
        <f t="shared" si="21"/>
        <v>45587.837568000003</v>
      </c>
      <c r="F57" s="49">
        <f t="shared" si="21"/>
        <v>42365.0556</v>
      </c>
      <c r="G57" s="49">
        <f t="shared" si="21"/>
        <v>48197.375068000001</v>
      </c>
      <c r="H57" s="49">
        <f t="shared" si="21"/>
        <v>53269.403376000002</v>
      </c>
      <c r="I57" s="49">
        <f t="shared" si="21"/>
        <v>51490.501011894878</v>
      </c>
      <c r="J57" s="754">
        <f t="shared" si="21"/>
        <v>49529.050034496198</v>
      </c>
      <c r="K57" s="46">
        <f t="shared" si="21"/>
        <v>50495.243628480006</v>
      </c>
      <c r="L57" s="47">
        <f t="shared" si="21"/>
        <v>49807.543279312005</v>
      </c>
      <c r="M57" s="1107">
        <f t="shared" si="21"/>
        <v>49046.220078352002</v>
      </c>
      <c r="N57" s="1014">
        <f t="shared" si="21"/>
        <v>49208.554201403997</v>
      </c>
      <c r="O57" s="1402">
        <f t="shared" si="21"/>
        <v>49381.395926459998</v>
      </c>
      <c r="P57" s="1402">
        <f t="shared" ref="P57:R57" si="22">IF(P56=0,P55,P55*P56)</f>
        <v>50233.880849580994</v>
      </c>
      <c r="Q57" s="1402">
        <f t="shared" si="22"/>
        <v>51482.549076126998</v>
      </c>
      <c r="R57" s="1403">
        <f t="shared" si="22"/>
        <v>51482.549076126998</v>
      </c>
      <c r="S57" s="27"/>
      <c r="T57" s="1242">
        <f t="shared" ref="T57:U57" si="23">IF(T56=0,T55,T55*T56)</f>
        <v>46686.930536099186</v>
      </c>
      <c r="U57" s="1243">
        <f t="shared" si="23"/>
        <v>43198.278483809998</v>
      </c>
      <c r="V57" s="1228"/>
      <c r="W57" s="103"/>
      <c r="X57" s="1229"/>
      <c r="Y57" s="61"/>
      <c r="Z57" s="1229"/>
      <c r="AA57" s="136"/>
    </row>
    <row r="58" spans="1:27" ht="12" customHeight="1">
      <c r="A58" s="138"/>
      <c r="B58" s="139"/>
      <c r="C58" s="139"/>
      <c r="D58" s="139"/>
      <c r="E58" s="139"/>
      <c r="F58" s="139"/>
      <c r="G58" s="139"/>
      <c r="H58" s="139"/>
      <c r="I58" s="139"/>
      <c r="J58" s="739"/>
      <c r="K58" s="140"/>
      <c r="L58" s="140"/>
      <c r="M58" s="140"/>
      <c r="N58" s="140"/>
      <c r="O58" s="140"/>
      <c r="P58" s="140"/>
      <c r="Q58" s="140"/>
      <c r="R58" s="140"/>
      <c r="S58" s="677"/>
      <c r="T58" s="140"/>
      <c r="U58" s="140"/>
      <c r="V58" s="627"/>
      <c r="W58" s="627"/>
      <c r="X58" s="627"/>
      <c r="Y58" s="627"/>
      <c r="Z58" s="627"/>
      <c r="AA58" s="627"/>
    </row>
    <row r="59" spans="1:27" ht="15.6" customHeight="1">
      <c r="A59" s="15" t="s">
        <v>367</v>
      </c>
      <c r="B59" s="15"/>
      <c r="C59" s="15"/>
      <c r="D59" s="15"/>
      <c r="E59" s="15"/>
      <c r="F59" s="15"/>
      <c r="G59" s="15"/>
      <c r="H59" s="15"/>
      <c r="I59" s="15"/>
      <c r="J59" s="695"/>
      <c r="K59" s="17"/>
      <c r="L59" s="17"/>
      <c r="M59" s="17"/>
      <c r="N59" s="17"/>
      <c r="O59" s="18"/>
      <c r="P59" s="18"/>
      <c r="Q59" s="18"/>
      <c r="R59" s="18"/>
      <c r="S59" s="18"/>
      <c r="T59" s="17"/>
      <c r="U59" s="17"/>
      <c r="V59" s="19"/>
      <c r="W59" s="19"/>
      <c r="X59" s="19"/>
      <c r="Y59" s="19"/>
      <c r="Z59" s="19"/>
      <c r="AA59" s="19"/>
    </row>
    <row r="60" spans="1:27" ht="12" customHeight="1">
      <c r="A60" s="66" t="s">
        <v>368</v>
      </c>
      <c r="B60" s="21"/>
      <c r="C60" s="67"/>
      <c r="D60" s="22"/>
      <c r="E60" s="22"/>
      <c r="F60" s="22"/>
      <c r="G60" s="22"/>
      <c r="H60" s="22"/>
      <c r="I60" s="650"/>
      <c r="J60" s="728"/>
      <c r="K60" s="67"/>
      <c r="L60" s="22"/>
      <c r="M60" s="22"/>
      <c r="N60" s="22"/>
      <c r="O60" s="22"/>
      <c r="P60" s="22"/>
      <c r="Q60" s="22"/>
      <c r="R60" s="23"/>
      <c r="S60" s="26"/>
      <c r="T60" s="67"/>
      <c r="U60" s="22"/>
      <c r="V60" s="33"/>
      <c r="W60" s="33"/>
      <c r="X60" s="22"/>
      <c r="Y60" s="33"/>
      <c r="Z60" s="22"/>
      <c r="AA60" s="1119"/>
    </row>
    <row r="61" spans="1:27" s="143" customFormat="1" ht="12" customHeight="1">
      <c r="A61" s="147" t="s">
        <v>369</v>
      </c>
      <c r="B61" s="7"/>
      <c r="C61" s="148">
        <f>C18-C60</f>
        <v>56918</v>
      </c>
      <c r="D61" s="149">
        <f t="shared" ref="D61:J61" si="24">D18-D60</f>
        <v>60137</v>
      </c>
      <c r="E61" s="149">
        <f t="shared" si="24"/>
        <v>58351.838000000003</v>
      </c>
      <c r="F61" s="149">
        <f t="shared" si="24"/>
        <v>55858.412164200003</v>
      </c>
      <c r="G61" s="149">
        <f t="shared" si="24"/>
        <v>61348.079812217606</v>
      </c>
      <c r="H61" s="149">
        <f t="shared" si="24"/>
        <v>66282.816455627602</v>
      </c>
      <c r="I61" s="149">
        <f t="shared" si="24"/>
        <v>64282.502611894881</v>
      </c>
      <c r="J61" s="717">
        <f t="shared" si="24"/>
        <v>62707.050029999999</v>
      </c>
      <c r="K61" s="148">
        <f>K18-K60</f>
        <v>69525.56682847999</v>
      </c>
      <c r="L61" s="149">
        <f>L18-L60</f>
        <v>70562.277679311999</v>
      </c>
      <c r="M61" s="149">
        <f>M18-M60</f>
        <v>70564.365678352013</v>
      </c>
      <c r="N61" s="149">
        <f>N18-N60</f>
        <v>76714.453991403992</v>
      </c>
      <c r="O61" s="149">
        <f>O18-O60</f>
        <v>76912.335836459999</v>
      </c>
      <c r="P61" s="149">
        <f t="shared" ref="P61:R61" si="25">P18-P60</f>
        <v>78144.878469580988</v>
      </c>
      <c r="Q61" s="149">
        <f t="shared" si="25"/>
        <v>80567.466646126995</v>
      </c>
      <c r="R61" s="150">
        <f t="shared" si="25"/>
        <v>80008.466646126995</v>
      </c>
      <c r="S61" s="68"/>
      <c r="T61" s="148">
        <f>T18-T60</f>
        <v>62005.9305360992</v>
      </c>
      <c r="U61" s="149">
        <f>U18-U60</f>
        <v>63953.278483809998</v>
      </c>
      <c r="V61" s="69"/>
      <c r="W61" s="69"/>
      <c r="X61" s="149"/>
      <c r="Y61" s="69"/>
      <c r="Z61" s="149"/>
      <c r="AA61" s="1120"/>
    </row>
    <row r="62" spans="1:27" s="77" customFormat="1" ht="12" customHeight="1">
      <c r="A62" s="17"/>
      <c r="B62" s="2"/>
      <c r="C62" s="2"/>
      <c r="D62" s="2"/>
      <c r="E62" s="2"/>
      <c r="F62" s="2"/>
      <c r="G62" s="2"/>
      <c r="H62" s="2"/>
      <c r="I62" s="2"/>
      <c r="J62" s="641"/>
      <c r="K62" s="65"/>
      <c r="L62" s="65"/>
      <c r="M62" s="65"/>
      <c r="N62" s="65"/>
      <c r="O62" s="65"/>
      <c r="P62" s="65"/>
      <c r="Q62" s="65"/>
      <c r="R62" s="65"/>
      <c r="S62" s="64"/>
      <c r="T62" s="65"/>
      <c r="U62" s="65"/>
      <c r="V62" s="63"/>
      <c r="W62" s="63"/>
      <c r="X62" s="63"/>
      <c r="Y62" s="63"/>
      <c r="Z62" s="63"/>
      <c r="AA62" s="63"/>
    </row>
    <row r="63" spans="1:27" ht="15.6" customHeight="1">
      <c r="A63" s="15" t="s">
        <v>370</v>
      </c>
      <c r="B63" s="15"/>
      <c r="C63" s="15"/>
      <c r="D63" s="15"/>
      <c r="E63" s="15"/>
      <c r="F63" s="15"/>
      <c r="G63" s="15"/>
      <c r="H63" s="15"/>
      <c r="I63" s="15"/>
      <c r="J63" s="695"/>
      <c r="K63" s="17"/>
      <c r="L63" s="17"/>
      <c r="M63" s="17"/>
      <c r="N63" s="17"/>
      <c r="O63" s="18"/>
      <c r="P63" s="18"/>
      <c r="Q63" s="18"/>
      <c r="R63" s="18"/>
      <c r="S63" s="18"/>
      <c r="T63" s="17"/>
      <c r="U63" s="17"/>
      <c r="V63" s="19"/>
      <c r="W63" s="19"/>
      <c r="X63" s="19"/>
      <c r="Y63" s="19"/>
      <c r="Z63" s="19"/>
      <c r="AA63" s="19"/>
    </row>
    <row r="64" spans="1:27" s="90" customFormat="1" ht="12" customHeight="1">
      <c r="A64" s="42" t="s">
        <v>371</v>
      </c>
      <c r="B64" s="2"/>
      <c r="C64" s="812">
        <f>'T1 MET'!C64</f>
        <v>2.8000000000000001E-2</v>
      </c>
      <c r="D64" s="812">
        <f>'T1 MET'!D64</f>
        <v>2.5999999999999999E-2</v>
      </c>
      <c r="E64" s="812">
        <f>'T1 MET'!E64</f>
        <v>1.4999999999999999E-2</v>
      </c>
      <c r="F64" s="812">
        <f>'T1 MET'!F64</f>
        <v>0</v>
      </c>
      <c r="G64" s="812">
        <f>'T1 MET'!G64</f>
        <v>7.0000000000000001E-3</v>
      </c>
      <c r="H64" s="812">
        <f>'T1 MET'!H64</f>
        <v>2.7E-2</v>
      </c>
      <c r="I64" s="812">
        <f>'T1 MET'!I64</f>
        <v>2.5000000000000001E-2</v>
      </c>
      <c r="J64" s="812">
        <f>'T1 MET'!J64</f>
        <v>1.7999999999999999E-2</v>
      </c>
      <c r="K64" s="812">
        <f>'T1 MET'!K64</f>
        <v>2.0000000000000132E-2</v>
      </c>
      <c r="L64" s="812">
        <f>'T1 MET'!L64</f>
        <v>1.9999999999999799E-2</v>
      </c>
      <c r="M64" s="812">
        <f>'T1 MET'!M64</f>
        <v>2.0000000000000205E-2</v>
      </c>
      <c r="N64" s="812">
        <f>'T1 MET'!N64</f>
        <v>4.0419530703928341E-2</v>
      </c>
      <c r="O64" s="812">
        <f>'T1 MET'!O64</f>
        <v>1.5350874280278148E-2</v>
      </c>
      <c r="P64" s="812">
        <f>'T1 MET'!P64</f>
        <v>1.8799526478357587E-2</v>
      </c>
      <c r="Q64" s="812">
        <f>'T1 MET'!Q64</f>
        <v>1.9999999999999796E-2</v>
      </c>
      <c r="R64" s="1232">
        <f>'T1 MET'!R64</f>
        <v>1.9999999999999574E-2</v>
      </c>
      <c r="S64" s="75"/>
      <c r="T64" s="72">
        <f>'T1 MET'!T64</f>
        <v>8.9999999999999993E-3</v>
      </c>
      <c r="U64" s="72">
        <f>'T1 MET'!U64</f>
        <v>2.5999999999999999E-2</v>
      </c>
      <c r="V64" s="73"/>
      <c r="W64" s="73"/>
      <c r="X64" s="73"/>
      <c r="Y64" s="73"/>
      <c r="Z64" s="73"/>
      <c r="AA64" s="74"/>
    </row>
    <row r="65" spans="1:27" s="77" customFormat="1" ht="12" customHeight="1">
      <c r="A65" s="44" t="s">
        <v>372</v>
      </c>
      <c r="B65" s="2"/>
      <c r="C65" s="813">
        <f>'T1 MET'!C65</f>
        <v>92.851020823042745</v>
      </c>
      <c r="D65" s="813">
        <f>'T1 MET'!D65</f>
        <v>95.265147364441859</v>
      </c>
      <c r="E65" s="813">
        <f>'T1 MET'!E65</f>
        <v>96.694124574908471</v>
      </c>
      <c r="F65" s="813">
        <f>'T1 MET'!F65</f>
        <v>96.694124574908471</v>
      </c>
      <c r="G65" s="813">
        <f>'T1 MET'!G65</f>
        <v>97.370983446932826</v>
      </c>
      <c r="H65" s="813">
        <f>'T1 MET'!H65</f>
        <v>100</v>
      </c>
      <c r="I65" s="813">
        <f>'T1 MET'!I65</f>
        <v>102.49999999999999</v>
      </c>
      <c r="J65" s="813">
        <f>'T1 MET'!J65</f>
        <v>104.34499999999998</v>
      </c>
      <c r="K65" s="813">
        <f>'T1 MET'!K65</f>
        <v>106.44304700754894</v>
      </c>
      <c r="L65" s="813">
        <f>'T1 MET'!L65</f>
        <v>108.5719079476999</v>
      </c>
      <c r="M65" s="813">
        <f>'T1 MET'!M65</f>
        <v>110.74334610665392</v>
      </c>
      <c r="N65" s="813">
        <f>'T1 MET'!N65</f>
        <v>115.21954018486758</v>
      </c>
      <c r="O65" s="813">
        <f>'T1 MET'!O65</f>
        <v>116.98826086087693</v>
      </c>
      <c r="P65" s="813">
        <f>'T1 MET'!P65</f>
        <v>119.187584768588</v>
      </c>
      <c r="Q65" s="813">
        <f>'T1 MET'!Q65</f>
        <v>121.57133646395974</v>
      </c>
      <c r="R65" s="1233">
        <f>'T1 MET'!R65</f>
        <v>124.00276319323888</v>
      </c>
      <c r="S65" s="81"/>
      <c r="T65" s="78">
        <f>'T1 MET'!T65</f>
        <v>105.28410499999997</v>
      </c>
      <c r="U65" s="78">
        <f>'T1 MET'!U65</f>
        <v>108.02149172999997</v>
      </c>
      <c r="V65" s="79"/>
      <c r="W65" s="79"/>
      <c r="X65" s="79"/>
      <c r="Y65" s="79"/>
      <c r="Z65" s="79"/>
      <c r="AA65" s="80"/>
    </row>
    <row r="66" spans="1:27" s="77" customFormat="1" ht="12" customHeight="1">
      <c r="A66" s="83" t="s">
        <v>373</v>
      </c>
      <c r="B66" s="84"/>
      <c r="C66" s="794">
        <f>C61/(C65/100)</f>
        <v>61300.349199687764</v>
      </c>
      <c r="D66" s="794">
        <f t="shared" ref="D66:O66" si="26">D61/(D65/100)</f>
        <v>63125.919251394982</v>
      </c>
      <c r="E66" s="794">
        <f t="shared" si="26"/>
        <v>60346.828989381997</v>
      </c>
      <c r="F66" s="794">
        <f t="shared" si="26"/>
        <v>57768.155417681832</v>
      </c>
      <c r="G66" s="794">
        <f t="shared" si="26"/>
        <v>63004.477967147475</v>
      </c>
      <c r="H66" s="794">
        <f t="shared" si="26"/>
        <v>66282.816455627602</v>
      </c>
      <c r="I66" s="794">
        <f t="shared" si="26"/>
        <v>62714.636694531597</v>
      </c>
      <c r="J66" s="794">
        <f t="shared" si="26"/>
        <v>60095.883875604974</v>
      </c>
      <c r="K66" s="794">
        <f t="shared" si="26"/>
        <v>65317.152019848923</v>
      </c>
      <c r="L66" s="794">
        <f t="shared" si="26"/>
        <v>64991.284590211406</v>
      </c>
      <c r="M66" s="794">
        <f t="shared" si="26"/>
        <v>63718.831116402594</v>
      </c>
      <c r="N66" s="794">
        <f t="shared" si="26"/>
        <v>66581.114512622691</v>
      </c>
      <c r="O66" s="794">
        <f t="shared" si="26"/>
        <v>65743.635532734828</v>
      </c>
      <c r="P66" s="794">
        <f t="shared" ref="P66:R66" si="27">P61/(P65/100)</f>
        <v>65564.612808712729</v>
      </c>
      <c r="Q66" s="794">
        <f t="shared" si="27"/>
        <v>66271.761905004227</v>
      </c>
      <c r="R66" s="1234">
        <f t="shared" si="27"/>
        <v>64521.519186992897</v>
      </c>
      <c r="S66" s="87"/>
      <c r="T66" s="85">
        <f t="shared" ref="T66:U66" si="28">T61/(T65/100)</f>
        <v>58893.914267589797</v>
      </c>
      <c r="U66" s="85">
        <f t="shared" si="28"/>
        <v>59204.217104927047</v>
      </c>
      <c r="V66" s="88"/>
      <c r="W66" s="88"/>
      <c r="X66" s="88"/>
      <c r="Y66" s="88"/>
      <c r="Z66" s="88"/>
      <c r="AA66" s="1121"/>
    </row>
    <row r="67" spans="1:27" s="77" customFormat="1" ht="12" customHeight="1">
      <c r="A67" s="91" t="s">
        <v>334</v>
      </c>
      <c r="B67" s="2"/>
      <c r="C67" s="38"/>
      <c r="D67" s="40">
        <f>D66/C66-1</f>
        <v>2.9780744735407039E-2</v>
      </c>
      <c r="E67" s="40">
        <f t="shared" ref="E67:J67" si="29">E66/D66-1</f>
        <v>-4.4024551166461978E-2</v>
      </c>
      <c r="F67" s="40">
        <f t="shared" si="29"/>
        <v>-4.2730887685148766E-2</v>
      </c>
      <c r="G67" s="40">
        <f t="shared" si="29"/>
        <v>9.0643755397855408E-2</v>
      </c>
      <c r="H67" s="40">
        <f t="shared" si="29"/>
        <v>5.2033420389413498E-2</v>
      </c>
      <c r="I67" s="40">
        <f t="shared" si="29"/>
        <v>-5.3832651536234732E-2</v>
      </c>
      <c r="J67" s="750">
        <f t="shared" si="29"/>
        <v>-4.1756644970805779E-2</v>
      </c>
      <c r="K67" s="38">
        <f>K66/J66-1</f>
        <v>8.6882292222403734E-2</v>
      </c>
      <c r="L67" s="40">
        <f>L66/K66-1</f>
        <v>-4.9890024221890261E-3</v>
      </c>
      <c r="M67" s="40">
        <f>M66/L66-1</f>
        <v>-1.9578832482416542E-2</v>
      </c>
      <c r="N67" s="40">
        <f>N66/M66-1</f>
        <v>4.4920525786030785E-2</v>
      </c>
      <c r="O67" s="92">
        <f>O66/N66-1</f>
        <v>-1.2578326241881821E-2</v>
      </c>
      <c r="P67" s="92">
        <f t="shared" ref="P67:R67" si="30">P66/O66-1</f>
        <v>-2.7230426576114741E-3</v>
      </c>
      <c r="Q67" s="92">
        <f t="shared" si="30"/>
        <v>1.0785529968042828E-2</v>
      </c>
      <c r="R67" s="92">
        <f t="shared" si="30"/>
        <v>-2.641008278186685E-2</v>
      </c>
      <c r="S67" s="39"/>
      <c r="T67" s="38">
        <f>T66/J66-1</f>
        <v>-2.0000864127453166E-2</v>
      </c>
      <c r="U67" s="38">
        <f>U66/K66-1</f>
        <v>-9.3588509692894228E-2</v>
      </c>
      <c r="V67" s="40"/>
      <c r="W67" s="40"/>
      <c r="X67" s="40"/>
      <c r="Y67" s="40"/>
      <c r="Z67" s="40"/>
      <c r="AA67" s="92"/>
    </row>
    <row r="68" spans="1:27" s="77" customFormat="1" ht="12" customHeight="1">
      <c r="A68" s="93" t="s">
        <v>374</v>
      </c>
      <c r="B68" s="4"/>
      <c r="C68" s="94">
        <f>'T1'!C68</f>
        <v>9607.8779999999988</v>
      </c>
      <c r="D68" s="95">
        <f>'T1'!D68</f>
        <v>9754.9330000000009</v>
      </c>
      <c r="E68" s="95">
        <f>'T1'!E68</f>
        <v>9979.4030000000002</v>
      </c>
      <c r="F68" s="95">
        <f>'T1'!F68</f>
        <v>10153.9</v>
      </c>
      <c r="G68" s="95">
        <f>'T1'!G68</f>
        <v>10874.798000000001</v>
      </c>
      <c r="H68" s="95">
        <f>'T1'!H68</f>
        <v>11767.620999999999</v>
      </c>
      <c r="I68" s="95">
        <v>12194.153</v>
      </c>
      <c r="J68" s="751">
        <f>'T1'!J68</f>
        <v>12593.8988214</v>
      </c>
      <c r="K68" s="94">
        <f>'T1'!K68</f>
        <v>12647.945</v>
      </c>
      <c r="L68" s="95">
        <f>'T1'!L68</f>
        <v>12891</v>
      </c>
      <c r="M68" s="95">
        <f>'T1'!M68</f>
        <v>13183</v>
      </c>
      <c r="N68" s="95">
        <f>'T1'!N68</f>
        <v>11715</v>
      </c>
      <c r="O68" s="96">
        <f>'T1'!O68</f>
        <v>12228</v>
      </c>
      <c r="P68" s="96">
        <f>'T1'!P68</f>
        <v>12424</v>
      </c>
      <c r="Q68" s="96">
        <f>'T1'!Q68</f>
        <v>12641</v>
      </c>
      <c r="R68" s="96">
        <f>'T1'!R68</f>
        <v>12850</v>
      </c>
      <c r="S68" s="68"/>
      <c r="T68" s="94">
        <f>'T1'!T68</f>
        <v>5099.1790000000001</v>
      </c>
      <c r="U68" s="94">
        <f>'T1'!U68</f>
        <v>5395.3419999999996</v>
      </c>
      <c r="V68" s="680"/>
      <c r="W68" s="88"/>
      <c r="X68" s="680"/>
      <c r="Y68" s="88"/>
      <c r="Z68" s="680"/>
      <c r="AA68" s="1121"/>
    </row>
    <row r="69" spans="1:27" s="77" customFormat="1" ht="12" customHeight="1">
      <c r="A69" s="91" t="s">
        <v>334</v>
      </c>
      <c r="B69" s="4"/>
      <c r="C69" s="38"/>
      <c r="D69" s="40">
        <f>D68/C68-1</f>
        <v>1.5305668952083185E-2</v>
      </c>
      <c r="E69" s="40">
        <f t="shared" ref="E69:J69" si="31">E68/D68-1</f>
        <v>2.3010921756202674E-2</v>
      </c>
      <c r="F69" s="40">
        <f t="shared" si="31"/>
        <v>1.7485715327860696E-2</v>
      </c>
      <c r="G69" s="40">
        <f t="shared" si="31"/>
        <v>7.0997153802972335E-2</v>
      </c>
      <c r="H69" s="40">
        <f t="shared" si="31"/>
        <v>8.2100191654134402E-2</v>
      </c>
      <c r="I69" s="40">
        <f t="shared" si="31"/>
        <v>3.6246238725737401E-2</v>
      </c>
      <c r="J69" s="750">
        <f t="shared" si="31"/>
        <v>3.2781761996917735E-2</v>
      </c>
      <c r="K69" s="38">
        <f>K68/J68-1</f>
        <v>4.2914572656533867E-3</v>
      </c>
      <c r="L69" s="40">
        <f>L68/K68-1</f>
        <v>1.9216955797957791E-2</v>
      </c>
      <c r="M69" s="40">
        <f>M68/L68-1</f>
        <v>2.2651462260491861E-2</v>
      </c>
      <c r="N69" s="40">
        <f>N68/M68-1</f>
        <v>-0.11135553364181139</v>
      </c>
      <c r="O69" s="92">
        <f>O68/N68-1</f>
        <v>4.3790012804097334E-2</v>
      </c>
      <c r="P69" s="92">
        <f t="shared" ref="P69:R69" si="32">P68/O68-1</f>
        <v>1.602878639188754E-2</v>
      </c>
      <c r="Q69" s="92">
        <f t="shared" si="32"/>
        <v>1.7466194462330886E-2</v>
      </c>
      <c r="R69" s="92">
        <f t="shared" si="32"/>
        <v>1.653350209635307E-2</v>
      </c>
      <c r="S69" s="39"/>
      <c r="T69" s="38">
        <f>T68/J68-1</f>
        <v>-0.59510719656288691</v>
      </c>
      <c r="U69" s="38">
        <f>U68/K68-1</f>
        <v>-0.57342145305027814</v>
      </c>
      <c r="V69" s="151"/>
      <c r="W69" s="40"/>
      <c r="X69" s="151"/>
      <c r="Y69" s="40"/>
      <c r="Z69" s="151"/>
      <c r="AA69" s="92"/>
    </row>
    <row r="70" spans="1:27" s="77" customFormat="1" ht="12" customHeight="1">
      <c r="A70" s="93" t="s">
        <v>375</v>
      </c>
      <c r="B70" s="4"/>
      <c r="C70" s="97">
        <f>C66/C68</f>
        <v>6.3802172758321634</v>
      </c>
      <c r="D70" s="98">
        <f>D66/D68</f>
        <v>6.4711791717477682</v>
      </c>
      <c r="E70" s="98">
        <f t="shared" ref="E70:J70" si="33">E66/E68</f>
        <v>6.0471381894670451</v>
      </c>
      <c r="F70" s="98">
        <f t="shared" si="33"/>
        <v>5.689257863252724</v>
      </c>
      <c r="G70" s="98">
        <f t="shared" si="33"/>
        <v>5.7936228302491202</v>
      </c>
      <c r="H70" s="98">
        <f t="shared" si="33"/>
        <v>5.6326437141056473</v>
      </c>
      <c r="I70" s="98">
        <f t="shared" si="33"/>
        <v>5.1430088415760897</v>
      </c>
      <c r="J70" s="752">
        <f t="shared" si="33"/>
        <v>4.7718252090042137</v>
      </c>
      <c r="K70" s="97">
        <f>K66/K68</f>
        <v>5.164250162366212</v>
      </c>
      <c r="L70" s="98">
        <f>L66/L68</f>
        <v>5.0416014731371819</v>
      </c>
      <c r="M70" s="98">
        <f>M66/M68</f>
        <v>4.8334090204356057</v>
      </c>
      <c r="N70" s="98">
        <f>N66/N68</f>
        <v>5.683407128691651</v>
      </c>
      <c r="O70" s="99">
        <f>O66/O68</f>
        <v>5.3764831152056614</v>
      </c>
      <c r="P70" s="99">
        <f t="shared" ref="P70:R70" si="34">P66/P68</f>
        <v>5.277254733476556</v>
      </c>
      <c r="Q70" s="99">
        <f t="shared" si="34"/>
        <v>5.2426043750497771</v>
      </c>
      <c r="R70" s="99">
        <f t="shared" si="34"/>
        <v>5.021129897820459</v>
      </c>
      <c r="S70" s="100"/>
      <c r="T70" s="97">
        <f>T66/T68</f>
        <v>11.54968559989555</v>
      </c>
      <c r="U70" s="97">
        <f>U66/U68</f>
        <v>10.973209317393977</v>
      </c>
      <c r="V70" s="98"/>
      <c r="W70" s="88"/>
      <c r="X70" s="98"/>
      <c r="Y70" s="88"/>
      <c r="Z70" s="98"/>
      <c r="AA70" s="1121"/>
    </row>
    <row r="71" spans="1:27" ht="12" customHeight="1">
      <c r="A71" s="102" t="s">
        <v>334</v>
      </c>
      <c r="B71" s="4"/>
      <c r="C71" s="103"/>
      <c r="D71" s="104">
        <f t="shared" ref="D71:O71" si="35">D70/C70-1</f>
        <v>1.4256864928434698E-2</v>
      </c>
      <c r="E71" s="104">
        <f t="shared" si="35"/>
        <v>-6.5527621941303127E-2</v>
      </c>
      <c r="F71" s="104">
        <f t="shared" si="35"/>
        <v>-5.9181767474353442E-2</v>
      </c>
      <c r="G71" s="104">
        <f t="shared" si="35"/>
        <v>1.8344214571551776E-2</v>
      </c>
      <c r="H71" s="104">
        <f t="shared" si="35"/>
        <v>-2.7785570593754194E-2</v>
      </c>
      <c r="I71" s="104">
        <f t="shared" si="35"/>
        <v>-8.692807452091833E-2</v>
      </c>
      <c r="J71" s="753">
        <f t="shared" si="35"/>
        <v>-7.2172466353008558E-2</v>
      </c>
      <c r="K71" s="103">
        <f t="shared" si="35"/>
        <v>8.2237914461223527E-2</v>
      </c>
      <c r="L71" s="104">
        <f t="shared" si="35"/>
        <v>-2.374956390045091E-2</v>
      </c>
      <c r="M71" s="104">
        <f t="shared" si="35"/>
        <v>-4.12949047660498E-2</v>
      </c>
      <c r="N71" s="104">
        <f t="shared" si="35"/>
        <v>0.1758589237249033</v>
      </c>
      <c r="O71" s="105">
        <f t="shared" si="35"/>
        <v>-5.4003524036935424E-2</v>
      </c>
      <c r="P71" s="105">
        <f t="shared" ref="P71" si="36">P70/O70-1</f>
        <v>-1.8456001739960759E-2</v>
      </c>
      <c r="Q71" s="105">
        <f t="shared" ref="Q71" si="37">Q70/P70-1</f>
        <v>-6.5659817796879238E-3</v>
      </c>
      <c r="R71" s="105">
        <f t="shared" ref="R71" si="38">R70/Q70-1</f>
        <v>-4.2245125015220153E-2</v>
      </c>
      <c r="S71" s="39"/>
      <c r="T71" s="103">
        <f>T70/J70-1</f>
        <v>1.4203915889672212</v>
      </c>
      <c r="U71" s="103">
        <f>U70/K70-1</f>
        <v>1.1248407750189533</v>
      </c>
      <c r="V71" s="61"/>
      <c r="W71" s="104"/>
      <c r="X71" s="61"/>
      <c r="Y71" s="104"/>
      <c r="Z71" s="61"/>
      <c r="AA71" s="105"/>
    </row>
    <row r="72" spans="1:27" s="605" customFormat="1" ht="12" customHeight="1">
      <c r="A72" s="107"/>
      <c r="B72" s="4"/>
      <c r="C72" s="4"/>
      <c r="D72" s="4"/>
      <c r="E72" s="4"/>
      <c r="F72" s="4"/>
      <c r="G72" s="4"/>
      <c r="H72" s="4"/>
      <c r="I72" s="4"/>
      <c r="J72" s="722"/>
      <c r="K72" s="39"/>
      <c r="L72" s="39"/>
      <c r="M72" s="39"/>
      <c r="N72" s="39"/>
      <c r="O72" s="39"/>
      <c r="P72" s="39"/>
      <c r="Q72" s="39"/>
      <c r="R72" s="39"/>
      <c r="S72" s="39"/>
      <c r="T72" s="77"/>
      <c r="U72" s="77"/>
      <c r="V72" s="77"/>
      <c r="W72" s="77"/>
      <c r="X72" s="77"/>
    </row>
    <row r="73" spans="1:27" s="605" customFormat="1" ht="12" customHeight="1">
      <c r="A73" s="108" t="s">
        <v>377</v>
      </c>
      <c r="B73" s="1"/>
      <c r="C73" s="1"/>
      <c r="D73" s="1"/>
      <c r="E73" s="1"/>
      <c r="F73" s="1"/>
      <c r="G73" s="1"/>
      <c r="H73" s="1"/>
      <c r="I73" s="1"/>
      <c r="J73" s="108"/>
      <c r="K73" s="1"/>
      <c r="L73" s="1"/>
      <c r="M73" s="1"/>
      <c r="N73" s="1"/>
      <c r="O73" s="1"/>
      <c r="P73" s="1"/>
      <c r="Q73" s="1"/>
      <c r="R73" s="1"/>
      <c r="S73" s="1"/>
      <c r="T73" s="1"/>
      <c r="U73" s="1"/>
      <c r="V73" s="1"/>
      <c r="W73" s="1"/>
      <c r="X73" s="1"/>
    </row>
    <row r="74" spans="1:27" s="615" customFormat="1" ht="12" customHeight="1">
      <c r="A74" s="129" t="s">
        <v>387</v>
      </c>
      <c r="B74" s="130"/>
      <c r="C74" s="130"/>
      <c r="D74" s="130"/>
      <c r="E74" s="130"/>
      <c r="F74" s="130"/>
      <c r="G74" s="130"/>
      <c r="H74" s="130"/>
      <c r="I74" s="130"/>
      <c r="J74" s="723"/>
      <c r="K74" s="109"/>
      <c r="L74" s="109"/>
      <c r="M74" s="75"/>
      <c r="N74" s="633"/>
      <c r="O74" s="155"/>
      <c r="P74" s="605"/>
      <c r="Q74" s="605"/>
      <c r="R74" s="605"/>
      <c r="S74" s="605"/>
      <c r="T74" s="1142"/>
      <c r="U74" s="605"/>
      <c r="V74" s="605"/>
      <c r="W74" s="605"/>
      <c r="X74" s="605"/>
    </row>
    <row r="75" spans="1:27" s="615" customFormat="1" ht="12" customHeight="1">
      <c r="A75" s="129" t="s">
        <v>379</v>
      </c>
      <c r="B75" s="130"/>
      <c r="C75" s="130"/>
      <c r="D75" s="130"/>
      <c r="E75" s="130"/>
      <c r="F75" s="130"/>
      <c r="G75" s="130"/>
      <c r="H75" s="130"/>
      <c r="I75" s="130"/>
      <c r="J75" s="723"/>
      <c r="K75" s="109"/>
      <c r="L75" s="109"/>
      <c r="M75" s="75"/>
      <c r="N75" s="633"/>
      <c r="O75" s="155"/>
      <c r="P75" s="605"/>
      <c r="Q75" s="605"/>
      <c r="R75" s="605"/>
      <c r="S75" s="605"/>
      <c r="T75" s="1142"/>
      <c r="U75" s="605"/>
      <c r="V75" s="605"/>
      <c r="W75" s="605"/>
      <c r="X75" s="605"/>
    </row>
    <row r="76" spans="1:27" s="615" customFormat="1" ht="12" customHeight="1">
      <c r="A76" s="129" t="s">
        <v>380</v>
      </c>
      <c r="B76" s="131"/>
      <c r="C76" s="131"/>
      <c r="D76" s="131"/>
      <c r="E76" s="131"/>
      <c r="F76" s="131"/>
      <c r="G76" s="131"/>
      <c r="H76" s="131"/>
      <c r="I76" s="131"/>
      <c r="J76" s="724"/>
      <c r="K76" s="132"/>
      <c r="L76" s="132"/>
      <c r="M76" s="132"/>
      <c r="N76" s="635"/>
      <c r="O76" s="109"/>
      <c r="P76" s="109"/>
      <c r="Q76" s="109"/>
      <c r="R76" s="109"/>
      <c r="S76" s="109"/>
      <c r="T76" s="1"/>
      <c r="U76" s="1"/>
      <c r="V76" s="1"/>
      <c r="W76" s="1"/>
      <c r="X76" s="1"/>
    </row>
    <row r="77" spans="1:27" ht="12" customHeight="1">
      <c r="A77" s="129"/>
      <c r="B77" s="110"/>
      <c r="C77" s="110"/>
      <c r="D77" s="110"/>
      <c r="E77" s="110"/>
      <c r="F77" s="110"/>
      <c r="G77" s="110"/>
      <c r="H77" s="110"/>
      <c r="I77" s="110"/>
      <c r="J77" s="725"/>
      <c r="K77" s="111"/>
      <c r="L77" s="111"/>
      <c r="M77" s="111"/>
      <c r="N77" s="154"/>
      <c r="O77" s="636"/>
      <c r="P77" s="637"/>
      <c r="Q77" s="637"/>
      <c r="R77" s="637"/>
      <c r="S77" s="637"/>
      <c r="T77" s="1143"/>
      <c r="U77" s="615"/>
      <c r="V77" s="615"/>
      <c r="W77" s="615"/>
      <c r="X77" s="615"/>
    </row>
    <row r="78" spans="1:27" ht="12" customHeight="1">
      <c r="A78" s="641"/>
      <c r="B78" s="641"/>
      <c r="C78" s="641"/>
      <c r="D78" s="641"/>
      <c r="E78" s="641"/>
      <c r="F78" s="641"/>
      <c r="G78" s="641"/>
      <c r="H78" s="641"/>
      <c r="I78" s="641"/>
      <c r="K78" s="641"/>
      <c r="L78" s="641"/>
      <c r="M78" s="641"/>
      <c r="N78" s="641"/>
      <c r="O78" s="111"/>
      <c r="P78" s="1"/>
      <c r="Q78" s="1"/>
      <c r="R78" s="1"/>
      <c r="S78" s="1"/>
    </row>
    <row r="79" spans="1:27" ht="12" customHeight="1">
      <c r="O79" s="639"/>
      <c r="P79" s="639"/>
      <c r="Q79" s="639"/>
      <c r="R79" s="639"/>
      <c r="S79" s="639"/>
      <c r="U79" s="615"/>
      <c r="V79" s="615"/>
      <c r="W79" s="615"/>
      <c r="X79" s="615"/>
    </row>
    <row r="80" spans="1:27">
      <c r="O80" s="641"/>
      <c r="P80" s="641"/>
      <c r="Q80" s="641"/>
      <c r="R80" s="641"/>
      <c r="S80" s="641"/>
      <c r="T80" s="108"/>
    </row>
    <row r="83" spans="1:19" ht="12" customHeight="1">
      <c r="A83" s="1"/>
      <c r="B83" s="1"/>
      <c r="C83" s="1"/>
      <c r="D83" s="1"/>
      <c r="E83" s="1"/>
      <c r="F83" s="1"/>
      <c r="G83" s="1"/>
      <c r="H83" s="1"/>
      <c r="I83" s="1"/>
      <c r="J83" s="108"/>
      <c r="K83" s="1"/>
      <c r="L83" s="1"/>
      <c r="M83" s="1"/>
      <c r="N83" s="1"/>
    </row>
    <row r="85" spans="1:19">
      <c r="O85" s="1"/>
      <c r="P85" s="1"/>
      <c r="Q85" s="1"/>
      <c r="R85" s="1"/>
      <c r="S85" s="1"/>
    </row>
    <row r="117" spans="1:19" ht="12" customHeight="1">
      <c r="A117" s="642"/>
      <c r="B117" s="1"/>
      <c r="C117" s="1"/>
      <c r="D117" s="1"/>
      <c r="E117" s="1"/>
      <c r="F117" s="1"/>
      <c r="G117" s="1"/>
      <c r="H117" s="1"/>
      <c r="I117" s="1"/>
      <c r="J117" s="108"/>
      <c r="K117" s="1"/>
      <c r="L117" s="1"/>
      <c r="M117" s="1"/>
      <c r="N117" s="1"/>
    </row>
    <row r="120" spans="1:19">
      <c r="O120" s="1"/>
      <c r="P120" s="1"/>
      <c r="Q120" s="1"/>
      <c r="R120" s="1"/>
      <c r="S120" s="1"/>
    </row>
  </sheetData>
  <mergeCells count="7">
    <mergeCell ref="A1:X1"/>
    <mergeCell ref="C2:Y6"/>
    <mergeCell ref="C7:J7"/>
    <mergeCell ref="T7:V7"/>
    <mergeCell ref="K7:M7"/>
    <mergeCell ref="N7:R7"/>
    <mergeCell ref="W7:AA7"/>
  </mergeCells>
  <pageMargins left="0.7" right="0.7" top="0.75" bottom="0.75" header="0.3" footer="0.3"/>
  <pageSetup paperSize="9" scale="61" orientation="portrait" r:id="rId1"/>
  <customProperties>
    <customPr name="_pios_id" r:id="rId2"/>
  </customProperties>
  <ignoredErrors>
    <ignoredError sqref="K68:O70 T68:T70 P68:S70 U68:U70" formula="1"/>
  </ignoredError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A1:K100"/>
  <sheetViews>
    <sheetView showGridLines="0" topLeftCell="B1" zoomScaleNormal="100" workbookViewId="0">
      <selection activeCell="F5" sqref="F5:J5"/>
    </sheetView>
  </sheetViews>
  <sheetFormatPr defaultColWidth="8.85546875" defaultRowHeight="12.75"/>
  <cols>
    <col min="1" max="1" width="24" style="222" customWidth="1"/>
    <col min="2" max="2" width="49.5703125" style="222" customWidth="1"/>
    <col min="3" max="7" width="11.7109375" style="222" customWidth="1"/>
    <col min="8" max="10" width="11.7109375" style="220" customWidth="1"/>
    <col min="11" max="11" width="18.28515625" style="220" bestFit="1" customWidth="1"/>
    <col min="12" max="16384" width="8.85546875" style="220"/>
  </cols>
  <sheetData>
    <row r="1" spans="1:10">
      <c r="A1" s="1596" t="s">
        <v>394</v>
      </c>
      <c r="B1" s="1596"/>
      <c r="C1" s="1596"/>
      <c r="D1" s="1596"/>
      <c r="E1" s="1596"/>
      <c r="F1" s="1596"/>
      <c r="G1" s="1596"/>
      <c r="H1" s="1596"/>
      <c r="I1" s="1596"/>
      <c r="J1" s="1596"/>
    </row>
    <row r="2" spans="1:10">
      <c r="A2" s="221"/>
      <c r="B2" s="221"/>
      <c r="G2" s="223"/>
    </row>
    <row r="3" spans="1:10">
      <c r="A3" s="224" t="str">
        <f>'T1'!A3</f>
        <v>United Kingdom</v>
      </c>
      <c r="B3" s="792" t="s">
        <v>395</v>
      </c>
      <c r="C3" s="220"/>
      <c r="D3" s="220"/>
      <c r="E3" s="225"/>
      <c r="F3" s="220"/>
      <c r="G3" s="220"/>
    </row>
    <row r="4" spans="1:10">
      <c r="A4" s="226" t="str">
        <f>'T1'!A4</f>
        <v>Currency : GBP £</v>
      </c>
      <c r="C4" s="220"/>
      <c r="D4" s="220"/>
      <c r="E4" s="225"/>
      <c r="F4" s="220"/>
      <c r="G4" s="220"/>
    </row>
    <row r="5" spans="1:10">
      <c r="A5" s="227" t="str">
        <f>'T1'!A5</f>
        <v>All Entities</v>
      </c>
      <c r="C5" s="1593" t="s">
        <v>127</v>
      </c>
      <c r="D5" s="1594"/>
      <c r="E5" s="1594"/>
      <c r="F5" s="1593" t="s">
        <v>396</v>
      </c>
      <c r="G5" s="1594"/>
      <c r="H5" s="1594"/>
      <c r="I5" s="1594"/>
      <c r="J5" s="1595"/>
    </row>
    <row r="7" spans="1:10">
      <c r="A7" s="1591" t="s">
        <v>397</v>
      </c>
      <c r="B7" s="1592"/>
      <c r="C7" s="228">
        <v>2020</v>
      </c>
      <c r="D7" s="229">
        <v>2021</v>
      </c>
      <c r="E7" s="1245">
        <v>2022</v>
      </c>
      <c r="F7" s="1246">
        <v>2023</v>
      </c>
      <c r="G7" s="1245">
        <v>2024</v>
      </c>
      <c r="H7" s="229">
        <v>2025</v>
      </c>
      <c r="I7" s="1245">
        <v>2026</v>
      </c>
      <c r="J7" s="1247">
        <v>2027</v>
      </c>
    </row>
    <row r="8" spans="1:10">
      <c r="F8" s="250"/>
      <c r="H8" s="222"/>
      <c r="I8" s="222"/>
      <c r="J8" s="251"/>
    </row>
    <row r="9" spans="1:10">
      <c r="A9" s="231" t="s">
        <v>398</v>
      </c>
      <c r="B9" s="231"/>
      <c r="C9" s="232"/>
      <c r="D9" s="232"/>
      <c r="E9" s="232"/>
      <c r="F9" s="1274"/>
      <c r="G9" s="232"/>
      <c r="H9" s="232"/>
      <c r="I9" s="232"/>
      <c r="J9" s="1275"/>
    </row>
    <row r="10" spans="1:10" ht="3" customHeight="1">
      <c r="F10" s="250"/>
      <c r="H10" s="222"/>
      <c r="I10" s="222"/>
      <c r="J10" s="251"/>
    </row>
    <row r="11" spans="1:10">
      <c r="A11" s="233" t="s">
        <v>399</v>
      </c>
      <c r="B11" s="234"/>
      <c r="C11" s="235"/>
      <c r="D11" s="236"/>
      <c r="E11" s="1248"/>
      <c r="F11" s="235"/>
      <c r="G11" s="236"/>
      <c r="H11" s="236"/>
      <c r="I11" s="236"/>
      <c r="J11" s="1276"/>
    </row>
    <row r="12" spans="1:10">
      <c r="A12" s="238" t="s">
        <v>400</v>
      </c>
      <c r="B12" s="239"/>
      <c r="C12" s="240">
        <f>'T2 ANSP'!C12+'T2 MET'!C12+'T2 NSA'!C12</f>
        <v>790418.89953814808</v>
      </c>
      <c r="D12" s="241">
        <f>'T2 ANSP'!D12+'T2 MET'!D12+'T2 NSA'!D12</f>
        <v>775027.03415828105</v>
      </c>
      <c r="E12" s="1249">
        <f>'T2 ANSP'!E12+'T2 MET'!E12+'T2 NSA'!E12</f>
        <v>790935.59297112306</v>
      </c>
      <c r="F12" s="240">
        <f>'T2 ANSP'!F12+'T2 MET'!F12+'T2 NSA'!F12</f>
        <v>813438.89736210392</v>
      </c>
      <c r="G12" s="241">
        <f>'T2 ANSP'!G12+'T2 MET'!G12+'T2 NSA'!G12</f>
        <v>854052.39554943459</v>
      </c>
      <c r="H12" s="241">
        <f>'T2 ANSP'!H12+'T2 MET'!H12+'T2 NSA'!H12</f>
        <v>815370.79428237665</v>
      </c>
      <c r="I12" s="241">
        <f>'T2 ANSP'!I12+'T2 MET'!I12+'T2 NSA'!I12</f>
        <v>824179.68241058127</v>
      </c>
      <c r="J12" s="242">
        <f>'T2 ANSP'!J12+'T2 MET'!J12+'T2 NSA'!J12</f>
        <v>825972.91999480082</v>
      </c>
    </row>
    <row r="13" spans="1:10" ht="3" customHeight="1">
      <c r="F13" s="250"/>
      <c r="H13" s="222"/>
      <c r="I13" s="222"/>
      <c r="J13" s="251"/>
    </row>
    <row r="14" spans="1:10">
      <c r="A14" s="243" t="s">
        <v>401</v>
      </c>
      <c r="B14" s="244"/>
      <c r="C14" s="235"/>
      <c r="D14" s="236"/>
      <c r="E14" s="1248"/>
      <c r="F14" s="235"/>
      <c r="G14" s="236"/>
      <c r="H14" s="236"/>
      <c r="I14" s="236"/>
      <c r="J14" s="1276"/>
    </row>
    <row r="15" spans="1:10">
      <c r="A15" s="245" t="s">
        <v>402</v>
      </c>
      <c r="B15" s="246"/>
      <c r="C15" s="247">
        <f>'T2 ANSP'!C15+'T2 MET'!C15+'T2 NSA'!C15</f>
        <v>720893.33270966809</v>
      </c>
      <c r="D15" s="248">
        <f>'T2 ANSP'!D15+'T2 MET'!D15+'T2 NSA'!D15</f>
        <v>704464.75647896901</v>
      </c>
      <c r="E15" s="1250">
        <f>'T2 ANSP'!E15+'T2 MET'!E15+'T2 NSA'!E15</f>
        <v>720371.22729277099</v>
      </c>
      <c r="F15" s="1277">
        <f>'T2 ANSP'!F15+'T2 MET'!F15+'T2 NSA'!F15</f>
        <v>736724.44337069988</v>
      </c>
      <c r="G15" s="248">
        <f>'T2 ANSP'!G15+'T2 MET'!G15+'T2 NSA'!G15</f>
        <v>777140.05971297459</v>
      </c>
      <c r="H15" s="248">
        <f>'T2 ANSP'!H15+'T2 MET'!H15+'T2 NSA'!H15</f>
        <v>737225.91581279563</v>
      </c>
      <c r="I15" s="248">
        <f>'T2 ANSP'!I15+'T2 MET'!I15+'T2 NSA'!I15</f>
        <v>743612.21576445422</v>
      </c>
      <c r="J15" s="1278">
        <f>'T2 ANSP'!J15+'T2 MET'!J15+'T2 NSA'!J15</f>
        <v>745964.45334867376</v>
      </c>
    </row>
    <row r="16" spans="1:10">
      <c r="A16" s="250" t="s">
        <v>403</v>
      </c>
      <c r="B16" s="251"/>
      <c r="C16" s="252">
        <f>+'T1'!K65</f>
        <v>106.44304700754894</v>
      </c>
      <c r="D16" s="253">
        <f>+'T1'!L65</f>
        <v>108.5719079476999</v>
      </c>
      <c r="E16" s="1251">
        <f>+'T1'!M65</f>
        <v>110.74334610665392</v>
      </c>
      <c r="F16" s="252">
        <f>+'T1'!N65</f>
        <v>115.21954018486758</v>
      </c>
      <c r="G16" s="253">
        <f>+'T1'!O65</f>
        <v>116.98826086087693</v>
      </c>
      <c r="H16" s="253">
        <f>+'T1'!P65</f>
        <v>119.187584768588</v>
      </c>
      <c r="I16" s="253">
        <f>+'T1'!Q65</f>
        <v>121.57133646395974</v>
      </c>
      <c r="J16" s="1279">
        <f>+'T1'!R65</f>
        <v>124.00276319323888</v>
      </c>
    </row>
    <row r="17" spans="1:10">
      <c r="A17" s="250" t="s">
        <v>404</v>
      </c>
      <c r="B17" s="251"/>
      <c r="C17" s="252">
        <f>'T1'!T65</f>
        <v>105.28410499999997</v>
      </c>
      <c r="D17" s="254">
        <f>'T1'!U65</f>
        <v>108.02149172999997</v>
      </c>
      <c r="E17" s="1252"/>
      <c r="F17" s="1280"/>
      <c r="G17" s="254"/>
      <c r="H17" s="254"/>
      <c r="I17" s="254"/>
      <c r="J17" s="1281"/>
    </row>
    <row r="18" spans="1:10">
      <c r="A18" s="255" t="s">
        <v>405</v>
      </c>
      <c r="B18" s="256"/>
      <c r="C18" s="257">
        <f>+C17/C16-1</f>
        <v>-1.0887907102723027E-2</v>
      </c>
      <c r="D18" s="258">
        <f>+D17/D16-1</f>
        <v>-5.0696006739153754E-3</v>
      </c>
      <c r="E18" s="1253"/>
      <c r="F18" s="257"/>
      <c r="G18" s="258"/>
      <c r="H18" s="258"/>
      <c r="I18" s="258"/>
      <c r="J18" s="1282"/>
    </row>
    <row r="19" spans="1:10">
      <c r="A19" s="238" t="s">
        <v>406</v>
      </c>
      <c r="B19" s="239"/>
      <c r="C19" s="240">
        <f>+C15*C18</f>
        <v>-7849.0196375152691</v>
      </c>
      <c r="D19" s="241">
        <f>+D15*D18</f>
        <v>-3571.3550041954122</v>
      </c>
      <c r="E19" s="1249"/>
      <c r="F19" s="240"/>
      <c r="G19" s="241"/>
      <c r="H19" s="241"/>
      <c r="I19" s="241"/>
      <c r="J19" s="242"/>
    </row>
    <row r="20" spans="1:10" ht="3" customHeight="1">
      <c r="F20" s="250"/>
      <c r="H20" s="222"/>
      <c r="I20" s="222"/>
      <c r="J20" s="251"/>
    </row>
    <row r="21" spans="1:10">
      <c r="A21" s="233" t="s">
        <v>407</v>
      </c>
      <c r="B21" s="234"/>
      <c r="C21" s="235"/>
      <c r="D21" s="236"/>
      <c r="E21" s="1248"/>
      <c r="F21" s="235"/>
      <c r="G21" s="236"/>
      <c r="H21" s="236"/>
      <c r="I21" s="236"/>
      <c r="J21" s="1276"/>
    </row>
    <row r="22" spans="1:10">
      <c r="A22" s="261" t="s">
        <v>408</v>
      </c>
      <c r="B22" s="262"/>
      <c r="C22" s="263">
        <f>'T2 ANSP'!C22+'T2 MET'!C22+'T2 NSA'!C22</f>
        <v>0</v>
      </c>
      <c r="D22" s="264"/>
      <c r="E22" s="1254"/>
      <c r="F22" s="263"/>
      <c r="G22" s="264"/>
      <c r="H22" s="264"/>
      <c r="I22" s="264"/>
      <c r="J22" s="1283"/>
    </row>
    <row r="23" spans="1:10">
      <c r="A23" s="265" t="s">
        <v>409</v>
      </c>
      <c r="B23" s="266"/>
      <c r="C23" s="247">
        <f>'T2 ANSP'!C23+'T2 MET'!C23+'T2 NSA'!C23</f>
        <v>-3711.3231999999698</v>
      </c>
      <c r="D23" s="267"/>
      <c r="E23" s="1255"/>
      <c r="F23" s="247"/>
      <c r="G23" s="267"/>
      <c r="H23" s="267"/>
      <c r="I23" s="267"/>
      <c r="J23" s="1284"/>
    </row>
    <row r="24" spans="1:10">
      <c r="A24" s="265" t="s">
        <v>410</v>
      </c>
      <c r="B24" s="266"/>
      <c r="C24" s="247">
        <f>'T2 ANSP'!C24+'T2 MET'!C24+'T2 NSA'!C24</f>
        <v>-3808.3130923808203</v>
      </c>
      <c r="D24" s="267"/>
      <c r="E24" s="1255"/>
      <c r="F24" s="247"/>
      <c r="G24" s="267"/>
      <c r="H24" s="267"/>
      <c r="I24" s="267"/>
      <c r="J24" s="1284"/>
    </row>
    <row r="25" spans="1:10">
      <c r="A25" s="265" t="s">
        <v>411</v>
      </c>
      <c r="B25" s="266"/>
      <c r="C25" s="247">
        <f>'T2 ANSP'!C25+'T2 MET'!C25+'T2 NSA'!C25</f>
        <v>0</v>
      </c>
      <c r="D25" s="267"/>
      <c r="E25" s="1255"/>
      <c r="F25" s="247"/>
      <c r="G25" s="267"/>
      <c r="H25" s="267"/>
      <c r="I25" s="267"/>
      <c r="J25" s="1284"/>
    </row>
    <row r="26" spans="1:10">
      <c r="A26" s="265" t="s">
        <v>412</v>
      </c>
      <c r="B26" s="266"/>
      <c r="C26" s="247">
        <f>'T2 ANSP'!C26+'T2 MET'!C26+'T2 NSA'!C26</f>
        <v>0</v>
      </c>
      <c r="D26" s="267"/>
      <c r="E26" s="1255"/>
      <c r="F26" s="247"/>
      <c r="G26" s="267"/>
      <c r="H26" s="267"/>
      <c r="I26" s="267"/>
      <c r="J26" s="1284"/>
    </row>
    <row r="27" spans="1:10">
      <c r="A27" s="265" t="s">
        <v>413</v>
      </c>
      <c r="B27" s="266"/>
      <c r="C27" s="247">
        <f>'T2 ANSP'!C27+'T2 MET'!C27+'T2 NSA'!C27</f>
        <v>0</v>
      </c>
      <c r="D27" s="267"/>
      <c r="E27" s="1255"/>
      <c r="F27" s="247"/>
      <c r="G27" s="267"/>
      <c r="H27" s="267"/>
      <c r="I27" s="267"/>
      <c r="J27" s="1284"/>
    </row>
    <row r="28" spans="1:10">
      <c r="A28" s="270" t="s">
        <v>414</v>
      </c>
      <c r="B28" s="271"/>
      <c r="C28" s="240">
        <f>'T2 ANSP'!C28+'T2 MET'!C28+'T2 NSA'!C28</f>
        <v>-7519.6362923807901</v>
      </c>
      <c r="D28" s="241"/>
      <c r="E28" s="1249"/>
      <c r="F28" s="240"/>
      <c r="G28" s="241"/>
      <c r="H28" s="241"/>
      <c r="I28" s="241"/>
      <c r="J28" s="242"/>
    </row>
    <row r="29" spans="1:10" ht="10.9" customHeight="1">
      <c r="F29" s="250"/>
      <c r="H29" s="222"/>
      <c r="I29" s="222"/>
      <c r="J29" s="251"/>
    </row>
    <row r="30" spans="1:10">
      <c r="A30" s="231" t="s">
        <v>415</v>
      </c>
      <c r="B30" s="231"/>
      <c r="C30" s="232"/>
      <c r="D30" s="232"/>
      <c r="E30" s="232"/>
      <c r="F30" s="1274"/>
      <c r="G30" s="232"/>
      <c r="H30" s="232"/>
      <c r="I30" s="232"/>
      <c r="J30" s="1275"/>
    </row>
    <row r="31" spans="1:10" ht="1.9" customHeight="1">
      <c r="F31" s="250"/>
      <c r="H31" s="222"/>
      <c r="I31" s="222"/>
      <c r="J31" s="251"/>
    </row>
    <row r="32" spans="1:10">
      <c r="A32" s="233" t="s">
        <v>416</v>
      </c>
      <c r="B32" s="234"/>
      <c r="C32" s="235"/>
      <c r="D32" s="236"/>
      <c r="E32" s="1248"/>
      <c r="F32" s="235"/>
      <c r="G32" s="236"/>
      <c r="H32" s="236"/>
      <c r="I32" s="236"/>
      <c r="J32" s="1276"/>
    </row>
    <row r="33" spans="1:10">
      <c r="A33" s="250" t="s">
        <v>417</v>
      </c>
      <c r="B33" s="251"/>
      <c r="C33" s="247">
        <f>'T2 ANSP'!C33+'T2 MET'!C33+'T2 NSA'!C33</f>
        <v>689955.37778031058</v>
      </c>
      <c r="D33" s="248">
        <f>'T2 ANSP'!D33+'T2 MET'!D33+'T2 NSA'!D33</f>
        <v>674270.83242374472</v>
      </c>
      <c r="E33" s="1250">
        <f>'T2 ANSP'!E33+'T2 MET'!E33+'T2 NSA'!E33</f>
        <v>688739.42261568108</v>
      </c>
      <c r="F33" s="1277">
        <f>'T2 ANSP'!F33+'T2 MET'!F33+'T2 NSA'!F33</f>
        <v>703645.25605822913</v>
      </c>
      <c r="G33" s="248">
        <f>'T2 ANSP'!G33+'T2 MET'!G33+'T2 NSA'!G33</f>
        <v>738499.39409999968</v>
      </c>
      <c r="H33" s="248">
        <f>'T2 ANSP'!H33+'T2 MET'!H33+'T2 NSA'!H33</f>
        <v>697724.29266743315</v>
      </c>
      <c r="I33" s="248">
        <f>'T2 ANSP'!I33+'T2 MET'!I33+'T2 NSA'!I33</f>
        <v>703678.43498190166</v>
      </c>
      <c r="J33" s="1278">
        <f>'T2 ANSP'!J33+'T2 MET'!J33+'T2 NSA'!J33</f>
        <v>706088.85466968874</v>
      </c>
    </row>
    <row r="34" spans="1:10">
      <c r="A34" s="272" t="s">
        <v>418</v>
      </c>
      <c r="B34" s="273"/>
      <c r="C34" s="274"/>
      <c r="D34" s="274"/>
      <c r="E34" s="1256"/>
      <c r="F34" s="1285"/>
      <c r="G34" s="274"/>
      <c r="H34" s="274"/>
      <c r="I34" s="274"/>
      <c r="J34" s="1286"/>
    </row>
    <row r="35" spans="1:10">
      <c r="A35" s="272" t="s">
        <v>419</v>
      </c>
      <c r="B35" s="273"/>
      <c r="C35" s="274"/>
      <c r="D35" s="274"/>
      <c r="E35" s="1256"/>
      <c r="F35" s="1285"/>
      <c r="G35" s="274"/>
      <c r="H35" s="274"/>
      <c r="I35" s="274"/>
      <c r="J35" s="1286"/>
    </row>
    <row r="36" spans="1:10">
      <c r="A36" s="272" t="s">
        <v>420</v>
      </c>
      <c r="B36" s="273"/>
      <c r="C36" s="274"/>
      <c r="D36" s="274"/>
      <c r="E36" s="1256"/>
      <c r="F36" s="1285"/>
      <c r="G36" s="274"/>
      <c r="H36" s="274"/>
      <c r="I36" s="274"/>
      <c r="J36" s="1286"/>
    </row>
    <row r="37" spans="1:10">
      <c r="A37" s="272" t="s">
        <v>421</v>
      </c>
      <c r="B37" s="273"/>
      <c r="C37" s="274"/>
      <c r="D37" s="274"/>
      <c r="E37" s="1256"/>
      <c r="F37" s="1285"/>
      <c r="G37" s="274"/>
      <c r="H37" s="274"/>
      <c r="I37" s="274"/>
      <c r="J37" s="1286"/>
    </row>
    <row r="38" spans="1:10">
      <c r="A38" s="250" t="s">
        <v>422</v>
      </c>
      <c r="B38" s="251"/>
      <c r="C38" s="247">
        <f>'T1'!K68</f>
        <v>12647.945</v>
      </c>
      <c r="D38" s="275">
        <f>'T1'!L68</f>
        <v>12891</v>
      </c>
      <c r="E38" s="295">
        <f>'T1'!M68</f>
        <v>13183</v>
      </c>
      <c r="F38" s="247">
        <f>'T1'!N68</f>
        <v>11715</v>
      </c>
      <c r="G38" s="275">
        <f>'T1'!O68</f>
        <v>12228</v>
      </c>
      <c r="H38" s="275">
        <f>'T1'!P68</f>
        <v>12424</v>
      </c>
      <c r="I38" s="275">
        <f>'T1'!Q68</f>
        <v>12641</v>
      </c>
      <c r="J38" s="276">
        <f>'T1'!R68</f>
        <v>12850</v>
      </c>
    </row>
    <row r="39" spans="1:10">
      <c r="A39" s="272" t="s">
        <v>423</v>
      </c>
      <c r="B39" s="273"/>
      <c r="C39" s="247">
        <f>'T1'!T68</f>
        <v>5099.1790000000001</v>
      </c>
      <c r="D39" s="247">
        <f>'T1'!U68</f>
        <v>5395.3419999999996</v>
      </c>
      <c r="E39" s="1255"/>
      <c r="F39" s="247"/>
      <c r="G39" s="267"/>
      <c r="H39" s="247"/>
      <c r="I39" s="267"/>
      <c r="J39" s="1287"/>
    </row>
    <row r="40" spans="1:10">
      <c r="A40" s="277" t="s">
        <v>424</v>
      </c>
      <c r="B40" s="278"/>
      <c r="C40" s="279">
        <f>+C39/C38-1</f>
        <v>-0.59683735183857922</v>
      </c>
      <c r="D40" s="279">
        <f>+D39/D38-1</f>
        <v>-0.58146443254984104</v>
      </c>
      <c r="E40" s="1257"/>
      <c r="F40" s="1288"/>
      <c r="G40" s="279"/>
      <c r="H40" s="279"/>
      <c r="I40" s="279"/>
      <c r="J40" s="1289"/>
    </row>
    <row r="41" spans="1:10">
      <c r="A41" s="238" t="s">
        <v>425</v>
      </c>
      <c r="B41" s="239"/>
      <c r="C41" s="240">
        <f>'T2 ANSP'!C41+'T2 MET'!C41+'T2 NSA'!C41</f>
        <v>381433.10393885343</v>
      </c>
      <c r="D41" s="240">
        <f>'T2 ANSP'!D41+'T2 MET'!D41+'T2 NSA'!D41</f>
        <v>362396.59033353691</v>
      </c>
      <c r="E41" s="1258"/>
      <c r="F41" s="240"/>
      <c r="G41" s="240"/>
      <c r="H41" s="240"/>
      <c r="I41" s="240"/>
      <c r="J41" s="1290"/>
    </row>
    <row r="42" spans="1:10" ht="3" customHeight="1">
      <c r="F42" s="250"/>
      <c r="H42" s="222"/>
      <c r="I42" s="222"/>
      <c r="J42" s="251"/>
    </row>
    <row r="43" spans="1:10">
      <c r="A43" s="243" t="s">
        <v>426</v>
      </c>
      <c r="B43" s="244"/>
      <c r="C43" s="280"/>
      <c r="D43" s="281"/>
      <c r="E43" s="1259"/>
      <c r="F43" s="280"/>
      <c r="G43" s="281"/>
      <c r="H43" s="281"/>
      <c r="I43" s="281"/>
      <c r="J43" s="1291"/>
    </row>
    <row r="44" spans="1:10">
      <c r="A44" s="283" t="s">
        <v>427</v>
      </c>
      <c r="B44" s="284"/>
      <c r="C44" s="264">
        <f>'T2 ANSP'!C44+'T2 MET'!C44+'T2 NSA'!C44</f>
        <v>59960.382282325212</v>
      </c>
      <c r="D44" s="264">
        <f>'T2 ANSP'!D44+'T2 MET'!D44+'T2 NSA'!D44</f>
        <v>58586.147667449462</v>
      </c>
      <c r="E44" s="1254"/>
      <c r="F44" s="263"/>
      <c r="G44" s="264"/>
      <c r="H44" s="264"/>
      <c r="I44" s="264"/>
      <c r="J44" s="1283"/>
    </row>
    <row r="45" spans="1:10">
      <c r="A45" s="285" t="s">
        <v>428</v>
      </c>
      <c r="B45" s="286"/>
      <c r="C45" s="287">
        <f>'T2 ANSP'!C45+'T2 MET'!C45+'T2 NSA'!C45</f>
        <v>-4460.2106973964655</v>
      </c>
      <c r="D45" s="287">
        <f>'T2 ANSP'!D45+'T2 MET'!D45+'T2 NSA'!D45</f>
        <v>-7580.8060943127884</v>
      </c>
      <c r="E45" s="1260"/>
      <c r="F45" s="1292"/>
      <c r="G45" s="287"/>
      <c r="H45" s="287"/>
      <c r="I45" s="287"/>
      <c r="J45" s="1293"/>
    </row>
    <row r="46" spans="1:10">
      <c r="A46" s="270" t="s">
        <v>429</v>
      </c>
      <c r="B46" s="271"/>
      <c r="C46" s="241">
        <f>'T2 ANSP'!C46+'T2 MET'!C46+'T2 NSA'!C46</f>
        <v>55500.171584928743</v>
      </c>
      <c r="D46" s="241">
        <f>'T2 ANSP'!D46+'T2 MET'!D46+'T2 NSA'!D46</f>
        <v>51005.341573136677</v>
      </c>
      <c r="E46" s="1249"/>
      <c r="F46" s="240"/>
      <c r="G46" s="241"/>
      <c r="H46" s="241"/>
      <c r="I46" s="241"/>
      <c r="J46" s="242"/>
    </row>
    <row r="47" spans="1:10" ht="10.9" customHeight="1">
      <c r="F47" s="250"/>
      <c r="H47" s="222"/>
      <c r="I47" s="222"/>
      <c r="J47" s="251"/>
    </row>
    <row r="48" spans="1:10">
      <c r="A48" s="231" t="s">
        <v>430</v>
      </c>
      <c r="B48" s="231"/>
      <c r="C48" s="232"/>
      <c r="D48" s="232"/>
      <c r="E48" s="232"/>
      <c r="F48" s="1274"/>
      <c r="G48" s="232"/>
      <c r="H48" s="232"/>
      <c r="I48" s="232"/>
      <c r="J48" s="1275"/>
    </row>
    <row r="49" spans="1:11" ht="3.6" customHeight="1">
      <c r="F49" s="250"/>
      <c r="H49" s="222"/>
      <c r="I49" s="222"/>
      <c r="J49" s="251"/>
    </row>
    <row r="50" spans="1:11">
      <c r="A50" s="233" t="s">
        <v>431</v>
      </c>
      <c r="B50" s="234"/>
      <c r="C50" s="235"/>
      <c r="D50" s="236"/>
      <c r="E50" s="1248"/>
      <c r="F50" s="235"/>
      <c r="G50" s="236"/>
      <c r="H50" s="236"/>
      <c r="I50" s="236"/>
      <c r="J50" s="1276"/>
    </row>
    <row r="51" spans="1:11">
      <c r="A51" s="272" t="s">
        <v>432</v>
      </c>
      <c r="B51" s="273"/>
      <c r="C51" s="267">
        <f>'T2 ANSP'!C51+'T2 MET'!C51+'T2 NSA'!C51</f>
        <v>0</v>
      </c>
      <c r="D51" s="267">
        <f>'T2 ANSP'!D51+'T2 MET'!D51+'T2 NSA'!D51</f>
        <v>0</v>
      </c>
      <c r="E51" s="1255"/>
      <c r="F51" s="247"/>
      <c r="G51" s="267"/>
      <c r="H51" s="267"/>
      <c r="I51" s="267"/>
      <c r="J51" s="1284"/>
    </row>
    <row r="52" spans="1:11">
      <c r="A52" s="272" t="s">
        <v>433</v>
      </c>
      <c r="B52" s="273"/>
      <c r="C52" s="267">
        <f>'T2 ANSP'!C52+'T2 MET'!C52+'T2 NSA'!C52</f>
        <v>0</v>
      </c>
      <c r="D52" s="267">
        <f>'T2 ANSP'!D52+'T2 MET'!D52+'T2 NSA'!D52</f>
        <v>0</v>
      </c>
      <c r="E52" s="1255"/>
      <c r="F52" s="247"/>
      <c r="G52" s="267"/>
      <c r="H52" s="267"/>
      <c r="I52" s="267"/>
      <c r="J52" s="1284"/>
    </row>
    <row r="53" spans="1:11">
      <c r="A53" s="250" t="s">
        <v>434</v>
      </c>
      <c r="B53" s="251"/>
      <c r="C53" s="267">
        <f>'T2 ANSP'!C53+'T2 MET'!C53+'T2 NSA'!C53</f>
        <v>0</v>
      </c>
      <c r="D53" s="267">
        <f>'T2 ANSP'!D53+'T2 MET'!D53+'T2 NSA'!D53</f>
        <v>0</v>
      </c>
      <c r="E53" s="1255"/>
      <c r="F53" s="247"/>
      <c r="G53" s="267"/>
      <c r="H53" s="267"/>
      <c r="I53" s="267"/>
      <c r="J53" s="1284"/>
    </row>
    <row r="54" spans="1:11" s="291" customFormat="1">
      <c r="A54" s="270" t="s">
        <v>435</v>
      </c>
      <c r="B54" s="271"/>
      <c r="C54" s="289">
        <f>'T2 ANSP'!C54+'T2 MET'!C54+'T2 NSA'!C54</f>
        <v>0</v>
      </c>
      <c r="D54" s="289">
        <f>'T2 ANSP'!D54+'T2 MET'!D54+'T2 NSA'!D54</f>
        <v>0</v>
      </c>
      <c r="E54" s="1261"/>
      <c r="F54" s="240"/>
      <c r="G54" s="289"/>
      <c r="H54" s="289"/>
      <c r="I54" s="289"/>
      <c r="J54" s="290"/>
    </row>
    <row r="55" spans="1:11" ht="12" customHeight="1">
      <c r="F55" s="250"/>
      <c r="H55" s="222"/>
      <c r="I55" s="222"/>
      <c r="J55" s="251"/>
    </row>
    <row r="56" spans="1:11">
      <c r="A56" s="231" t="s">
        <v>436</v>
      </c>
      <c r="B56" s="231"/>
      <c r="C56" s="292"/>
      <c r="D56" s="292"/>
      <c r="E56" s="292"/>
      <c r="F56" s="1294"/>
      <c r="G56" s="292"/>
      <c r="H56" s="292"/>
      <c r="I56" s="292"/>
      <c r="J56" s="1295"/>
    </row>
    <row r="57" spans="1:11" ht="3.6" customHeight="1">
      <c r="F57" s="250"/>
      <c r="H57" s="222"/>
      <c r="I57" s="222"/>
      <c r="J57" s="251"/>
    </row>
    <row r="58" spans="1:11">
      <c r="A58" s="233" t="s">
        <v>294</v>
      </c>
      <c r="B58" s="234"/>
      <c r="C58" s="235"/>
      <c r="D58" s="236"/>
      <c r="E58" s="1248"/>
      <c r="F58" s="235"/>
      <c r="G58" s="236"/>
      <c r="H58" s="236"/>
      <c r="I58" s="236"/>
      <c r="J58" s="1276"/>
    </row>
    <row r="59" spans="1:11" s="294" customFormat="1">
      <c r="A59" s="270" t="s">
        <v>437</v>
      </c>
      <c r="B59" s="271"/>
      <c r="C59" s="267">
        <f>'T2 ANSP'!C59+'T2 MET'!C59+'T2 NSA'!C59</f>
        <v>0</v>
      </c>
      <c r="D59" s="241">
        <f>'T2 ANSP'!D59+'T2 MET'!D59+'T2 NSA'!D59</f>
        <v>0</v>
      </c>
      <c r="E59" s="1249"/>
      <c r="F59" s="240"/>
      <c r="G59" s="241"/>
      <c r="H59" s="241"/>
      <c r="I59" s="241"/>
      <c r="J59" s="242"/>
    </row>
    <row r="60" spans="1:11" ht="3.6" customHeight="1">
      <c r="C60" s="295"/>
      <c r="D60" s="295"/>
      <c r="E60" s="295"/>
      <c r="F60" s="1296"/>
      <c r="G60" s="295"/>
      <c r="H60" s="295"/>
      <c r="I60" s="295"/>
      <c r="J60" s="276"/>
    </row>
    <row r="61" spans="1:11">
      <c r="A61" s="233" t="s">
        <v>438</v>
      </c>
      <c r="B61" s="234"/>
      <c r="C61" s="296"/>
      <c r="D61" s="297"/>
      <c r="E61" s="1262"/>
      <c r="F61" s="296"/>
      <c r="G61" s="297"/>
      <c r="H61" s="297"/>
      <c r="I61" s="297"/>
      <c r="J61" s="1297"/>
    </row>
    <row r="62" spans="1:11">
      <c r="A62" s="245" t="s">
        <v>439</v>
      </c>
      <c r="B62" s="246"/>
      <c r="C62" s="988">
        <f>'T2 ANSP'!C62+'T2 MET'!C62+'T2 NSA'!C62</f>
        <v>55.144862781229961</v>
      </c>
      <c r="D62" s="259"/>
      <c r="E62" s="1263"/>
      <c r="F62" s="1031"/>
      <c r="G62" s="259"/>
      <c r="H62" s="259"/>
      <c r="I62" s="259"/>
      <c r="J62" s="260"/>
      <c r="K62" s="368"/>
    </row>
    <row r="63" spans="1:11">
      <c r="A63" s="299" t="s">
        <v>440</v>
      </c>
      <c r="B63" s="300"/>
      <c r="C63" s="267">
        <f>'T2 ANSP'!C63+'T2 MET'!C63+'T2 NSA'!C63</f>
        <v>4630.4594271457227</v>
      </c>
      <c r="D63" s="259"/>
      <c r="E63" s="1263"/>
      <c r="F63" s="1031"/>
      <c r="G63" s="259"/>
      <c r="H63" s="259"/>
      <c r="I63" s="259"/>
      <c r="J63" s="260"/>
      <c r="K63" s="368"/>
    </row>
    <row r="64" spans="1:11" ht="3" customHeight="1">
      <c r="C64" s="295"/>
      <c r="D64" s="295"/>
      <c r="E64" s="295"/>
      <c r="F64" s="1296"/>
      <c r="G64" s="295"/>
      <c r="H64" s="295"/>
      <c r="I64" s="295"/>
      <c r="J64" s="276"/>
    </row>
    <row r="65" spans="1:11">
      <c r="A65" s="233" t="s">
        <v>441</v>
      </c>
      <c r="B65" s="234"/>
      <c r="C65" s="296"/>
      <c r="D65" s="297"/>
      <c r="E65" s="1262"/>
      <c r="F65" s="296"/>
      <c r="G65" s="297"/>
      <c r="H65" s="297"/>
      <c r="I65" s="297"/>
      <c r="J65" s="1297"/>
      <c r="K65" s="1032"/>
    </row>
    <row r="66" spans="1:11">
      <c r="A66" s="299" t="s">
        <v>442</v>
      </c>
      <c r="B66" s="300"/>
      <c r="C66" s="780"/>
      <c r="D66" s="781"/>
      <c r="E66" s="1264"/>
      <c r="F66" s="780"/>
      <c r="G66" s="781"/>
      <c r="H66" s="781"/>
      <c r="I66" s="781"/>
      <c r="J66" s="1298"/>
    </row>
    <row r="67" spans="1:11" ht="3" customHeight="1">
      <c r="C67" s="295"/>
      <c r="D67" s="295"/>
      <c r="E67" s="295"/>
      <c r="F67" s="1296"/>
      <c r="G67" s="295"/>
      <c r="H67" s="295"/>
      <c r="I67" s="295"/>
      <c r="J67" s="276"/>
    </row>
    <row r="68" spans="1:11">
      <c r="A68" s="233" t="s">
        <v>302</v>
      </c>
      <c r="B68" s="234"/>
      <c r="C68" s="302"/>
      <c r="D68" s="303"/>
      <c r="E68" s="1265"/>
      <c r="F68" s="302"/>
      <c r="G68" s="303"/>
      <c r="H68" s="303"/>
      <c r="I68" s="303"/>
      <c r="J68" s="1299"/>
      <c r="K68" s="1030"/>
    </row>
    <row r="69" spans="1:11">
      <c r="A69" s="304" t="s">
        <v>443</v>
      </c>
      <c r="B69" s="305"/>
      <c r="C69" s="264">
        <f>'T2 ANSP'!C69+'T2 MET'!C69+'T2 NSA'!C69</f>
        <v>-166.68438219613321</v>
      </c>
      <c r="D69" s="264">
        <f>'T2 ANSP'!D69+'T2 MET'!D69+'T2 NSA'!D69</f>
        <v>-10399.967789999999</v>
      </c>
      <c r="E69" s="1254"/>
      <c r="F69" s="263"/>
      <c r="G69" s="264"/>
      <c r="H69" s="264"/>
      <c r="I69" s="264"/>
      <c r="J69" s="1283"/>
      <c r="K69" s="1030"/>
    </row>
    <row r="70" spans="1:11">
      <c r="A70" s="272" t="s">
        <v>444</v>
      </c>
      <c r="B70" s="273"/>
      <c r="C70" s="267">
        <f>'T2 ANSP'!C70+'T2 MET'!C70+'T2 NSA'!C70</f>
        <v>0</v>
      </c>
      <c r="D70" s="267">
        <f>'T2 ANSP'!D70+'T2 MET'!D70+'T2 NSA'!D70</f>
        <v>0</v>
      </c>
      <c r="E70" s="1255"/>
      <c r="F70" s="247"/>
      <c r="G70" s="267"/>
      <c r="H70" s="267"/>
      <c r="I70" s="267"/>
      <c r="J70" s="1284"/>
    </row>
    <row r="71" spans="1:11">
      <c r="A71" s="272" t="s">
        <v>445</v>
      </c>
      <c r="B71" s="273"/>
      <c r="C71" s="267">
        <f>'T2 ANSP'!C71+'T2 MET'!C71+'T2 NSA'!C71</f>
        <v>-7306.3912952168575</v>
      </c>
      <c r="D71" s="267">
        <f>'T2 ANSP'!D71+'T2 MET'!D71+'T2 NSA'!D71</f>
        <v>-2637.4695319517432</v>
      </c>
      <c r="E71" s="1255"/>
      <c r="F71" s="247"/>
      <c r="G71" s="267"/>
      <c r="H71" s="267"/>
      <c r="I71" s="267"/>
      <c r="J71" s="1284"/>
    </row>
    <row r="72" spans="1:11">
      <c r="A72" s="272" t="s">
        <v>446</v>
      </c>
      <c r="B72" s="273"/>
      <c r="C72" s="267">
        <f>'T2 ANSP'!C72+'T2 MET'!C72+'T2 NSA'!C72</f>
        <v>0</v>
      </c>
      <c r="D72" s="267">
        <f>'T2 ANSP'!D72+'T2 MET'!D72+'T2 NSA'!D72</f>
        <v>0</v>
      </c>
      <c r="E72" s="1255"/>
      <c r="F72" s="247"/>
      <c r="G72" s="267"/>
      <c r="H72" s="267"/>
      <c r="I72" s="267"/>
      <c r="J72" s="1284"/>
    </row>
    <row r="73" spans="1:11">
      <c r="A73" s="307" t="s">
        <v>447</v>
      </c>
      <c r="B73" s="308"/>
      <c r="C73" s="241">
        <f>'T2 ANSP'!C73+'T2 MET'!C73+'T2 NSA'!C73</f>
        <v>-7473.0756774129904</v>
      </c>
      <c r="D73" s="241">
        <f>'T2 ANSP'!D73+'T2 MET'!D73+'T2 NSA'!D73</f>
        <v>-13037.437321951742</v>
      </c>
      <c r="E73" s="1249"/>
      <c r="F73" s="240"/>
      <c r="G73" s="241"/>
      <c r="H73" s="241"/>
      <c r="I73" s="241"/>
      <c r="J73" s="242"/>
    </row>
    <row r="74" spans="1:11" ht="3.95" customHeight="1">
      <c r="A74" s="310"/>
      <c r="B74" s="310"/>
      <c r="C74" s="311"/>
      <c r="D74" s="311"/>
      <c r="E74" s="311"/>
      <c r="F74" s="1300"/>
      <c r="G74" s="311"/>
      <c r="H74" s="311"/>
      <c r="I74" s="311"/>
      <c r="J74" s="1301"/>
    </row>
    <row r="75" spans="1:11">
      <c r="A75" s="233" t="s">
        <v>448</v>
      </c>
      <c r="B75" s="234"/>
      <c r="C75" s="302"/>
      <c r="D75" s="303"/>
      <c r="E75" s="1265"/>
      <c r="F75" s="302"/>
      <c r="G75" s="303"/>
      <c r="H75" s="303"/>
      <c r="I75" s="303"/>
      <c r="J75" s="1299"/>
    </row>
    <row r="76" spans="1:11" s="294" customFormat="1">
      <c r="A76" s="307" t="s">
        <v>449</v>
      </c>
      <c r="B76" s="308"/>
      <c r="C76" s="241">
        <f>'T2 ANSP'!C76+'T2 MET'!C76+'T2 NSA'!C76</f>
        <v>0</v>
      </c>
      <c r="D76" s="241">
        <f>'T2 ANSP'!D76+'T2 MET'!D76+'T2 NSA'!D76</f>
        <v>0</v>
      </c>
      <c r="E76" s="1249"/>
      <c r="F76" s="240"/>
      <c r="G76" s="241"/>
      <c r="H76" s="241"/>
      <c r="I76" s="241"/>
      <c r="J76" s="242"/>
    </row>
    <row r="77" spans="1:11" ht="9.9499999999999993" customHeight="1">
      <c r="A77" s="310"/>
      <c r="B77" s="310"/>
      <c r="C77" s="311"/>
      <c r="D77" s="311"/>
      <c r="E77" s="311"/>
      <c r="F77" s="1300"/>
      <c r="G77" s="311"/>
      <c r="H77" s="311"/>
      <c r="I77" s="311"/>
      <c r="J77" s="1301"/>
    </row>
    <row r="78" spans="1:11">
      <c r="A78" s="313" t="s">
        <v>450</v>
      </c>
      <c r="B78" s="314"/>
      <c r="C78" s="315">
        <f>'T2 ANSP'!C78+'T2 MET'!C78+'T2 NSA'!C78</f>
        <v>418722.00334361882</v>
      </c>
      <c r="D78" s="316">
        <f>'T2 ANSP'!D78+'T2 MET'!D78+'T2 NSA'!D78</f>
        <v>51824.077334208952</v>
      </c>
      <c r="E78" s="1266"/>
      <c r="F78" s="315"/>
      <c r="G78" s="316"/>
      <c r="H78" s="316"/>
      <c r="I78" s="316"/>
      <c r="J78" s="1302"/>
    </row>
    <row r="79" spans="1:11" ht="26.1" customHeight="1">
      <c r="A79" s="319"/>
      <c r="C79" s="791"/>
      <c r="D79" s="320"/>
      <c r="E79" s="320"/>
      <c r="F79" s="1303"/>
      <c r="G79" s="320"/>
      <c r="H79" s="320"/>
      <c r="I79" s="320"/>
      <c r="J79" s="269"/>
    </row>
    <row r="80" spans="1:11">
      <c r="A80" s="1591" t="s">
        <v>451</v>
      </c>
      <c r="B80" s="1592"/>
      <c r="C80" s="228">
        <v>2020</v>
      </c>
      <c r="D80" s="229">
        <v>2021</v>
      </c>
      <c r="E80" s="1245">
        <v>2022</v>
      </c>
      <c r="F80" s="1246">
        <v>2023</v>
      </c>
      <c r="G80" s="229">
        <v>2024</v>
      </c>
      <c r="H80" s="229">
        <v>2025</v>
      </c>
      <c r="I80" s="229">
        <v>2026</v>
      </c>
      <c r="J80" s="1247">
        <v>2027</v>
      </c>
    </row>
    <row r="81" spans="1:10">
      <c r="A81" s="261" t="s">
        <v>452</v>
      </c>
      <c r="B81" s="262"/>
      <c r="C81" s="321">
        <f>'T2 ANSP'!C81+'T2 MET'!C81+'T2 NSA'!C81</f>
        <v>790418.89953814808</v>
      </c>
      <c r="D81" s="322">
        <f>'T2 ANSP'!D81+'T2 MET'!D81+'T2 NSA'!D81</f>
        <v>775027.03415828105</v>
      </c>
      <c r="E81" s="1267">
        <f>'T2 ANSP'!E81+'T2 MET'!E81+'T2 NSA'!E81</f>
        <v>790935.59297112306</v>
      </c>
      <c r="F81" s="321">
        <f>'T2 ANSP'!F81+'T2 MET'!F81+'T2 NSA'!F81</f>
        <v>813437.10396009067</v>
      </c>
      <c r="G81" s="322">
        <f>'T2 ANSP'!G81+'T2 MET'!G81+'T2 NSA'!G81</f>
        <v>854047.46357456828</v>
      </c>
      <c r="H81" s="322">
        <f>'T2 ANSP'!H81+'T2 MET'!H81+'T2 NSA'!H81</f>
        <v>815361.36060707422</v>
      </c>
      <c r="I81" s="322">
        <f>'T2 ANSP'!I81+'T2 MET'!I81+'T2 NSA'!I81</f>
        <v>824167.71318404539</v>
      </c>
      <c r="J81" s="323">
        <f>'T2 ANSP'!J81+'T2 MET'!J81+'T2 NSA'!J81</f>
        <v>825960.43158776709</v>
      </c>
    </row>
    <row r="82" spans="1:10">
      <c r="A82" s="250" t="s">
        <v>453</v>
      </c>
      <c r="B82" s="251"/>
      <c r="C82" s="324">
        <f>'T2 ANSP'!C82+'T2 MET'!C82+'T2 NSA'!C82</f>
        <v>-15141.944372610684</v>
      </c>
      <c r="D82" s="325">
        <f>'T2 ANSP'!D82+'T2 MET'!D82+'T2 NSA'!D82</f>
        <v>-16221.846440620513</v>
      </c>
      <c r="E82" s="1268">
        <f>'T2 ANSP'!E82+'T2 MET'!E82+'T2 NSA'!E82</f>
        <v>-7849.0196375152691</v>
      </c>
      <c r="F82" s="324">
        <f>'T2 ANSP'!F82+'T2 MET'!F82+'T2 NSA'!F82</f>
        <v>-4067.432166129186</v>
      </c>
      <c r="G82" s="325">
        <f>'T2 ANSP'!G82+'T2 MET'!G82+'T2 NSA'!G82</f>
        <v>32556.479964808739</v>
      </c>
      <c r="H82" s="325">
        <f>'T2 ANSP'!H82+'T2 MET'!H82+'T2 NSA'!H82</f>
        <v>0</v>
      </c>
      <c r="I82" s="325">
        <f>'T2 ANSP'!I82+'T2 MET'!I82+'T2 NSA'!I82</f>
        <v>0</v>
      </c>
      <c r="J82" s="326">
        <f>'T2 ANSP'!J82+'T2 MET'!J82+'T2 NSA'!J82</f>
        <v>0</v>
      </c>
    </row>
    <row r="83" spans="1:10">
      <c r="A83" s="250" t="s">
        <v>454</v>
      </c>
      <c r="B83" s="251"/>
      <c r="C83" s="324">
        <f>'T2 ANSP'!C83+'T2 MET'!C83+'T2 NSA'!C83</f>
        <v>-52778.573401516776</v>
      </c>
      <c r="D83" s="325">
        <f>'T2 ANSP'!D83+'T2 MET'!D83+'T2 NSA'!D83</f>
        <v>-62084.313388410344</v>
      </c>
      <c r="E83" s="1268">
        <f>'T2 ANSP'!E83+'T2 MET'!E83+'T2 NSA'!E83</f>
        <v>0</v>
      </c>
      <c r="F83" s="324">
        <f>'T2 ANSP'!F83+'T2 MET'!F83+'T2 NSA'!F83</f>
        <v>65346.476245188795</v>
      </c>
      <c r="G83" s="325">
        <f>'T2 ANSP'!G83+'T2 MET'!G83+'T2 NSA'!G83</f>
        <v>29578.795884261832</v>
      </c>
      <c r="H83" s="325">
        <f>'T2 ANSP'!H83+'T2 MET'!H83+'T2 NSA'!H83</f>
        <v>115237.54613766778</v>
      </c>
      <c r="I83" s="325">
        <f>'T2 ANSP'!I83+'T2 MET'!I83+'T2 NSA'!I83</f>
        <v>123265.59707926802</v>
      </c>
      <c r="J83" s="326">
        <f>'T2 ANSP'!J83+'T2 MET'!J83+'T2 NSA'!J83</f>
        <v>127977.71420253582</v>
      </c>
    </row>
    <row r="84" spans="1:10">
      <c r="A84" s="272" t="s">
        <v>455</v>
      </c>
      <c r="B84" s="273"/>
      <c r="C84" s="324">
        <f>'T2 ANSP'!C84+'T2 MET'!C84+'T2 NSA'!C84</f>
        <v>1590.6636098454458</v>
      </c>
      <c r="D84" s="325">
        <f>'T2 ANSP'!D84+'T2 MET'!D84+'T2 NSA'!D84</f>
        <v>2414.7137636373891</v>
      </c>
      <c r="E84" s="1268">
        <f>'T2 ANSP'!E84+'T2 MET'!E84+'T2 NSA'!E84</f>
        <v>8029.8140000000003</v>
      </c>
      <c r="F84" s="324">
        <f>'T2 ANSP'!F84+'T2 MET'!F84+'T2 NSA'!F84</f>
        <v>2283.0143169463454</v>
      </c>
      <c r="G84" s="325">
        <f>'T2 ANSP'!G84+'T2 MET'!G84+'T2 NSA'!G84</f>
        <v>3829.1984852611135</v>
      </c>
      <c r="H84" s="325">
        <f>'T2 ANSP'!H84+'T2 MET'!H84+'T2 NSA'!H84</f>
        <v>-3907.1074723178081</v>
      </c>
      <c r="I84" s="325">
        <f>'T2 ANSP'!I84+'T2 MET'!I84+'T2 NSA'!I84</f>
        <v>4536.110501898017</v>
      </c>
      <c r="J84" s="326">
        <f>'T2 ANSP'!J84+'T2 MET'!J84+'T2 NSA'!J84</f>
        <v>4539.7939615766918</v>
      </c>
    </row>
    <row r="85" spans="1:10">
      <c r="A85" s="272" t="s">
        <v>456</v>
      </c>
      <c r="B85" s="273"/>
      <c r="C85" s="324">
        <f>'T2 ANSP'!C85+'T2 MET'!C85+'T2 NSA'!C85</f>
        <v>-264.10899999999998</v>
      </c>
      <c r="D85" s="325">
        <f>'T2 ANSP'!D85+'T2 MET'!D85+'T2 NSA'!D85</f>
        <v>228.011</v>
      </c>
      <c r="E85" s="1268">
        <f>'T2 ANSP'!E85+'T2 MET'!E85+'T2 NSA'!E85</f>
        <v>0</v>
      </c>
      <c r="F85" s="324">
        <f>'T2 ANSP'!F85+'T2 MET'!F85+'T2 NSA'!F85</f>
        <v>0</v>
      </c>
      <c r="G85" s="325">
        <f>'T2 ANSP'!G85+'T2 MET'!G85+'T2 NSA'!G85</f>
        <v>0</v>
      </c>
      <c r="H85" s="325">
        <f>'T2 ANSP'!H85+'T2 MET'!H85+'T2 NSA'!H85</f>
        <v>0</v>
      </c>
      <c r="I85" s="325">
        <f>'T2 ANSP'!I85+'T2 MET'!I85+'T2 NSA'!I85</f>
        <v>0</v>
      </c>
      <c r="J85" s="326">
        <f>'T2 ANSP'!J85+'T2 MET'!J85+'T2 NSA'!J85</f>
        <v>0</v>
      </c>
    </row>
    <row r="86" spans="1:10">
      <c r="A86" s="272" t="s">
        <v>457</v>
      </c>
      <c r="B86" s="273"/>
      <c r="C86" s="324">
        <f>'T2 ANSP'!C86+'T2 MET'!C86+'T2 NSA'!C86</f>
        <v>0</v>
      </c>
      <c r="D86" s="325">
        <f>'T2 ANSP'!D86+'T2 MET'!D86+'T2 NSA'!D86</f>
        <v>0</v>
      </c>
      <c r="E86" s="1268">
        <f>'T2 ANSP'!E86+'T2 MET'!E86+'T2 NSA'!E86</f>
        <v>0</v>
      </c>
      <c r="F86" s="324">
        <f>'T2 ANSP'!F86+'T2 MET'!F86+'T2 NSA'!F86</f>
        <v>2017.3576287694086</v>
      </c>
      <c r="G86" s="325">
        <f>'T2 ANSP'!G86+'T2 MET'!G86+'T2 NSA'!G86</f>
        <v>-17640.105882247113</v>
      </c>
      <c r="H86" s="325">
        <f>'T2 ANSP'!H86+'T2 MET'!H86+'T2 NSA'!H86</f>
        <v>-7498.1257344027299</v>
      </c>
      <c r="I86" s="325">
        <f>'T2 ANSP'!I86+'T2 MET'!I86+'T2 NSA'!I86</f>
        <v>389.92037605813397</v>
      </c>
      <c r="J86" s="326">
        <f>'T2 ANSP'!J86+'T2 MET'!J86+'T2 NSA'!J86</f>
        <v>23929.979247065192</v>
      </c>
    </row>
    <row r="87" spans="1:10">
      <c r="A87" s="272" t="s">
        <v>458</v>
      </c>
      <c r="B87" s="273"/>
      <c r="C87" s="324">
        <f>'T2 ANSP'!C87+'T2 MET'!C87+'T2 NSA'!C87</f>
        <v>-7397.3308496424297</v>
      </c>
      <c r="D87" s="325">
        <f>'T2 ANSP'!D87+'T2 MET'!D87+'T2 NSA'!D87</f>
        <v>1511.4147979546397</v>
      </c>
      <c r="E87" s="1268">
        <f>'T2 ANSP'!E87+'T2 MET'!E87+'T2 NSA'!E87</f>
        <v>11339.403606548374</v>
      </c>
      <c r="F87" s="324">
        <f>'T2 ANSP'!F87+'T2 MET'!F87+'T2 NSA'!F87</f>
        <v>8154.2383275203101</v>
      </c>
      <c r="G87" s="325">
        <f>'T2 ANSP'!G87+'T2 MET'!G87+'T2 NSA'!G87</f>
        <v>-12474.114762320816</v>
      </c>
      <c r="H87" s="325">
        <f>'T2 ANSP'!H87+'T2 MET'!H87+'T2 NSA'!H87</f>
        <v>0</v>
      </c>
      <c r="I87" s="325">
        <f>'T2 ANSP'!I87+'T2 MET'!I87+'T2 NSA'!I87</f>
        <v>0</v>
      </c>
      <c r="J87" s="326">
        <f>'T2 ANSP'!J87+'T2 MET'!J87+'T2 NSA'!J87</f>
        <v>0</v>
      </c>
    </row>
    <row r="88" spans="1:10">
      <c r="A88" s="250" t="s">
        <v>459</v>
      </c>
      <c r="B88" s="251"/>
      <c r="C88" s="324">
        <f>'T2 ANSP'!C88+'T2 MET'!C88+'T2 NSA'!C88</f>
        <v>-7473.0756774129904</v>
      </c>
      <c r="D88" s="325">
        <f>'T2 ANSP'!D88+'T2 MET'!D88+'T2 NSA'!D88</f>
        <v>-13037.437321951742</v>
      </c>
      <c r="E88" s="1268">
        <f>'T2 ANSP'!E88+'T2 MET'!E88+'T2 NSA'!E88</f>
        <v>-31197.739202655848</v>
      </c>
      <c r="F88" s="324">
        <f>'T2 ANSP'!F88+'T2 MET'!F88+'T2 NSA'!F88</f>
        <v>0</v>
      </c>
      <c r="G88" s="325">
        <f>'T2 ANSP'!G88+'T2 MET'!G88+'T2 NSA'!G88</f>
        <v>0</v>
      </c>
      <c r="H88" s="325">
        <f>'T2 ANSP'!H88+'T2 MET'!H88+'T2 NSA'!H88</f>
        <v>0</v>
      </c>
      <c r="I88" s="325">
        <f>'T2 ANSP'!I88+'T2 MET'!I88+'T2 NSA'!I88</f>
        <v>0</v>
      </c>
      <c r="J88" s="326">
        <f>'T2 ANSP'!J88+'T2 MET'!J88+'T2 NSA'!J88</f>
        <v>0</v>
      </c>
    </row>
    <row r="89" spans="1:10">
      <c r="A89" s="250" t="s">
        <v>460</v>
      </c>
      <c r="B89" s="251"/>
      <c r="C89" s="324">
        <f>'T2 ANSP'!C89+'T2 MET'!C89+'T2 NSA'!C89</f>
        <v>0</v>
      </c>
      <c r="D89" s="325">
        <f>'T2 ANSP'!D89+'T2 MET'!D89+'T2 NSA'!D89</f>
        <v>0</v>
      </c>
      <c r="E89" s="1268">
        <f>'T2 ANSP'!E89+'T2 MET'!E89+'T2 NSA'!E89</f>
        <v>0</v>
      </c>
      <c r="F89" s="324">
        <f>'T2 ANSP'!F89+'T2 MET'!F89+'T2 NSA'!F89</f>
        <v>0</v>
      </c>
      <c r="G89" s="325">
        <f>'T2 ANSP'!G89+'T2 MET'!G89+'T2 NSA'!G89</f>
        <v>0</v>
      </c>
      <c r="H89" s="325">
        <f>'T2 ANSP'!H89+'T2 MET'!H89+'T2 NSA'!H89</f>
        <v>0</v>
      </c>
      <c r="I89" s="325">
        <f>'T2 ANSP'!I89+'T2 MET'!I89+'T2 NSA'!I89</f>
        <v>0</v>
      </c>
      <c r="J89" s="326">
        <f>'T2 ANSP'!J89+'T2 MET'!J89+'T2 NSA'!J89</f>
        <v>0</v>
      </c>
    </row>
    <row r="90" spans="1:10">
      <c r="A90" s="272" t="s">
        <v>461</v>
      </c>
      <c r="B90" s="273"/>
      <c r="C90" s="327">
        <f>'T2 ANSP'!C90+'T2 MET'!C90+'T2 NSA'!C90</f>
        <v>0</v>
      </c>
      <c r="D90" s="328">
        <f>'T2 ANSP'!D90+'T2 MET'!D90+'T2 NSA'!D90</f>
        <v>0</v>
      </c>
      <c r="E90" s="1269">
        <f>'T2 ANSP'!E90+'T2 MET'!E90+'T2 NSA'!E90</f>
        <v>4630.4594271457227</v>
      </c>
      <c r="F90" s="327">
        <f>'T2 ANSP'!F90+'T2 MET'!F90+'T2 NSA'!F90</f>
        <v>0</v>
      </c>
      <c r="G90" s="328">
        <f>'T2 ANSP'!G90+'T2 MET'!G90+'T2 NSA'!G90</f>
        <v>0</v>
      </c>
      <c r="H90" s="328">
        <f>'T2 ANSP'!H90+'T2 MET'!H90+'T2 NSA'!H90</f>
        <v>0</v>
      </c>
      <c r="I90" s="328">
        <f>'T2 ANSP'!I90+'T2 MET'!I90+'T2 NSA'!I90</f>
        <v>0</v>
      </c>
      <c r="J90" s="329">
        <f>'T2 ANSP'!J90+'T2 MET'!J90+'T2 NSA'!J90</f>
        <v>0</v>
      </c>
    </row>
    <row r="91" spans="1:10">
      <c r="A91" s="330" t="s">
        <v>462</v>
      </c>
      <c r="B91" s="331"/>
      <c r="C91" s="332">
        <f>'T2 ANSP'!C91+'T2 MET'!C91+'T2 NSA'!C91</f>
        <v>708954.52984681062</v>
      </c>
      <c r="D91" s="332">
        <f>'T2 ANSP'!D91+'T2 MET'!D91+'T2 NSA'!D91</f>
        <v>687837.57656889048</v>
      </c>
      <c r="E91" s="1270">
        <f>'T2 ANSP'!E91+'T2 MET'!E91+'T2 NSA'!E91</f>
        <v>775888.51116464601</v>
      </c>
      <c r="F91" s="1304">
        <f>'T2 ANSP'!F91+'T2 MET'!F91+'T2 NSA'!F91</f>
        <v>887170.75831238623</v>
      </c>
      <c r="G91" s="332">
        <f>'T2 ANSP'!G91+'T2 MET'!G91+'T2 NSA'!G91</f>
        <v>889897.71726433211</v>
      </c>
      <c r="H91" s="332">
        <f>'T2 ANSP'!H91+'T2 MET'!H91+'T2 NSA'!H91</f>
        <v>919193.67353802151</v>
      </c>
      <c r="I91" s="332">
        <f>'T2 ANSP'!I91+'T2 MET'!I91+'T2 NSA'!I91</f>
        <v>952359.34114126954</v>
      </c>
      <c r="J91" s="332">
        <f>'T2 ANSP'!J91+'T2 MET'!J91+'T2 NSA'!J91</f>
        <v>982407.91899894457</v>
      </c>
    </row>
    <row r="92" spans="1:10">
      <c r="A92" s="270" t="s">
        <v>463</v>
      </c>
      <c r="B92" s="271"/>
      <c r="C92" s="290">
        <f>'T1 ANSP'!K68</f>
        <v>12647.945</v>
      </c>
      <c r="D92" s="290">
        <f>'T1 ANSP'!L68</f>
        <v>12891</v>
      </c>
      <c r="E92" s="1261">
        <f>'T1 ANSP'!M68</f>
        <v>13183</v>
      </c>
      <c r="F92" s="1290">
        <f>'T1 ANSP'!N68</f>
        <v>11715</v>
      </c>
      <c r="G92" s="290">
        <f>'T1 ANSP'!O68</f>
        <v>12228</v>
      </c>
      <c r="H92" s="290">
        <f>'T1 ANSP'!P68</f>
        <v>12424</v>
      </c>
      <c r="I92" s="290">
        <f>'T1 ANSP'!Q68</f>
        <v>12641</v>
      </c>
      <c r="J92" s="290">
        <f>'T1 ANSP'!R68</f>
        <v>12850</v>
      </c>
    </row>
    <row r="93" spans="1:10">
      <c r="A93" s="270" t="s">
        <v>464</v>
      </c>
      <c r="B93" s="271"/>
      <c r="C93" s="333">
        <f t="shared" ref="C93:G93" si="0">C91/C92</f>
        <v>56.052942185217489</v>
      </c>
      <c r="D93" s="333">
        <f t="shared" si="0"/>
        <v>53.357968859583465</v>
      </c>
      <c r="E93" s="1271">
        <f t="shared" si="0"/>
        <v>58.855231067636048</v>
      </c>
      <c r="F93" s="1305">
        <f t="shared" si="0"/>
        <v>75.729471473528491</v>
      </c>
      <c r="G93" s="333">
        <f t="shared" si="0"/>
        <v>72.775410309480876</v>
      </c>
      <c r="H93" s="333">
        <f t="shared" ref="H93:J93" si="1">H91/H92</f>
        <v>73.98532465695601</v>
      </c>
      <c r="I93" s="333">
        <f t="shared" si="1"/>
        <v>75.338924226031921</v>
      </c>
      <c r="J93" s="333">
        <f t="shared" si="1"/>
        <v>76.451978132213583</v>
      </c>
    </row>
    <row r="94" spans="1:10">
      <c r="A94" s="270" t="s">
        <v>465</v>
      </c>
      <c r="B94" s="271"/>
      <c r="C94" s="333">
        <f>'T2 ANSP'!C94+'T2 MET'!C94+'T2 NSA'!C94</f>
        <v>0</v>
      </c>
      <c r="D94" s="334"/>
      <c r="E94" s="1272"/>
      <c r="F94" s="1306"/>
      <c r="G94" s="334"/>
      <c r="H94" s="334"/>
      <c r="I94" s="334"/>
      <c r="J94" s="334"/>
    </row>
    <row r="95" spans="1:10" ht="9.9499999999999993" customHeight="1">
      <c r="A95" s="310"/>
      <c r="B95" s="310"/>
      <c r="C95" s="312"/>
      <c r="D95" s="312"/>
      <c r="E95" s="312"/>
      <c r="F95" s="1307"/>
      <c r="G95" s="312"/>
      <c r="H95" s="312"/>
      <c r="I95" s="312"/>
      <c r="J95" s="1308"/>
    </row>
    <row r="96" spans="1:10">
      <c r="A96" s="336" t="s">
        <v>466</v>
      </c>
      <c r="B96" s="314"/>
      <c r="C96" s="337">
        <f>C93+C94</f>
        <v>56.052942185217489</v>
      </c>
      <c r="D96" s="337">
        <f t="shared" ref="D96:G96" si="2">D93+D94</f>
        <v>53.357968859583465</v>
      </c>
      <c r="E96" s="1273">
        <f t="shared" si="2"/>
        <v>58.855231067636048</v>
      </c>
      <c r="F96" s="337">
        <f t="shared" si="2"/>
        <v>75.729471473528491</v>
      </c>
      <c r="G96" s="337">
        <f t="shared" si="2"/>
        <v>72.775410309480876</v>
      </c>
      <c r="H96" s="337">
        <f t="shared" ref="H96:J96" si="3">H93+H94</f>
        <v>73.98532465695601</v>
      </c>
      <c r="I96" s="337">
        <f t="shared" si="3"/>
        <v>75.338924226031921</v>
      </c>
      <c r="J96" s="787">
        <f t="shared" si="3"/>
        <v>76.451978132213583</v>
      </c>
    </row>
    <row r="97" spans="1:7">
      <c r="A97" s="319"/>
      <c r="C97" s="312"/>
      <c r="D97" s="312"/>
      <c r="E97" s="312"/>
      <c r="F97" s="312"/>
      <c r="G97" s="312"/>
    </row>
    <row r="98" spans="1:7">
      <c r="A98" s="222" t="s">
        <v>467</v>
      </c>
      <c r="B98" s="231"/>
      <c r="C98" s="338"/>
      <c r="D98" s="338"/>
      <c r="E98" s="338"/>
      <c r="F98" s="338"/>
      <c r="G98" s="338"/>
    </row>
    <row r="99" spans="1:7">
      <c r="A99" s="339" t="s">
        <v>468</v>
      </c>
      <c r="B99" s="231"/>
      <c r="C99" s="340"/>
      <c r="D99" s="340"/>
      <c r="E99" s="340"/>
      <c r="F99" s="340"/>
      <c r="G99" s="340"/>
    </row>
    <row r="100" spans="1:7">
      <c r="A100" s="339"/>
      <c r="B100" s="231"/>
      <c r="C100" s="338"/>
      <c r="D100" s="338"/>
      <c r="E100" s="338"/>
      <c r="F100" s="338"/>
      <c r="G100" s="338"/>
    </row>
  </sheetData>
  <mergeCells count="5">
    <mergeCell ref="A7:B7"/>
    <mergeCell ref="A80:B80"/>
    <mergeCell ref="C5:E5"/>
    <mergeCell ref="F5:J5"/>
    <mergeCell ref="A1:J1"/>
  </mergeCells>
  <pageMargins left="0.7" right="0.7" top="0.75" bottom="0.75" header="0.3" footer="0.3"/>
  <pageSetup paperSize="9" scale="64"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28"/>
  <sheetViews>
    <sheetView showGridLines="0" zoomScaleNormal="100" workbookViewId="0">
      <pane xSplit="2" ySplit="10" topLeftCell="F24" activePane="bottomRight" state="frozen"/>
      <selection pane="topRight" activeCell="C1" sqref="C1"/>
      <selection pane="bottomLeft" activeCell="A11" sqref="A11"/>
      <selection pane="bottomRight" activeCell="G25" sqref="G25"/>
    </sheetView>
  </sheetViews>
  <sheetFormatPr defaultColWidth="8.85546875" defaultRowHeight="12.75"/>
  <cols>
    <col min="1" max="1" width="24" style="222" customWidth="1"/>
    <col min="2" max="2" width="49.5703125" style="222" customWidth="1"/>
    <col min="3" max="10" width="12.5703125" style="222" customWidth="1"/>
    <col min="11" max="16384" width="8.85546875" style="220"/>
  </cols>
  <sheetData>
    <row r="1" spans="1:10">
      <c r="A1" s="1596" t="s">
        <v>394</v>
      </c>
      <c r="B1" s="1596"/>
      <c r="C1" s="1596"/>
      <c r="D1" s="1596"/>
      <c r="E1" s="1596"/>
      <c r="F1" s="1596"/>
      <c r="G1" s="1596"/>
      <c r="H1" s="1596"/>
      <c r="I1" s="1596"/>
      <c r="J1" s="1596"/>
    </row>
    <row r="2" spans="1:10">
      <c r="A2" s="221"/>
      <c r="B2" s="221"/>
      <c r="G2" s="223"/>
      <c r="H2" s="223"/>
      <c r="I2" s="223"/>
      <c r="J2" s="223"/>
    </row>
    <row r="3" spans="1:10">
      <c r="A3" s="226" t="str">
        <f>'T1 ANSP'!A3</f>
        <v>United Kingdom</v>
      </c>
      <c r="B3" s="792" t="s">
        <v>395</v>
      </c>
      <c r="C3" s="1506"/>
      <c r="D3" s="220"/>
      <c r="E3" s="225"/>
      <c r="F3" s="220"/>
      <c r="G3" s="220"/>
      <c r="H3" s="220"/>
      <c r="I3" s="220"/>
      <c r="J3" s="220"/>
    </row>
    <row r="4" spans="1:10">
      <c r="A4" s="226" t="str">
        <f>'T1 ANSP'!A4</f>
        <v>Currency : GBP £</v>
      </c>
      <c r="C4" s="996"/>
      <c r="D4" s="996"/>
      <c r="E4" s="996"/>
      <c r="F4" s="996"/>
      <c r="G4" s="996"/>
      <c r="H4" s="996"/>
      <c r="I4" s="996"/>
      <c r="J4" s="996"/>
    </row>
    <row r="5" spans="1:10">
      <c r="A5" s="227" t="str">
        <f>'T1 ANSP'!A5</f>
        <v>NERL</v>
      </c>
      <c r="C5" s="1593" t="s">
        <v>127</v>
      </c>
      <c r="D5" s="1594"/>
      <c r="E5" s="1595"/>
      <c r="F5" s="1593" t="s">
        <v>396</v>
      </c>
      <c r="G5" s="1594"/>
      <c r="H5" s="1594"/>
      <c r="I5" s="1594"/>
      <c r="J5" s="1595"/>
    </row>
    <row r="7" spans="1:10">
      <c r="A7" s="1591" t="s">
        <v>397</v>
      </c>
      <c r="B7" s="1592"/>
      <c r="C7" s="228">
        <v>2020</v>
      </c>
      <c r="D7" s="229">
        <v>2021</v>
      </c>
      <c r="E7" s="1247">
        <v>2022</v>
      </c>
      <c r="F7" s="1320">
        <v>2023</v>
      </c>
      <c r="G7" s="230">
        <v>2024</v>
      </c>
      <c r="H7" s="230">
        <v>2025</v>
      </c>
      <c r="I7" s="230">
        <v>2026</v>
      </c>
      <c r="J7" s="230">
        <v>2027</v>
      </c>
    </row>
    <row r="8" spans="1:10" ht="10.5" customHeight="1"/>
    <row r="9" spans="1:10">
      <c r="A9" s="231" t="s">
        <v>398</v>
      </c>
      <c r="B9" s="231"/>
      <c r="C9" s="232"/>
      <c r="D9" s="232"/>
      <c r="E9" s="232"/>
      <c r="F9" s="232"/>
      <c r="G9" s="232"/>
      <c r="H9" s="232"/>
      <c r="I9" s="232"/>
      <c r="J9" s="232"/>
    </row>
    <row r="10" spans="1:10" ht="3" customHeight="1"/>
    <row r="11" spans="1:10">
      <c r="A11" s="233" t="s">
        <v>399</v>
      </c>
      <c r="B11" s="234"/>
      <c r="C11" s="235"/>
      <c r="D11" s="236"/>
      <c r="E11" s="236"/>
      <c r="F11" s="236"/>
      <c r="G11" s="236"/>
      <c r="H11" s="236"/>
      <c r="I11" s="236"/>
      <c r="J11" s="237"/>
    </row>
    <row r="12" spans="1:10">
      <c r="A12" s="238" t="s">
        <v>469</v>
      </c>
      <c r="B12" s="239"/>
      <c r="C12" s="341">
        <f>+'T1 ANSP'!K61</f>
        <v>689955.37778031058</v>
      </c>
      <c r="D12" s="342">
        <f>+'T1 ANSP'!L61</f>
        <v>674270.83242374472</v>
      </c>
      <c r="E12" s="342">
        <f>+'T1 ANSP'!M61</f>
        <v>688739.42261568108</v>
      </c>
      <c r="F12" s="342">
        <f>+'T1 ANSP'!N61</f>
        <v>703645.25605822913</v>
      </c>
      <c r="G12" s="342">
        <f>+'T1 ANSP'!O61</f>
        <v>738499.39409999968</v>
      </c>
      <c r="H12" s="342">
        <f>+'T1 ANSP'!P61</f>
        <v>697724.29266743315</v>
      </c>
      <c r="I12" s="342">
        <f>+'T1 ANSP'!Q61</f>
        <v>703678.43498190166</v>
      </c>
      <c r="J12" s="343">
        <f>+'T1 ANSP'!R61</f>
        <v>706088.85466968874</v>
      </c>
    </row>
    <row r="13" spans="1:10" ht="3" customHeight="1">
      <c r="C13" s="295"/>
      <c r="D13" s="295"/>
      <c r="E13" s="295"/>
      <c r="F13" s="295"/>
      <c r="G13" s="295"/>
      <c r="H13" s="295"/>
      <c r="I13" s="295"/>
      <c r="J13" s="295"/>
    </row>
    <row r="14" spans="1:10">
      <c r="A14" s="243" t="s">
        <v>401</v>
      </c>
      <c r="B14" s="244"/>
      <c r="C14" s="302"/>
      <c r="D14" s="303"/>
      <c r="E14" s="1299"/>
      <c r="F14" s="1322"/>
      <c r="G14" s="303"/>
      <c r="H14" s="303"/>
      <c r="I14" s="303"/>
      <c r="J14" s="816"/>
    </row>
    <row r="15" spans="1:10">
      <c r="A15" s="245" t="s">
        <v>402</v>
      </c>
      <c r="B15" s="246"/>
      <c r="C15" s="825">
        <f>C12</f>
        <v>689955.37778031058</v>
      </c>
      <c r="D15" s="826">
        <f t="shared" ref="D15:G15" si="0">D12</f>
        <v>674270.83242374472</v>
      </c>
      <c r="E15" s="827">
        <f t="shared" si="0"/>
        <v>688739.42261568108</v>
      </c>
      <c r="F15" s="826">
        <f t="shared" si="0"/>
        <v>703645.25605822913</v>
      </c>
      <c r="G15" s="826">
        <f t="shared" si="0"/>
        <v>738499.39409999968</v>
      </c>
      <c r="H15" s="826">
        <f t="shared" ref="H15:J15" si="1">H12</f>
        <v>697724.29266743315</v>
      </c>
      <c r="I15" s="826">
        <f t="shared" si="1"/>
        <v>703678.43498190166</v>
      </c>
      <c r="J15" s="827">
        <f t="shared" si="1"/>
        <v>706088.85466968874</v>
      </c>
    </row>
    <row r="16" spans="1:10">
      <c r="A16" s="250" t="s">
        <v>403</v>
      </c>
      <c r="B16" s="251"/>
      <c r="C16" s="820">
        <f>+'T1 ANSP'!K65</f>
        <v>106.44304700754894</v>
      </c>
      <c r="D16" s="819">
        <f>+'T1 ANSP'!L65</f>
        <v>108.5719079476999</v>
      </c>
      <c r="E16" s="249">
        <f>+'T1 ANSP'!M65</f>
        <v>110.74334610665392</v>
      </c>
      <c r="F16" s="819">
        <f>+'T1 ANSP'!N65</f>
        <v>115.21954018486758</v>
      </c>
      <c r="G16" s="819">
        <f>+'T1 ANSP'!O65</f>
        <v>116.98826086087693</v>
      </c>
      <c r="H16" s="819">
        <f>+'T1 ANSP'!P65</f>
        <v>119.187584768588</v>
      </c>
      <c r="I16" s="819">
        <f>+'T1 ANSP'!Q65</f>
        <v>121.57133646395974</v>
      </c>
      <c r="J16" s="249">
        <f>+'T1 ANSP'!R65</f>
        <v>124.00276319323888</v>
      </c>
    </row>
    <row r="17" spans="1:10">
      <c r="A17" s="250" t="s">
        <v>404</v>
      </c>
      <c r="B17" s="251"/>
      <c r="C17" s="820">
        <f>'T1 ANSP'!T65</f>
        <v>105.28410499999997</v>
      </c>
      <c r="D17" s="295">
        <f>'T1 ANSP'!U65</f>
        <v>108.02149172999997</v>
      </c>
      <c r="E17" s="276">
        <f>'T1 ANSP'!V65</f>
        <v>110.93807200670996</v>
      </c>
      <c r="F17" s="1324" t="s">
        <v>385</v>
      </c>
      <c r="G17" s="268" t="s">
        <v>385</v>
      </c>
      <c r="H17" s="268" t="s">
        <v>385</v>
      </c>
      <c r="I17" s="268" t="s">
        <v>385</v>
      </c>
      <c r="J17" s="269" t="s">
        <v>385</v>
      </c>
    </row>
    <row r="18" spans="1:10">
      <c r="A18" s="255" t="s">
        <v>405</v>
      </c>
      <c r="B18" s="256"/>
      <c r="C18" s="1331">
        <f>+C17/C16-1</f>
        <v>-1.0887907102723027E-2</v>
      </c>
      <c r="D18" s="821">
        <f>+D17/D16-1</f>
        <v>-5.0696006739153754E-3</v>
      </c>
      <c r="E18" s="1332">
        <f>+E17/E16-1</f>
        <v>1.7583530469498232E-3</v>
      </c>
      <c r="F18" s="1524" t="s">
        <v>385</v>
      </c>
      <c r="G18" s="1525" t="s">
        <v>385</v>
      </c>
      <c r="H18" s="1525" t="s">
        <v>385</v>
      </c>
      <c r="I18" s="1525" t="s">
        <v>385</v>
      </c>
      <c r="J18" s="1526" t="s">
        <v>385</v>
      </c>
    </row>
    <row r="19" spans="1:10">
      <c r="A19" s="238" t="s">
        <v>470</v>
      </c>
      <c r="B19" s="239"/>
      <c r="C19" s="240">
        <f>+C15*C18</f>
        <v>-7512.170058296193</v>
      </c>
      <c r="D19" s="818">
        <f>+D15*D18</f>
        <v>-3418.2838664568976</v>
      </c>
      <c r="E19" s="1333">
        <f>+E15*E18</f>
        <v>1211.0470623107449</v>
      </c>
      <c r="F19" s="1325"/>
      <c r="G19" s="259"/>
      <c r="H19" s="259"/>
      <c r="I19" s="259"/>
      <c r="J19" s="260"/>
    </row>
    <row r="20" spans="1:10" ht="3" customHeight="1"/>
    <row r="21" spans="1:10">
      <c r="A21" s="233" t="s">
        <v>407</v>
      </c>
      <c r="B21" s="234"/>
      <c r="C21" s="235"/>
      <c r="D21" s="236"/>
      <c r="E21" s="1276"/>
      <c r="F21" s="1321"/>
      <c r="G21" s="236"/>
      <c r="H21" s="236"/>
      <c r="I21" s="236"/>
      <c r="J21" s="237"/>
    </row>
    <row r="22" spans="1:10">
      <c r="A22" s="261" t="s">
        <v>471</v>
      </c>
      <c r="B22" s="262"/>
      <c r="C22" s="345">
        <v>0</v>
      </c>
      <c r="D22" s="346"/>
      <c r="E22" s="1366"/>
      <c r="F22" s="295"/>
      <c r="G22" s="295"/>
      <c r="H22" s="295"/>
      <c r="I22" s="295"/>
      <c r="J22" s="344"/>
    </row>
    <row r="23" spans="1:10">
      <c r="A23" s="265" t="s">
        <v>472</v>
      </c>
      <c r="B23" s="266"/>
      <c r="C23" s="347"/>
      <c r="D23" s="348"/>
      <c r="E23" s="1335"/>
      <c r="F23" s="1323"/>
      <c r="G23" s="349"/>
      <c r="H23" s="349"/>
      <c r="I23" s="349"/>
      <c r="J23" s="350"/>
    </row>
    <row r="24" spans="1:10">
      <c r="A24" s="265" t="s">
        <v>473</v>
      </c>
      <c r="B24" s="266"/>
      <c r="C24" s="351"/>
      <c r="D24" s="352"/>
      <c r="E24" s="1336"/>
      <c r="F24" s="1323"/>
      <c r="G24" s="349"/>
      <c r="H24" s="349"/>
      <c r="I24" s="349"/>
      <c r="J24" s="350"/>
    </row>
    <row r="25" spans="1:10">
      <c r="A25" s="265" t="s">
        <v>474</v>
      </c>
      <c r="B25" s="266"/>
      <c r="C25" s="353">
        <v>0</v>
      </c>
      <c r="D25" s="354"/>
      <c r="E25" s="1367"/>
      <c r="F25" s="1324"/>
      <c r="G25" s="268"/>
      <c r="H25" s="268"/>
      <c r="I25" s="268"/>
      <c r="J25" s="269"/>
    </row>
    <row r="26" spans="1:10">
      <c r="A26" s="265" t="s">
        <v>475</v>
      </c>
      <c r="B26" s="266"/>
      <c r="C26" s="353">
        <v>0</v>
      </c>
      <c r="D26" s="354"/>
      <c r="E26" s="1367"/>
      <c r="F26" s="1324"/>
      <c r="G26" s="268"/>
      <c r="H26" s="268"/>
      <c r="I26" s="268"/>
      <c r="J26" s="269"/>
    </row>
    <row r="27" spans="1:10">
      <c r="A27" s="265" t="s">
        <v>476</v>
      </c>
      <c r="B27" s="266"/>
      <c r="C27" s="353">
        <v>0</v>
      </c>
      <c r="D27" s="354"/>
      <c r="E27" s="1367"/>
      <c r="F27" s="1324"/>
      <c r="G27" s="268"/>
      <c r="H27" s="268"/>
      <c r="I27" s="268"/>
      <c r="J27" s="269"/>
    </row>
    <row r="28" spans="1:10">
      <c r="A28" s="270" t="s">
        <v>477</v>
      </c>
      <c r="B28" s="271"/>
      <c r="C28" s="240">
        <f>SUM(C22:C27)</f>
        <v>0</v>
      </c>
      <c r="D28" s="241"/>
      <c r="E28" s="242"/>
      <c r="F28" s="1325"/>
      <c r="G28" s="259"/>
      <c r="H28" s="259"/>
      <c r="I28" s="259"/>
      <c r="J28" s="260"/>
    </row>
    <row r="29" spans="1:10" ht="10.9" customHeight="1"/>
    <row r="30" spans="1:10">
      <c r="A30" s="231" t="s">
        <v>415</v>
      </c>
      <c r="B30" s="231"/>
      <c r="C30" s="232"/>
      <c r="D30" s="232"/>
      <c r="E30" s="232"/>
      <c r="F30" s="232"/>
      <c r="G30" s="232"/>
      <c r="H30" s="232"/>
      <c r="I30" s="232"/>
      <c r="J30" s="232"/>
    </row>
    <row r="31" spans="1:10" ht="1.9" customHeight="1"/>
    <row r="32" spans="1:10">
      <c r="A32" s="233" t="s">
        <v>416</v>
      </c>
      <c r="B32" s="234"/>
      <c r="C32" s="235"/>
      <c r="D32" s="236"/>
      <c r="E32" s="1276"/>
      <c r="F32" s="1321"/>
      <c r="G32" s="236"/>
      <c r="H32" s="236"/>
      <c r="I32" s="236"/>
      <c r="J32" s="237"/>
    </row>
    <row r="33" spans="1:10">
      <c r="A33" s="250" t="s">
        <v>417</v>
      </c>
      <c r="B33" s="251"/>
      <c r="C33" s="1235">
        <f>'T1 ANSP'!K61-'T1 ANSP'!K28</f>
        <v>689955.37778031058</v>
      </c>
      <c r="D33" s="248">
        <f>'T1 ANSP'!L61-'T1 ANSP'!L28</f>
        <v>674270.83242374472</v>
      </c>
      <c r="E33" s="1278">
        <f>'T1 ANSP'!M61-'T1 ANSP'!M28</f>
        <v>688739.42261568108</v>
      </c>
      <c r="F33" s="1368">
        <f>'T1 ANSP'!N61-'T1 ANSP'!N28</f>
        <v>703645.25605822913</v>
      </c>
      <c r="G33" s="248">
        <f>'T1 ANSP'!O61-'T1 ANSP'!O28</f>
        <v>738499.39409999968</v>
      </c>
      <c r="H33" s="248">
        <f>'T1 ANSP'!P61-'T1 ANSP'!P28</f>
        <v>697724.29266743315</v>
      </c>
      <c r="I33" s="248">
        <f>'T1 ANSP'!Q61-'T1 ANSP'!Q28</f>
        <v>703678.43498190166</v>
      </c>
      <c r="J33" s="249">
        <f>'T1 ANSP'!R61-'T1 ANSP'!R28</f>
        <v>706088.85466968874</v>
      </c>
    </row>
    <row r="34" spans="1:10">
      <c r="A34" s="272" t="s">
        <v>418</v>
      </c>
      <c r="B34" s="273"/>
      <c r="C34" s="1371">
        <v>0.02</v>
      </c>
      <c r="D34" s="1237">
        <v>0.02</v>
      </c>
      <c r="E34" s="1372">
        <v>0.02</v>
      </c>
      <c r="F34" s="1369">
        <v>0.02</v>
      </c>
      <c r="G34" s="1237">
        <v>0.02</v>
      </c>
      <c r="H34" s="1237">
        <v>0.02</v>
      </c>
      <c r="I34" s="1237">
        <v>0.02</v>
      </c>
      <c r="J34" s="1238">
        <v>0.02</v>
      </c>
    </row>
    <row r="35" spans="1:10">
      <c r="A35" s="272" t="s">
        <v>419</v>
      </c>
      <c r="B35" s="273"/>
      <c r="C35" s="1371">
        <v>0.7</v>
      </c>
      <c r="D35" s="1237">
        <v>0.7</v>
      </c>
      <c r="E35" s="1372">
        <v>0.7</v>
      </c>
      <c r="F35" s="1369">
        <v>0.7</v>
      </c>
      <c r="G35" s="1237">
        <v>0.7</v>
      </c>
      <c r="H35" s="1237">
        <v>0.7</v>
      </c>
      <c r="I35" s="1237">
        <v>0.7</v>
      </c>
      <c r="J35" s="1238">
        <v>0.7</v>
      </c>
    </row>
    <row r="36" spans="1:10">
      <c r="A36" s="272" t="s">
        <v>420</v>
      </c>
      <c r="B36" s="273"/>
      <c r="C36" s="1371">
        <v>0.7</v>
      </c>
      <c r="D36" s="1237">
        <v>0.7</v>
      </c>
      <c r="E36" s="1372">
        <v>0.7</v>
      </c>
      <c r="F36" s="1369">
        <v>0.7</v>
      </c>
      <c r="G36" s="1237">
        <v>0.7</v>
      </c>
      <c r="H36" s="1237">
        <v>0.7</v>
      </c>
      <c r="I36" s="1237">
        <v>0.7</v>
      </c>
      <c r="J36" s="1238">
        <v>0.7</v>
      </c>
    </row>
    <row r="37" spans="1:10">
      <c r="A37" s="272" t="s">
        <v>421</v>
      </c>
      <c r="B37" s="273"/>
      <c r="C37" s="1373">
        <v>0.1</v>
      </c>
      <c r="D37" s="288">
        <v>0.1</v>
      </c>
      <c r="E37" s="1374">
        <v>0.1</v>
      </c>
      <c r="F37" s="1370">
        <v>0.1</v>
      </c>
      <c r="G37" s="288">
        <v>0.1</v>
      </c>
      <c r="H37" s="288">
        <v>0.1</v>
      </c>
      <c r="I37" s="288">
        <v>0.1</v>
      </c>
      <c r="J37" s="355">
        <v>0.1</v>
      </c>
    </row>
    <row r="38" spans="1:10">
      <c r="A38" s="250" t="s">
        <v>422</v>
      </c>
      <c r="B38" s="251"/>
      <c r="C38" s="1235">
        <f>'T1 ANSP'!K68</f>
        <v>12647.945</v>
      </c>
      <c r="D38" s="275">
        <f>'T1 ANSP'!L68</f>
        <v>12891</v>
      </c>
      <c r="E38" s="276">
        <f>'T1 ANSP'!M68</f>
        <v>13183</v>
      </c>
      <c r="F38" s="275">
        <f>'T1 ANSP'!N68</f>
        <v>11715</v>
      </c>
      <c r="G38" s="275">
        <f>'T1 ANSP'!O68</f>
        <v>12228</v>
      </c>
      <c r="H38" s="295">
        <f>'T1 ANSP'!P68</f>
        <v>12424</v>
      </c>
      <c r="I38" s="267">
        <f>'T1 ANSP'!Q68</f>
        <v>12641</v>
      </c>
      <c r="J38" s="276">
        <f>'T1 ANSP'!R68</f>
        <v>12850</v>
      </c>
    </row>
    <row r="39" spans="1:10">
      <c r="A39" s="272" t="s">
        <v>423</v>
      </c>
      <c r="B39" s="273"/>
      <c r="C39" s="1235">
        <f>'T1 ANSP'!T68</f>
        <v>5099.1790000000001</v>
      </c>
      <c r="D39" s="247">
        <f>'T1 ANSP'!U68</f>
        <v>5395.3419999999996</v>
      </c>
      <c r="E39" s="1287">
        <f>'T1 ANSP'!V68</f>
        <v>10630.129017676178</v>
      </c>
      <c r="F39" s="1324" t="s">
        <v>385</v>
      </c>
      <c r="G39" s="268" t="s">
        <v>385</v>
      </c>
      <c r="H39" s="1545" t="s">
        <v>385</v>
      </c>
      <c r="I39" s="268" t="s">
        <v>385</v>
      </c>
      <c r="J39" s="269" t="s">
        <v>385</v>
      </c>
    </row>
    <row r="40" spans="1:10">
      <c r="A40" s="277" t="s">
        <v>424</v>
      </c>
      <c r="B40" s="278"/>
      <c r="C40" s="1288">
        <f>+C39/C38-1</f>
        <v>-0.59683735183857922</v>
      </c>
      <c r="D40" s="279">
        <f t="shared" ref="D40:E40" si="2">+D39/D38-1</f>
        <v>-0.58146443254984104</v>
      </c>
      <c r="E40" s="1485">
        <f t="shared" si="2"/>
        <v>-0.19364871291237373</v>
      </c>
      <c r="F40" s="1543">
        <v>0</v>
      </c>
      <c r="G40" s="1544">
        <v>0</v>
      </c>
      <c r="H40" s="1546">
        <v>0</v>
      </c>
      <c r="I40" s="1547">
        <v>0</v>
      </c>
      <c r="J40" s="1548">
        <v>0</v>
      </c>
    </row>
    <row r="41" spans="1:10">
      <c r="A41" s="238" t="s">
        <v>425</v>
      </c>
      <c r="B41" s="239"/>
      <c r="C41" s="1038">
        <f>IF(C40&lt;-C37,((C40+C37)*-C33)+((C37-C34)*C36*C33),IF(C40&lt;=-C34,(C40+C34)*C36*-C33,IF(C40&lt;=C34,0,IF(C40&lt;=C37,-(C40-C34)*C35*C33,(-(C40-C37+(C37-C34)*C35)*C33)))))</f>
        <v>381433.10393885343</v>
      </c>
      <c r="D41" s="1039">
        <f>IF(D40&lt;-D37,((D40+D37)*-D33)+((D37-D34)*D36*D33),IF(D40&lt;=-D34,(D40+D34)*D36*-D33,IF(D40&lt;=D34,0,IF(D40&lt;=D37,-(D40-D34)*D35*D33,(-(D40-D37+(D37-D34)*D35)*D33)))))</f>
        <v>362396.59033353691</v>
      </c>
      <c r="E41" s="1375">
        <v>0</v>
      </c>
      <c r="F41" s="1325"/>
      <c r="G41" s="259"/>
      <c r="H41" s="1263"/>
      <c r="I41" s="259"/>
      <c r="J41" s="260"/>
    </row>
    <row r="42" spans="1:10" ht="3" customHeight="1"/>
    <row r="43" spans="1:10">
      <c r="A43" s="243" t="s">
        <v>426</v>
      </c>
      <c r="B43" s="244"/>
      <c r="C43" s="1376"/>
      <c r="D43" s="1377"/>
      <c r="E43" s="1534"/>
      <c r="F43" s="1321"/>
      <c r="G43" s="236"/>
      <c r="H43" s="236"/>
      <c r="I43" s="236"/>
      <c r="J43" s="237"/>
    </row>
    <row r="44" spans="1:10">
      <c r="A44" s="283" t="s">
        <v>427</v>
      </c>
      <c r="B44" s="284"/>
      <c r="C44" s="324">
        <f>-(C12-C33)*C40</f>
        <v>0</v>
      </c>
      <c r="D44" s="325"/>
      <c r="E44" s="326"/>
      <c r="F44" s="1324" t="s">
        <v>385</v>
      </c>
      <c r="G44" s="268" t="s">
        <v>385</v>
      </c>
      <c r="H44" s="268" t="s">
        <v>385</v>
      </c>
      <c r="I44" s="268" t="s">
        <v>385</v>
      </c>
      <c r="J44" s="269" t="s">
        <v>385</v>
      </c>
    </row>
    <row r="45" spans="1:10">
      <c r="A45" s="285" t="s">
        <v>428</v>
      </c>
      <c r="B45" s="286"/>
      <c r="C45" s="324">
        <f>('T3 ANSP'!E21-'T3 ANSP'!E11+'T3 ANSP'!E36-'T3 ANSP'!E26+'T3 ANSP'!E47+'T3 ANSP'!E58+'T3 ANSP'!E69+'T3 ANSP'!E80+'T3 ANSP'!E91+'T3 ANSP'!E102+'T3 ANSP'!E111+'T3 ANSP'!E126-'T3 ANSP'!E116+'T3 ANSP'!E141-'T3 ANSP'!E131+'T3 ANSP'!E166-'T3 ANSP'!E146+'T3 ANSP'!E181-'T3 ANSP'!E171+'T3 ANSP'!E196-'T3 ANSP'!E186+'T3 ANSP'!E211-'T3 ANSP'!E201+'T3 ANSP'!E226-'T3 ANSP'!E216+'T3 ANSP'!E237+'T3 ANSP'!E248)*-C40</f>
        <v>-4460.2106973964655</v>
      </c>
      <c r="D45" s="325">
        <f>('T3 ANSP'!F21-'T3 ANSP'!F11+'T3 ANSP'!F36-'T3 ANSP'!F26+'T3 ANSP'!F47+'T3 ANSP'!F58+'T3 ANSP'!F69+'T3 ANSP'!F80+'T3 ANSP'!F91+'T3 ANSP'!F102+'T3 ANSP'!F111+'T3 ANSP'!F126-'T3 ANSP'!F116+'T3 ANSP'!F141-'T3 ANSP'!F131+'T3 ANSP'!F166-'T3 ANSP'!F146+'T3 ANSP'!F181-'T3 ANSP'!F171+'T3 ANSP'!F196-'T3 ANSP'!F186+'T3 ANSP'!F211-'T3 ANSP'!F201+'T3 ANSP'!F226-'T3 ANSP'!F216+'T3 ANSP'!F237+'T3 ANSP'!F248)*-D40</f>
        <v>-7580.8060943127884</v>
      </c>
      <c r="E45" s="1470">
        <f>('T3 ANSP'!G21-'T3 ANSP'!G15+'T3 ANSP'!G36-'T3 ANSP'!G30+'T3 ANSP'!G47+'T3 ANSP'!G58+'T3 ANSP'!G69+'T3 ANSP'!G80+'T3 ANSP'!G91+'T3 ANSP'!G102+'T3 ANSP'!G111+'T3 ANSP'!G126-'T3 ANSP'!G120+'T3 ANSP'!G141-'T3 ANSP'!G135+'T3 ANSP'!G166-'T3 ANSP'!G156-'T3 ANSP'!G160+'T3 ANSP'!G181-'T3 ANSP'!G171+'T3 ANSP'!G196-'T3 ANSP'!G190+'T3 ANSP'!G211-'T3 ANSP'!G205+'T3 ANSP'!G226-'T3 ANSP'!G220+'T3 ANSP'!G237+'T3 ANSP'!G248)*-E40</f>
        <v>-5144.7195341104725</v>
      </c>
      <c r="F45" s="1324" t="s">
        <v>385</v>
      </c>
      <c r="G45" s="268" t="s">
        <v>385</v>
      </c>
      <c r="H45" s="268" t="s">
        <v>385</v>
      </c>
      <c r="I45" s="268" t="s">
        <v>385</v>
      </c>
      <c r="J45" s="269" t="s">
        <v>385</v>
      </c>
    </row>
    <row r="46" spans="1:10">
      <c r="A46" s="270" t="s">
        <v>429</v>
      </c>
      <c r="B46" s="271"/>
      <c r="C46" s="240">
        <f>SUM(C44:C45)</f>
        <v>-4460.2106973964655</v>
      </c>
      <c r="D46" s="240">
        <f>SUM(D44:D45)</f>
        <v>-7580.8060943127884</v>
      </c>
      <c r="E46" s="1535">
        <f>SUM(E44:E45)</f>
        <v>-5144.7195341104725</v>
      </c>
      <c r="F46" s="1325"/>
      <c r="G46" s="259"/>
      <c r="H46" s="259"/>
      <c r="I46" s="259"/>
      <c r="J46" s="260"/>
    </row>
    <row r="47" spans="1:10" ht="10.9" customHeight="1">
      <c r="C47" s="1419">
        <f>('T3 ANSP'!E47+'T3 ANSP'!E58+'T3 ANSP'!E69+'T3 ANSP'!F80+'T3 ANSP'!F91+'T3 ANSP'!E102+'T3 ANSP'!E181+'T3 ANSP'!E196+'T3 ANSP'!E211+'T3 ANSP'!E226+'T3 ANSP'!E237+'T3 ANSP'!E248)*-C40</f>
        <v>-4460.2106973964655</v>
      </c>
      <c r="D47" s="1419"/>
    </row>
    <row r="48" spans="1:10">
      <c r="A48" s="231" t="s">
        <v>430</v>
      </c>
      <c r="B48" s="231"/>
      <c r="C48" s="232"/>
      <c r="D48" s="232"/>
      <c r="E48" s="232"/>
      <c r="F48" s="232"/>
      <c r="G48" s="232"/>
      <c r="H48" s="232"/>
      <c r="I48" s="232"/>
      <c r="J48" s="232"/>
    </row>
    <row r="49" spans="1:10" ht="3.6" customHeight="1"/>
    <row r="50" spans="1:10">
      <c r="A50" s="233" t="s">
        <v>431</v>
      </c>
      <c r="B50" s="234"/>
      <c r="C50" s="235"/>
      <c r="D50" s="236"/>
      <c r="E50" s="1276"/>
      <c r="F50" s="1321"/>
      <c r="G50" s="236"/>
      <c r="H50" s="236"/>
      <c r="I50" s="236"/>
      <c r="J50" s="237"/>
    </row>
    <row r="51" spans="1:10">
      <c r="A51" s="272" t="s">
        <v>432</v>
      </c>
      <c r="B51" s="273"/>
      <c r="C51" s="1239">
        <v>0</v>
      </c>
      <c r="D51" s="354"/>
      <c r="E51" s="1367"/>
      <c r="F51" s="1324" t="s">
        <v>385</v>
      </c>
      <c r="G51" s="268" t="s">
        <v>385</v>
      </c>
      <c r="H51" s="268" t="s">
        <v>385</v>
      </c>
      <c r="I51" s="268" t="s">
        <v>385</v>
      </c>
      <c r="J51" s="269" t="s">
        <v>385</v>
      </c>
    </row>
    <row r="52" spans="1:10">
      <c r="A52" s="272" t="s">
        <v>433</v>
      </c>
      <c r="B52" s="273"/>
      <c r="C52" s="1239">
        <v>0</v>
      </c>
      <c r="D52" s="354"/>
      <c r="E52" s="1367"/>
      <c r="F52" s="1324" t="s">
        <v>385</v>
      </c>
      <c r="G52" s="268" t="s">
        <v>385</v>
      </c>
      <c r="H52" s="268" t="s">
        <v>385</v>
      </c>
      <c r="I52" s="268" t="s">
        <v>385</v>
      </c>
      <c r="J52" s="269" t="s">
        <v>385</v>
      </c>
    </row>
    <row r="53" spans="1:10">
      <c r="A53" s="250" t="s">
        <v>434</v>
      </c>
      <c r="B53" s="251"/>
      <c r="C53" s="1239">
        <v>0</v>
      </c>
      <c r="D53" s="354"/>
      <c r="E53" s="1367"/>
      <c r="F53" s="1324" t="s">
        <v>385</v>
      </c>
      <c r="G53" s="268" t="s">
        <v>385</v>
      </c>
      <c r="H53" s="268" t="s">
        <v>385</v>
      </c>
      <c r="I53" s="268" t="s">
        <v>385</v>
      </c>
      <c r="J53" s="269" t="s">
        <v>385</v>
      </c>
    </row>
    <row r="54" spans="1:10" s="291" customFormat="1">
      <c r="A54" s="270" t="s">
        <v>435</v>
      </c>
      <c r="B54" s="271"/>
      <c r="C54" s="240">
        <f>SUM(C51:C53)</f>
        <v>0</v>
      </c>
      <c r="D54" s="241"/>
      <c r="E54" s="242"/>
      <c r="F54" s="1325"/>
      <c r="G54" s="259"/>
      <c r="H54" s="259"/>
      <c r="I54" s="259"/>
      <c r="J54" s="260"/>
    </row>
    <row r="55" spans="1:10" ht="12" customHeight="1"/>
    <row r="56" spans="1:10">
      <c r="A56" s="231" t="s">
        <v>436</v>
      </c>
      <c r="B56" s="231"/>
      <c r="C56" s="292"/>
      <c r="D56" s="292"/>
      <c r="E56" s="292"/>
      <c r="F56" s="232"/>
      <c r="G56" s="232"/>
      <c r="H56" s="232"/>
      <c r="I56" s="232"/>
      <c r="J56" s="232"/>
    </row>
    <row r="57" spans="1:10" ht="3.6" customHeight="1"/>
    <row r="58" spans="1:10">
      <c r="A58" s="233" t="s">
        <v>294</v>
      </c>
      <c r="B58" s="234"/>
      <c r="C58" s="235"/>
      <c r="D58" s="236"/>
      <c r="E58" s="1276"/>
      <c r="F58" s="1321"/>
      <c r="G58" s="236"/>
      <c r="H58" s="236"/>
      <c r="I58" s="236"/>
      <c r="J58" s="237"/>
    </row>
    <row r="59" spans="1:10" s="294" customFormat="1">
      <c r="A59" s="270" t="s">
        <v>437</v>
      </c>
      <c r="B59" s="271"/>
      <c r="C59" s="356">
        <v>0</v>
      </c>
      <c r="D59" s="357"/>
      <c r="E59" s="1378"/>
      <c r="F59" s="1325"/>
      <c r="G59" s="259"/>
      <c r="H59" s="259"/>
      <c r="I59" s="259"/>
      <c r="J59" s="260"/>
    </row>
    <row r="60" spans="1:10" ht="3.6" customHeight="1"/>
    <row r="61" spans="1:10">
      <c r="A61" s="233" t="s">
        <v>438</v>
      </c>
      <c r="B61" s="234"/>
      <c r="C61" s="235"/>
      <c r="D61" s="236"/>
      <c r="E61" s="1276"/>
      <c r="F61" s="1321"/>
      <c r="G61" s="236"/>
      <c r="H61" s="236"/>
      <c r="I61" s="236"/>
      <c r="J61" s="237"/>
    </row>
    <row r="62" spans="1:10">
      <c r="A62" s="245" t="s">
        <v>439</v>
      </c>
      <c r="B62" s="246"/>
      <c r="C62" s="988">
        <v>48.27207842578828</v>
      </c>
      <c r="D62" s="357"/>
      <c r="E62" s="1378"/>
      <c r="F62" s="1325" t="s">
        <v>385</v>
      </c>
      <c r="G62" s="259" t="s">
        <v>385</v>
      </c>
      <c r="H62" s="259" t="s">
        <v>385</v>
      </c>
      <c r="I62" s="259" t="s">
        <v>385</v>
      </c>
      <c r="J62" s="260" t="s">
        <v>385</v>
      </c>
    </row>
    <row r="63" spans="1:10">
      <c r="A63" s="299" t="s">
        <v>440</v>
      </c>
      <c r="B63" s="300"/>
      <c r="C63" s="987">
        <f>(C96-C62)*C39</f>
        <v>4630.4594271457227</v>
      </c>
      <c r="D63" s="991"/>
      <c r="E63" s="1380"/>
      <c r="F63" s="1379">
        <v>0</v>
      </c>
      <c r="G63" s="990">
        <v>0</v>
      </c>
      <c r="H63" s="990">
        <v>0</v>
      </c>
      <c r="I63" s="990">
        <v>0</v>
      </c>
      <c r="J63" s="990">
        <v>0</v>
      </c>
    </row>
    <row r="64" spans="1:10" ht="3" customHeight="1"/>
    <row r="65" spans="1:10">
      <c r="A65" s="233" t="s">
        <v>441</v>
      </c>
      <c r="B65" s="234"/>
      <c r="C65" s="235"/>
      <c r="D65" s="236"/>
      <c r="E65" s="1276"/>
      <c r="F65" s="1321"/>
      <c r="G65" s="236"/>
      <c r="H65" s="236"/>
      <c r="I65" s="236"/>
      <c r="J65" s="237"/>
    </row>
    <row r="66" spans="1:10">
      <c r="A66" s="299" t="s">
        <v>442</v>
      </c>
      <c r="B66" s="300"/>
      <c r="C66" s="785"/>
      <c r="D66" s="786"/>
      <c r="E66" s="1381"/>
      <c r="F66" s="1327" t="s">
        <v>385</v>
      </c>
      <c r="G66" s="782" t="s">
        <v>385</v>
      </c>
      <c r="H66" s="782" t="s">
        <v>385</v>
      </c>
      <c r="I66" s="782" t="s">
        <v>385</v>
      </c>
      <c r="J66" s="783" t="s">
        <v>385</v>
      </c>
    </row>
    <row r="67" spans="1:10" ht="3" customHeight="1"/>
    <row r="68" spans="1:10">
      <c r="A68" s="243" t="s">
        <v>302</v>
      </c>
      <c r="B68" s="1311"/>
      <c r="C68" s="280"/>
      <c r="D68" s="281"/>
      <c r="E68" s="1291"/>
      <c r="F68" s="1328"/>
      <c r="G68" s="281"/>
      <c r="H68" s="281"/>
      <c r="I68" s="281"/>
      <c r="J68" s="282"/>
    </row>
    <row r="69" spans="1:10">
      <c r="A69" s="304" t="s">
        <v>443</v>
      </c>
      <c r="B69" s="855"/>
      <c r="C69" s="1383">
        <v>-166.68438219613321</v>
      </c>
      <c r="D69" s="919">
        <f>-'T4'!N103</f>
        <v>-10399.967789999999</v>
      </c>
      <c r="E69" s="859">
        <f>-'T4'!O161</f>
        <v>-31197.739202655848</v>
      </c>
      <c r="F69" s="858">
        <f>-'T4'!P161</f>
        <v>-5847.4033714322459</v>
      </c>
      <c r="G69" s="858">
        <f>-'T4'!Q161</f>
        <v>-3314.5763098988937</v>
      </c>
      <c r="H69" s="858">
        <f>-'T4'!R161</f>
        <v>-7894.4413850276333</v>
      </c>
      <c r="I69" s="858">
        <f>-'T4'!S161</f>
        <v>0</v>
      </c>
      <c r="J69" s="859">
        <f>-'T4'!T161</f>
        <v>0</v>
      </c>
    </row>
    <row r="70" spans="1:10">
      <c r="A70" s="272" t="s">
        <v>444</v>
      </c>
      <c r="B70" s="856"/>
      <c r="C70" s="1384"/>
      <c r="D70" s="857"/>
      <c r="E70" s="1385"/>
      <c r="F70" s="320">
        <v>0</v>
      </c>
      <c r="G70" s="320">
        <v>0</v>
      </c>
      <c r="H70" s="320">
        <v>0</v>
      </c>
      <c r="I70" s="320">
        <v>0</v>
      </c>
      <c r="J70" s="1549">
        <v>0</v>
      </c>
    </row>
    <row r="71" spans="1:10">
      <c r="A71" s="272" t="s">
        <v>445</v>
      </c>
      <c r="B71" s="856"/>
      <c r="C71" s="1384">
        <v>-7306.3912952168575</v>
      </c>
      <c r="D71" s="857">
        <v>-2637.4695319517432</v>
      </c>
      <c r="E71" s="829">
        <v>0</v>
      </c>
      <c r="F71" s="857">
        <v>0</v>
      </c>
      <c r="G71" s="857">
        <v>0</v>
      </c>
      <c r="H71" s="857">
        <v>0</v>
      </c>
      <c r="I71" s="857">
        <v>0</v>
      </c>
      <c r="J71" s="1550">
        <v>0</v>
      </c>
    </row>
    <row r="72" spans="1:10">
      <c r="A72" s="277" t="s">
        <v>446</v>
      </c>
      <c r="B72" s="831"/>
      <c r="C72" s="860"/>
      <c r="D72" s="861"/>
      <c r="E72" s="1386"/>
      <c r="F72" s="862" t="s">
        <v>385</v>
      </c>
      <c r="G72" s="862" t="s">
        <v>385</v>
      </c>
      <c r="H72" s="862" t="s">
        <v>385</v>
      </c>
      <c r="I72" s="862" t="s">
        <v>385</v>
      </c>
      <c r="J72" s="863" t="s">
        <v>385</v>
      </c>
    </row>
    <row r="73" spans="1:10">
      <c r="A73" s="307" t="s">
        <v>447</v>
      </c>
      <c r="B73" s="1318"/>
      <c r="C73" s="817">
        <f>SUM(C69:C72)</f>
        <v>-7473.0756774129904</v>
      </c>
      <c r="D73" s="817">
        <f t="shared" ref="D73:G73" si="3">SUM(D69:D72)</f>
        <v>-13037.437321951742</v>
      </c>
      <c r="E73" s="1387">
        <f t="shared" si="3"/>
        <v>-31197.739202655848</v>
      </c>
      <c r="F73" s="1382">
        <f t="shared" si="3"/>
        <v>-5847.4033714322459</v>
      </c>
      <c r="G73" s="817">
        <f t="shared" si="3"/>
        <v>-3314.5763098988937</v>
      </c>
      <c r="H73" s="817">
        <f t="shared" ref="H73:J73" si="4">SUM(H69:H72)</f>
        <v>-7894.4413850276333</v>
      </c>
      <c r="I73" s="817">
        <f t="shared" si="4"/>
        <v>0</v>
      </c>
      <c r="J73" s="817">
        <f t="shared" si="4"/>
        <v>0</v>
      </c>
    </row>
    <row r="74" spans="1:10" ht="3.95" customHeight="1">
      <c r="A74" s="310"/>
      <c r="B74" s="310"/>
      <c r="C74" s="312"/>
      <c r="D74" s="312"/>
      <c r="E74" s="312"/>
      <c r="F74" s="312"/>
      <c r="G74" s="312"/>
      <c r="H74" s="312"/>
      <c r="I74" s="312"/>
      <c r="J74" s="312"/>
    </row>
    <row r="75" spans="1:10">
      <c r="A75" s="233" t="s">
        <v>448</v>
      </c>
      <c r="B75" s="234"/>
      <c r="C75" s="280"/>
      <c r="D75" s="281"/>
      <c r="E75" s="281"/>
      <c r="F75" s="281"/>
      <c r="G75" s="281"/>
      <c r="H75" s="281"/>
      <c r="I75" s="281"/>
      <c r="J75" s="282"/>
    </row>
    <row r="76" spans="1:10" s="294" customFormat="1">
      <c r="A76" s="307" t="s">
        <v>449</v>
      </c>
      <c r="B76" s="308"/>
      <c r="C76" s="1031"/>
      <c r="D76" s="259"/>
      <c r="E76" s="259"/>
      <c r="F76" s="259" t="s">
        <v>385</v>
      </c>
      <c r="G76" s="259" t="s">
        <v>385</v>
      </c>
      <c r="H76" s="259" t="s">
        <v>385</v>
      </c>
      <c r="I76" s="259" t="s">
        <v>385</v>
      </c>
      <c r="J76" s="259" t="s">
        <v>385</v>
      </c>
    </row>
    <row r="77" spans="1:10" ht="9.9499999999999993" customHeight="1">
      <c r="A77" s="310"/>
      <c r="B77" s="310"/>
      <c r="C77" s="311"/>
      <c r="D77" s="311"/>
      <c r="E77" s="311"/>
      <c r="F77" s="312"/>
      <c r="G77" s="312"/>
      <c r="H77" s="312"/>
      <c r="I77" s="312"/>
      <c r="J77" s="312"/>
    </row>
    <row r="78" spans="1:10">
      <c r="A78" s="313" t="s">
        <v>450</v>
      </c>
      <c r="B78" s="314"/>
      <c r="C78" s="315">
        <f>C19+C28+C41+C46+C54+C63+C73</f>
        <v>366618.10693289351</v>
      </c>
      <c r="D78" s="315"/>
      <c r="E78" s="315"/>
      <c r="F78" s="315" t="s">
        <v>385</v>
      </c>
      <c r="G78" s="315" t="s">
        <v>385</v>
      </c>
      <c r="H78" s="315" t="s">
        <v>385</v>
      </c>
      <c r="I78" s="315" t="s">
        <v>385</v>
      </c>
      <c r="J78" s="315" t="s">
        <v>385</v>
      </c>
    </row>
    <row r="79" spans="1:10" ht="26.1" customHeight="1">
      <c r="A79" s="319"/>
      <c r="C79" s="918"/>
      <c r="D79" s="320"/>
      <c r="E79" s="320"/>
      <c r="F79" s="320"/>
      <c r="G79" s="320"/>
      <c r="H79" s="320"/>
      <c r="I79" s="320"/>
      <c r="J79" s="320"/>
    </row>
    <row r="80" spans="1:10">
      <c r="A80" s="1591" t="s">
        <v>451</v>
      </c>
      <c r="B80" s="1592"/>
      <c r="C80" s="228">
        <v>2020</v>
      </c>
      <c r="D80" s="229">
        <v>2021</v>
      </c>
      <c r="E80" s="1247">
        <v>2022</v>
      </c>
      <c r="F80" s="1536">
        <v>2023</v>
      </c>
      <c r="G80" s="229">
        <v>2024</v>
      </c>
      <c r="H80" s="229">
        <v>2025</v>
      </c>
      <c r="I80" s="229">
        <v>2026</v>
      </c>
      <c r="J80" s="230">
        <v>2027</v>
      </c>
    </row>
    <row r="81" spans="1:10">
      <c r="A81" s="261" t="s">
        <v>452</v>
      </c>
      <c r="B81" s="262"/>
      <c r="C81" s="321">
        <f>+C12</f>
        <v>689955.37778031058</v>
      </c>
      <c r="D81" s="322">
        <f>+D12</f>
        <v>674270.83242374472</v>
      </c>
      <c r="E81" s="323">
        <f>+E12</f>
        <v>688739.42261568108</v>
      </c>
      <c r="F81" s="321">
        <v>703643.46265621588</v>
      </c>
      <c r="G81" s="1329">
        <v>738494.46212513337</v>
      </c>
      <c r="H81" s="1329">
        <v>697714.85899213073</v>
      </c>
      <c r="I81" s="1329">
        <v>703666.46575536591</v>
      </c>
      <c r="J81" s="1538">
        <v>706076.36626265501</v>
      </c>
    </row>
    <row r="82" spans="1:10">
      <c r="A82" s="250" t="s">
        <v>453</v>
      </c>
      <c r="B82" s="251"/>
      <c r="C82" s="324">
        <f>'T3 ANSP'!E21</f>
        <v>-13078.944372610684</v>
      </c>
      <c r="D82" s="325">
        <f>'T3 ANSP'!F21</f>
        <v>-13954.402440005846</v>
      </c>
      <c r="E82" s="326">
        <f>'T3 ANSP'!G21</f>
        <v>-7512.170058296193</v>
      </c>
      <c r="F82" s="324">
        <v>-3914.361028390671</v>
      </c>
      <c r="G82" s="1326">
        <v>32556.479964808739</v>
      </c>
      <c r="H82" s="1326">
        <v>0</v>
      </c>
      <c r="I82" s="1326">
        <v>0</v>
      </c>
      <c r="J82" s="1539">
        <v>0</v>
      </c>
    </row>
    <row r="83" spans="1:10">
      <c r="A83" s="250" t="s">
        <v>454</v>
      </c>
      <c r="B83" s="251"/>
      <c r="C83" s="324">
        <f>'T3 ANSP'!E36</f>
        <v>-52778.573401516776</v>
      </c>
      <c r="D83" s="325">
        <f>'T3 ANSP'!F36</f>
        <v>-62084.313388410344</v>
      </c>
      <c r="E83" s="326">
        <f>'T3 ANSP'!G36</f>
        <v>0</v>
      </c>
      <c r="F83" s="1537">
        <v>65346.476245188795</v>
      </c>
      <c r="G83" s="1468">
        <v>29578.795884261832</v>
      </c>
      <c r="H83" s="1468">
        <v>115237.54613766778</v>
      </c>
      <c r="I83" s="1468">
        <v>123265.59707926802</v>
      </c>
      <c r="J83" s="1540">
        <v>127977.71420253582</v>
      </c>
    </row>
    <row r="84" spans="1:10">
      <c r="A84" s="272" t="s">
        <v>455</v>
      </c>
      <c r="B84" s="273"/>
      <c r="C84" s="324">
        <f>'T3 ANSP'!E107</f>
        <v>1590.6636098454458</v>
      </c>
      <c r="D84" s="325">
        <f>'T3 ANSP'!F107</f>
        <v>7943.6378231149201</v>
      </c>
      <c r="E84" s="326">
        <f>'T3 ANSP'!G107</f>
        <v>8029.8140000000003</v>
      </c>
      <c r="F84" s="1537">
        <v>2283.0143169463454</v>
      </c>
      <c r="G84" s="1468">
        <v>3829.1984852611135</v>
      </c>
      <c r="H84" s="1468">
        <v>-3907.1074723178081</v>
      </c>
      <c r="I84" s="1468">
        <v>4536.110501898017</v>
      </c>
      <c r="J84" s="1540">
        <v>4539.7939615766918</v>
      </c>
    </row>
    <row r="85" spans="1:10">
      <c r="A85" s="272" t="s">
        <v>456</v>
      </c>
      <c r="B85" s="273"/>
      <c r="C85" s="324">
        <f>'T3 ANSP'!E126</f>
        <v>-264.10899999999998</v>
      </c>
      <c r="D85" s="325">
        <f>'T3 ANSP'!F126</f>
        <v>228.011</v>
      </c>
      <c r="E85" s="326">
        <f>'T3 ANSP'!G126</f>
        <v>0</v>
      </c>
      <c r="F85" s="324">
        <v>0</v>
      </c>
      <c r="G85" s="1326">
        <v>0</v>
      </c>
      <c r="H85" s="1326">
        <v>0</v>
      </c>
      <c r="I85" s="1326">
        <v>0</v>
      </c>
      <c r="J85" s="1539">
        <v>0</v>
      </c>
    </row>
    <row r="86" spans="1:10">
      <c r="A86" s="272" t="s">
        <v>457</v>
      </c>
      <c r="B86" s="273"/>
      <c r="C86" s="324">
        <f>'T3 ANSP'!E141</f>
        <v>0</v>
      </c>
      <c r="D86" s="325">
        <f>'T3 ANSP'!F141</f>
        <v>0</v>
      </c>
      <c r="E86" s="326">
        <f>'T3 ANSP'!G141</f>
        <v>0</v>
      </c>
      <c r="F86" s="324">
        <v>2017.3576287694086</v>
      </c>
      <c r="G86" s="1326">
        <v>-17640.105882247113</v>
      </c>
      <c r="H86" s="1326">
        <v>-7498.1257344027299</v>
      </c>
      <c r="I86" s="1326">
        <v>389.92037605813397</v>
      </c>
      <c r="J86" s="1539">
        <v>23929.979247065192</v>
      </c>
    </row>
    <row r="87" spans="1:10">
      <c r="A87" s="272" t="s">
        <v>458</v>
      </c>
      <c r="B87" s="273"/>
      <c r="C87" s="324">
        <f>'T3 ANSP'!E166</f>
        <v>4076.59238370824</v>
      </c>
      <c r="D87" s="325">
        <f>'T3 ANSP'!F166</f>
        <v>13834.36575479722</v>
      </c>
      <c r="E87" s="326">
        <f>'T3 ANSP'!G166</f>
        <v>-40541.637261141688</v>
      </c>
      <c r="F87" s="324">
        <v>-38733.240924457947</v>
      </c>
      <c r="G87" s="1326">
        <v>-12474.114762320816</v>
      </c>
      <c r="H87" s="1326">
        <v>0</v>
      </c>
      <c r="I87" s="1326">
        <v>0</v>
      </c>
      <c r="J87" s="1539">
        <v>0</v>
      </c>
    </row>
    <row r="88" spans="1:10">
      <c r="A88" s="250" t="s">
        <v>459</v>
      </c>
      <c r="B88" s="251"/>
      <c r="C88" s="324">
        <f>'T3 ANSP'!E181+'T3 ANSP'!E196+'T3 ANSP'!E211+'T3 ANSP'!E226</f>
        <v>-7473.0756774129904</v>
      </c>
      <c r="D88" s="325">
        <f>'T3 ANSP'!F181+'T3 ANSP'!F196+'T3 ANSP'!F211+'T3 ANSP'!F226</f>
        <v>-13037.437321951742</v>
      </c>
      <c r="E88" s="326">
        <f>'T3 ANSP'!G181+'T3 ANSP'!G196+'T3 ANSP'!G211+'T3 ANSP'!G226</f>
        <v>-31197.739202655848</v>
      </c>
      <c r="F88" s="324">
        <v>0</v>
      </c>
      <c r="G88" s="1326">
        <v>0</v>
      </c>
      <c r="H88" s="1326">
        <v>0</v>
      </c>
      <c r="I88" s="1326">
        <v>0</v>
      </c>
      <c r="J88" s="1539">
        <v>0</v>
      </c>
    </row>
    <row r="89" spans="1:10">
      <c r="A89" s="250" t="s">
        <v>460</v>
      </c>
      <c r="B89" s="251"/>
      <c r="C89" s="324">
        <f>'T3 ANSP'!E248</f>
        <v>0</v>
      </c>
      <c r="D89" s="325">
        <f>'T3 ANSP'!F248</f>
        <v>0</v>
      </c>
      <c r="E89" s="326">
        <f>'T3 ANSP'!G248</f>
        <v>0</v>
      </c>
      <c r="F89" s="324">
        <v>0</v>
      </c>
      <c r="G89" s="1326">
        <v>0</v>
      </c>
      <c r="H89" s="1326">
        <v>0</v>
      </c>
      <c r="I89" s="1326">
        <v>0</v>
      </c>
      <c r="J89" s="1539">
        <v>0</v>
      </c>
    </row>
    <row r="90" spans="1:10">
      <c r="A90" s="272" t="s">
        <v>461</v>
      </c>
      <c r="B90" s="273"/>
      <c r="C90" s="327">
        <f>'T3 ANSP'!E237</f>
        <v>0</v>
      </c>
      <c r="D90" s="328">
        <f>'T3 ANSP'!F237</f>
        <v>0</v>
      </c>
      <c r="E90" s="329">
        <f>'T3 ANSP'!G237</f>
        <v>4630.4594271457227</v>
      </c>
      <c r="F90" s="327">
        <v>0</v>
      </c>
      <c r="G90" s="1330">
        <v>0</v>
      </c>
      <c r="H90" s="1330">
        <v>0</v>
      </c>
      <c r="I90" s="1330">
        <v>0</v>
      </c>
      <c r="J90" s="1541">
        <v>0</v>
      </c>
    </row>
    <row r="91" spans="1:10">
      <c r="A91" s="330" t="s">
        <v>462</v>
      </c>
      <c r="B91" s="331"/>
      <c r="C91" s="1304">
        <f>SUM(C81:C90)</f>
        <v>622027.93132232374</v>
      </c>
      <c r="D91" s="332">
        <f>SUM(D81:D90)</f>
        <v>607200.69385128899</v>
      </c>
      <c r="E91" s="332">
        <f>SUM(E81:E90)</f>
        <v>622148.14952073316</v>
      </c>
      <c r="F91" s="1301">
        <f>SUM(F81:F90)</f>
        <v>730642.70889427175</v>
      </c>
      <c r="G91" s="332">
        <f>SUM(G81:G90)</f>
        <v>774344.71581489721</v>
      </c>
      <c r="H91" s="332">
        <f t="shared" ref="H91:J91" si="5">SUM(H81:H90)</f>
        <v>801547.17192307801</v>
      </c>
      <c r="I91" s="332">
        <f t="shared" si="5"/>
        <v>831858.09371259005</v>
      </c>
      <c r="J91" s="332">
        <f t="shared" si="5"/>
        <v>862523.85367383261</v>
      </c>
    </row>
    <row r="92" spans="1:10">
      <c r="A92" s="270" t="s">
        <v>463</v>
      </c>
      <c r="B92" s="271"/>
      <c r="C92" s="1290">
        <f>'T1 ANSP'!K68</f>
        <v>12647.945</v>
      </c>
      <c r="D92" s="290">
        <f>'T1 ANSP'!L68</f>
        <v>12891</v>
      </c>
      <c r="E92" s="290">
        <f>'T1 ANSP'!M68</f>
        <v>13183</v>
      </c>
      <c r="F92" s="290">
        <f>'T1 ANSP'!N68</f>
        <v>11715</v>
      </c>
      <c r="G92" s="290">
        <f>'T1 ANSP'!O68</f>
        <v>12228</v>
      </c>
      <c r="H92" s="290">
        <f>'T1 ANSP'!P68</f>
        <v>12424</v>
      </c>
      <c r="I92" s="290">
        <f>'T1 ANSP'!Q68</f>
        <v>12641</v>
      </c>
      <c r="J92" s="290">
        <f>'T1 ANSP'!R68</f>
        <v>12850</v>
      </c>
    </row>
    <row r="93" spans="1:10">
      <c r="A93" s="270" t="s">
        <v>464</v>
      </c>
      <c r="B93" s="271"/>
      <c r="C93" s="1305">
        <f>C91/C92</f>
        <v>49.180157829775808</v>
      </c>
      <c r="D93" s="333">
        <f t="shared" ref="D93:G93" si="6">D91/D92</f>
        <v>47.102683566153829</v>
      </c>
      <c r="E93" s="333">
        <f t="shared" si="6"/>
        <v>47.193214709909213</v>
      </c>
      <c r="F93" s="333">
        <f t="shared" si="6"/>
        <v>62.368135629045817</v>
      </c>
      <c r="G93" s="333">
        <f t="shared" si="6"/>
        <v>63.325541038182628</v>
      </c>
      <c r="H93" s="333">
        <f t="shared" ref="H93:J93" si="7">H91/H92</f>
        <v>64.516031223686255</v>
      </c>
      <c r="I93" s="333">
        <f t="shared" si="7"/>
        <v>65.806351848159963</v>
      </c>
      <c r="J93" s="333">
        <f t="shared" si="7"/>
        <v>67.122478885123158</v>
      </c>
    </row>
    <row r="94" spans="1:10">
      <c r="A94" s="270" t="s">
        <v>465</v>
      </c>
      <c r="B94" s="271"/>
      <c r="C94" s="1306">
        <v>0</v>
      </c>
      <c r="D94" s="334"/>
      <c r="E94" s="334"/>
      <c r="F94" s="334"/>
      <c r="G94" s="334"/>
      <c r="H94" s="334"/>
      <c r="I94" s="334"/>
      <c r="J94" s="335"/>
    </row>
    <row r="95" spans="1:10" ht="9.9499999999999993" customHeight="1">
      <c r="A95" s="310"/>
      <c r="B95" s="310"/>
      <c r="C95" s="311"/>
      <c r="D95" s="311"/>
      <c r="E95" s="311"/>
      <c r="F95" s="311"/>
      <c r="G95" s="311"/>
      <c r="H95" s="311"/>
      <c r="I95" s="311"/>
      <c r="J95" s="311"/>
    </row>
    <row r="96" spans="1:10">
      <c r="A96" s="336" t="s">
        <v>466</v>
      </c>
      <c r="B96" s="314"/>
      <c r="C96" s="337">
        <f>C93+C94</f>
        <v>49.180157829775808</v>
      </c>
      <c r="D96" s="337">
        <f t="shared" ref="D96:G96" si="8">D93+D94</f>
        <v>47.102683566153829</v>
      </c>
      <c r="E96" s="787">
        <f t="shared" si="8"/>
        <v>47.193214709909213</v>
      </c>
      <c r="F96" s="337">
        <f t="shared" si="8"/>
        <v>62.368135629045817</v>
      </c>
      <c r="G96" s="337">
        <f t="shared" si="8"/>
        <v>63.325541038182628</v>
      </c>
      <c r="H96" s="337">
        <f t="shared" ref="H96:J96" si="9">H93+H94</f>
        <v>64.516031223686255</v>
      </c>
      <c r="I96" s="337">
        <f t="shared" si="9"/>
        <v>65.806351848159963</v>
      </c>
      <c r="J96" s="787">
        <f t="shared" si="9"/>
        <v>67.122478885123158</v>
      </c>
    </row>
    <row r="97" spans="1:10">
      <c r="A97" s="319"/>
      <c r="C97" s="312"/>
      <c r="D97" s="312"/>
      <c r="E97" s="312"/>
      <c r="F97" s="338">
        <v>65.25</v>
      </c>
      <c r="G97" s="338">
        <v>66.44</v>
      </c>
      <c r="H97" s="338">
        <v>67.67</v>
      </c>
      <c r="I97" s="338">
        <v>68.94</v>
      </c>
      <c r="J97" s="338">
        <v>70.290000000000006</v>
      </c>
    </row>
    <row r="98" spans="1:10">
      <c r="A98" s="222" t="s">
        <v>467</v>
      </c>
      <c r="B98" s="231"/>
      <c r="C98" s="338"/>
      <c r="D98" s="338"/>
      <c r="E98" s="338"/>
      <c r="F98" s="338">
        <v>-8.9310554480982463E-3</v>
      </c>
      <c r="G98" s="338"/>
      <c r="H98" s="338"/>
      <c r="I98" s="338"/>
      <c r="J98" s="338"/>
    </row>
    <row r="99" spans="1:10">
      <c r="A99" s="339" t="s">
        <v>468</v>
      </c>
      <c r="B99" s="231"/>
      <c r="C99" s="340"/>
      <c r="D99" s="340"/>
      <c r="E99" s="340"/>
      <c r="F99" s="340"/>
      <c r="G99" s="340"/>
      <c r="H99" s="340"/>
      <c r="I99" s="340"/>
      <c r="J99" s="340"/>
    </row>
    <row r="100" spans="1:10">
      <c r="A100" s="339"/>
      <c r="B100" s="231"/>
      <c r="C100" s="338"/>
      <c r="D100" s="338"/>
      <c r="E100" s="338"/>
      <c r="F100" s="338"/>
      <c r="G100" s="338"/>
      <c r="H100" s="338"/>
      <c r="I100" s="338"/>
      <c r="J100" s="338"/>
    </row>
    <row r="101" spans="1:10">
      <c r="E101" s="1482" t="s">
        <v>478</v>
      </c>
      <c r="F101" s="1471">
        <v>62.368135629045817</v>
      </c>
      <c r="G101" s="1471">
        <v>63.325541038182621</v>
      </c>
      <c r="H101" s="1471">
        <v>64.516031223686255</v>
      </c>
      <c r="I101" s="1471">
        <v>65.806351848159963</v>
      </c>
      <c r="J101" s="1471">
        <v>67.122478885123158</v>
      </c>
    </row>
    <row r="102" spans="1:10">
      <c r="E102" s="1482"/>
      <c r="F102" s="1472">
        <f>F96-F101</f>
        <v>0</v>
      </c>
      <c r="G102" s="1472">
        <f>G96-G101</f>
        <v>0</v>
      </c>
      <c r="H102" s="1472">
        <f>H96-H101</f>
        <v>0</v>
      </c>
      <c r="I102" s="1472">
        <f t="shared" ref="I102:J102" si="10">I96-I101</f>
        <v>0</v>
      </c>
      <c r="J102" s="1472">
        <f t="shared" si="10"/>
        <v>0</v>
      </c>
    </row>
    <row r="103" spans="1:10">
      <c r="E103" s="1482"/>
    </row>
    <row r="104" spans="1:10">
      <c r="E104" s="1482"/>
    </row>
    <row r="105" spans="1:10">
      <c r="E105" s="1482" t="s">
        <v>479</v>
      </c>
      <c r="F105" s="1479">
        <v>730642.70889427175</v>
      </c>
      <c r="G105" s="1479">
        <v>774344.71581489709</v>
      </c>
      <c r="H105" s="1479">
        <v>801547.17192307801</v>
      </c>
      <c r="I105" s="1479">
        <v>831858.09371259017</v>
      </c>
      <c r="J105" s="1479">
        <v>862523.85367383261</v>
      </c>
    </row>
    <row r="106" spans="1:10">
      <c r="E106" s="1482"/>
      <c r="F106" s="295">
        <f>F105-F91</f>
        <v>0</v>
      </c>
      <c r="G106" s="295">
        <f t="shared" ref="G106:J106" si="11">G105-G91</f>
        <v>0</v>
      </c>
      <c r="H106" s="295">
        <f t="shared" si="11"/>
        <v>0</v>
      </c>
      <c r="I106" s="295">
        <f t="shared" si="11"/>
        <v>0</v>
      </c>
      <c r="J106" s="295">
        <f t="shared" si="11"/>
        <v>0</v>
      </c>
    </row>
    <row r="107" spans="1:10">
      <c r="E107" s="1482"/>
    </row>
    <row r="108" spans="1:10">
      <c r="E108" s="1482"/>
    </row>
    <row r="109" spans="1:10">
      <c r="E109" s="1482" t="s">
        <v>480</v>
      </c>
      <c r="F109" s="1479">
        <v>703643.46265621576</v>
      </c>
      <c r="G109" s="1479">
        <v>738494.46212513337</v>
      </c>
      <c r="H109" s="1479">
        <v>697714.85899213073</v>
      </c>
      <c r="I109" s="1479">
        <v>703666.46575536591</v>
      </c>
      <c r="J109" s="1479">
        <v>706076.36626265489</v>
      </c>
    </row>
    <row r="110" spans="1:10">
      <c r="E110" s="1482"/>
      <c r="F110" s="1480">
        <f>F109-F81</f>
        <v>0</v>
      </c>
      <c r="G110" s="1480">
        <f t="shared" ref="G110:J110" si="12">G109-G81</f>
        <v>0</v>
      </c>
      <c r="H110" s="1480">
        <f t="shared" si="12"/>
        <v>0</v>
      </c>
      <c r="I110" s="1480">
        <f t="shared" si="12"/>
        <v>0</v>
      </c>
      <c r="J110" s="1480">
        <f t="shared" si="12"/>
        <v>0</v>
      </c>
    </row>
    <row r="111" spans="1:10">
      <c r="E111" s="1482"/>
    </row>
    <row r="112" spans="1:10">
      <c r="E112" s="1482" t="s">
        <v>481</v>
      </c>
      <c r="F112" s="1479">
        <v>-3914.361028390671</v>
      </c>
      <c r="G112" s="1479">
        <v>32556.479964808736</v>
      </c>
      <c r="H112" s="1479">
        <v>0</v>
      </c>
      <c r="I112" s="1479">
        <v>0</v>
      </c>
      <c r="J112" s="1479">
        <v>0</v>
      </c>
    </row>
    <row r="113" spans="5:10">
      <c r="E113" s="1482"/>
      <c r="F113" s="1481">
        <f>F112-F82</f>
        <v>0</v>
      </c>
      <c r="G113" s="1481">
        <f t="shared" ref="G113:J113" si="13">G112-G82</f>
        <v>0</v>
      </c>
      <c r="H113" s="1481">
        <f t="shared" si="13"/>
        <v>0</v>
      </c>
      <c r="I113" s="1481">
        <f t="shared" si="13"/>
        <v>0</v>
      </c>
      <c r="J113" s="1481">
        <f t="shared" si="13"/>
        <v>0</v>
      </c>
    </row>
    <row r="114" spans="5:10">
      <c r="E114" s="1482"/>
    </row>
    <row r="115" spans="5:10">
      <c r="E115" s="1482" t="s">
        <v>482</v>
      </c>
      <c r="F115" s="1479">
        <v>65346.476245188795</v>
      </c>
      <c r="G115" s="1479">
        <v>29578.795884261832</v>
      </c>
      <c r="H115" s="1479">
        <v>115237.54613766778</v>
      </c>
      <c r="I115" s="1479">
        <v>123265.59707926802</v>
      </c>
      <c r="J115" s="1479">
        <v>127977.71420253582</v>
      </c>
    </row>
    <row r="116" spans="5:10">
      <c r="E116" s="1482"/>
      <c r="F116" s="1480">
        <f>F115-F83</f>
        <v>0</v>
      </c>
      <c r="G116" s="1480">
        <f t="shared" ref="G116:J116" si="14">G115-G83</f>
        <v>0</v>
      </c>
      <c r="H116" s="1480">
        <f t="shared" si="14"/>
        <v>0</v>
      </c>
      <c r="I116" s="1480">
        <f t="shared" si="14"/>
        <v>0</v>
      </c>
      <c r="J116" s="1480">
        <f t="shared" si="14"/>
        <v>0</v>
      </c>
    </row>
    <row r="117" spans="5:10">
      <c r="E117" s="1482"/>
    </row>
    <row r="118" spans="5:10">
      <c r="E118" s="1482" t="s">
        <v>483</v>
      </c>
      <c r="F118" s="1479">
        <v>2283.0143169463445</v>
      </c>
      <c r="G118" s="1479">
        <v>3829.1984852611145</v>
      </c>
      <c r="H118" s="1479">
        <v>-3907.107472317809</v>
      </c>
      <c r="I118" s="1479">
        <v>4536.110501898017</v>
      </c>
      <c r="J118" s="1479">
        <v>4539.7939615766918</v>
      </c>
    </row>
    <row r="119" spans="5:10">
      <c r="E119" s="1482"/>
      <c r="F119" s="1481">
        <f>F118-F84</f>
        <v>0</v>
      </c>
      <c r="G119" s="1481">
        <f t="shared" ref="G119:J119" si="15">G118-G84</f>
        <v>0</v>
      </c>
      <c r="H119" s="1481">
        <f t="shared" si="15"/>
        <v>0</v>
      </c>
      <c r="I119" s="1481">
        <f t="shared" si="15"/>
        <v>0</v>
      </c>
      <c r="J119" s="1481">
        <f t="shared" si="15"/>
        <v>0</v>
      </c>
    </row>
    <row r="120" spans="5:10">
      <c r="E120" s="1482"/>
    </row>
    <row r="121" spans="5:10">
      <c r="E121" s="1482" t="s">
        <v>484</v>
      </c>
      <c r="F121" s="1479">
        <v>2017.3576287694086</v>
      </c>
      <c r="G121" s="1479">
        <v>-17640.105882247113</v>
      </c>
      <c r="H121" s="1479">
        <v>-7498.1257344027299</v>
      </c>
      <c r="I121" s="1479">
        <v>389.92037605813397</v>
      </c>
      <c r="J121" s="1479">
        <v>23929.979247065192</v>
      </c>
    </row>
    <row r="122" spans="5:10">
      <c r="E122" s="1482"/>
      <c r="F122" s="1481">
        <f>F121-F86</f>
        <v>0</v>
      </c>
      <c r="G122" s="1481">
        <f t="shared" ref="G122:J122" si="16">G121-G86</f>
        <v>0</v>
      </c>
      <c r="H122" s="1481">
        <f t="shared" si="16"/>
        <v>0</v>
      </c>
      <c r="I122" s="1481">
        <f t="shared" si="16"/>
        <v>0</v>
      </c>
      <c r="J122" s="1481">
        <f t="shared" si="16"/>
        <v>0</v>
      </c>
    </row>
    <row r="123" spans="5:10">
      <c r="E123" s="1482"/>
    </row>
    <row r="124" spans="5:10">
      <c r="E124" s="1482" t="s">
        <v>302</v>
      </c>
      <c r="F124" s="1479"/>
      <c r="G124" s="1479"/>
      <c r="H124" s="1479"/>
      <c r="I124" s="1479"/>
      <c r="J124" s="1479"/>
    </row>
    <row r="125" spans="5:10">
      <c r="F125" s="1481">
        <f>F124-F88</f>
        <v>0</v>
      </c>
      <c r="G125" s="1481">
        <f t="shared" ref="G125:J125" si="17">G124-G88</f>
        <v>0</v>
      </c>
      <c r="H125" s="1481">
        <f t="shared" si="17"/>
        <v>0</v>
      </c>
      <c r="I125" s="1481">
        <f t="shared" si="17"/>
        <v>0</v>
      </c>
      <c r="J125" s="1481">
        <f t="shared" si="17"/>
        <v>0</v>
      </c>
    </row>
    <row r="127" spans="5:10">
      <c r="E127" s="222" t="s">
        <v>485</v>
      </c>
      <c r="F127" s="1479">
        <v>-38733.240924457947</v>
      </c>
      <c r="G127" s="1479">
        <v>-12474.114762320816</v>
      </c>
      <c r="H127" s="1479">
        <v>0</v>
      </c>
      <c r="I127" s="1479">
        <v>0</v>
      </c>
      <c r="J127" s="1479">
        <v>0</v>
      </c>
    </row>
    <row r="128" spans="5:10">
      <c r="F128" s="1481">
        <f>F127-F87</f>
        <v>0</v>
      </c>
      <c r="G128" s="1481">
        <f t="shared" ref="G128:J128" si="18">G127-G87</f>
        <v>0</v>
      </c>
      <c r="H128" s="1481">
        <f t="shared" si="18"/>
        <v>0</v>
      </c>
      <c r="I128" s="1481">
        <f t="shared" si="18"/>
        <v>0</v>
      </c>
      <c r="J128" s="1481">
        <f t="shared" si="18"/>
        <v>0</v>
      </c>
    </row>
  </sheetData>
  <mergeCells count="5">
    <mergeCell ref="A7:B7"/>
    <mergeCell ref="A80:B80"/>
    <mergeCell ref="C5:E5"/>
    <mergeCell ref="F5:J5"/>
    <mergeCell ref="A1:J1"/>
  </mergeCells>
  <pageMargins left="0.7" right="0.7" top="0.75" bottom="0.75" header="0.3" footer="0.3"/>
  <pageSetup paperSize="9" scale="27" orientation="portrait" r:id="rId1"/>
  <customProperties>
    <customPr name="_pios_id" r:id="rId2"/>
  </customPropertie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00"/>
  <sheetViews>
    <sheetView showGridLines="0" zoomScaleNormal="100" workbookViewId="0">
      <pane xSplit="2" ySplit="10" topLeftCell="I11" activePane="bottomRight" state="frozen"/>
      <selection pane="topRight" activeCell="C1" sqref="C1"/>
      <selection pane="bottomLeft" activeCell="A11" sqref="A11"/>
      <selection pane="bottomRight" activeCell="K13" sqref="K13"/>
    </sheetView>
  </sheetViews>
  <sheetFormatPr defaultColWidth="8.85546875" defaultRowHeight="12.75"/>
  <cols>
    <col min="1" max="1" width="24" style="222" customWidth="1"/>
    <col min="2" max="2" width="49.5703125" style="222" customWidth="1"/>
    <col min="3" max="7" width="12.5703125" style="222" customWidth="1"/>
    <col min="8" max="10" width="10.5703125" style="220" customWidth="1"/>
    <col min="11" max="11" width="8.85546875" style="220" bestFit="1" customWidth="1"/>
    <col min="12" max="12" width="1.5703125" style="220" customWidth="1"/>
    <col min="13" max="16384" width="8.85546875" style="220"/>
  </cols>
  <sheetData>
    <row r="1" spans="1:10">
      <c r="A1" s="1596" t="s">
        <v>394</v>
      </c>
      <c r="B1" s="1596"/>
      <c r="C1" s="1596"/>
      <c r="D1" s="1596"/>
      <c r="E1" s="1596"/>
      <c r="F1" s="1596"/>
      <c r="G1" s="1596"/>
      <c r="H1" s="1596"/>
      <c r="I1" s="1596"/>
      <c r="J1" s="1596"/>
    </row>
    <row r="2" spans="1:10">
      <c r="A2" s="221"/>
      <c r="B2" s="221"/>
      <c r="G2" s="223"/>
    </row>
    <row r="3" spans="1:10">
      <c r="A3" s="224" t="str">
        <f>'T1 MET'!A3</f>
        <v>United Kingdom</v>
      </c>
      <c r="B3" s="792" t="s">
        <v>395</v>
      </c>
      <c r="C3" s="220"/>
      <c r="D3" s="220"/>
      <c r="E3" s="225"/>
      <c r="F3" s="220"/>
      <c r="G3" s="220"/>
    </row>
    <row r="4" spans="1:10">
      <c r="A4" s="226" t="str">
        <f>'T1 MET'!A4</f>
        <v>Currency : GBP £</v>
      </c>
      <c r="C4" s="220"/>
      <c r="D4" s="220"/>
      <c r="E4" s="225"/>
      <c r="F4" s="220"/>
      <c r="G4" s="220"/>
    </row>
    <row r="5" spans="1:10">
      <c r="A5" s="227" t="str">
        <f>'T1 MET'!A5</f>
        <v>Met Office</v>
      </c>
      <c r="C5" s="1593" t="s">
        <v>127</v>
      </c>
      <c r="D5" s="1594"/>
      <c r="E5" s="1594"/>
      <c r="F5" s="1593" t="s">
        <v>396</v>
      </c>
      <c r="G5" s="1594"/>
      <c r="H5" s="1594"/>
      <c r="I5" s="1594"/>
      <c r="J5" s="1595"/>
    </row>
    <row r="7" spans="1:10">
      <c r="A7" s="1591" t="s">
        <v>397</v>
      </c>
      <c r="B7" s="1597"/>
      <c r="C7" s="228">
        <v>2020</v>
      </c>
      <c r="D7" s="229">
        <v>2021</v>
      </c>
      <c r="E7" s="1247">
        <v>2022</v>
      </c>
      <c r="F7" s="1246">
        <v>2023</v>
      </c>
      <c r="G7" s="230">
        <v>2024</v>
      </c>
      <c r="H7" s="229">
        <v>2025</v>
      </c>
      <c r="I7" s="230">
        <v>2026</v>
      </c>
      <c r="J7" s="1247">
        <v>2027</v>
      </c>
    </row>
    <row r="8" spans="1:10">
      <c r="C8" s="250"/>
      <c r="E8" s="251"/>
      <c r="F8" s="250"/>
      <c r="H8" s="222"/>
      <c r="I8" s="222"/>
      <c r="J8" s="251"/>
    </row>
    <row r="9" spans="1:10">
      <c r="A9" s="231" t="s">
        <v>398</v>
      </c>
      <c r="B9" s="231"/>
      <c r="C9" s="1274"/>
      <c r="D9" s="232"/>
      <c r="E9" s="1275"/>
      <c r="F9" s="1274"/>
      <c r="G9" s="232"/>
      <c r="H9" s="232"/>
      <c r="I9" s="232"/>
      <c r="J9" s="1275"/>
    </row>
    <row r="10" spans="1:10" ht="3" customHeight="1">
      <c r="C10" s="250"/>
      <c r="E10" s="251"/>
      <c r="F10" s="250"/>
      <c r="H10" s="222"/>
      <c r="I10" s="222"/>
      <c r="J10" s="251"/>
    </row>
    <row r="11" spans="1:10">
      <c r="A11" s="233" t="s">
        <v>399</v>
      </c>
      <c r="B11" s="1309"/>
      <c r="C11" s="235"/>
      <c r="D11" s="236"/>
      <c r="E11" s="1276"/>
      <c r="F11" s="235"/>
      <c r="G11" s="236"/>
      <c r="H11" s="236"/>
      <c r="I11" s="236"/>
      <c r="J11" s="1276"/>
    </row>
    <row r="12" spans="1:10">
      <c r="A12" s="238" t="s">
        <v>400</v>
      </c>
      <c r="B12" s="1310"/>
      <c r="C12" s="341">
        <f>+'T1 MET'!K61</f>
        <v>30937.954929357504</v>
      </c>
      <c r="D12" s="342">
        <f>+'T1 MET'!L61</f>
        <v>30193.924055224317</v>
      </c>
      <c r="E12" s="343">
        <f>+'T1 MET'!M61</f>
        <v>31631.804677089873</v>
      </c>
      <c r="F12" s="341">
        <f>+'T1 MET'!N61</f>
        <v>33079.187312470771</v>
      </c>
      <c r="G12" s="342">
        <f>+'T1 MET'!O61</f>
        <v>38640.665612974866</v>
      </c>
      <c r="H12" s="342">
        <f>+'T1 MET'!P61</f>
        <v>39501.623145362442</v>
      </c>
      <c r="I12" s="342">
        <f>+'T1 MET'!Q61</f>
        <v>39933.780782552552</v>
      </c>
      <c r="J12" s="343">
        <f>+'T1 MET'!R61</f>
        <v>39875.598678985043</v>
      </c>
    </row>
    <row r="13" spans="1:10" ht="3" customHeight="1">
      <c r="C13" s="1296"/>
      <c r="D13" s="295"/>
      <c r="E13" s="276"/>
      <c r="F13" s="1296"/>
      <c r="G13" s="295"/>
      <c r="H13" s="295"/>
      <c r="I13" s="295"/>
      <c r="J13" s="276"/>
    </row>
    <row r="14" spans="1:10">
      <c r="A14" s="243" t="s">
        <v>401</v>
      </c>
      <c r="B14" s="1311"/>
      <c r="C14" s="302"/>
      <c r="D14" s="303"/>
      <c r="E14" s="1299"/>
      <c r="F14" s="302"/>
      <c r="G14" s="303"/>
      <c r="H14" s="303"/>
      <c r="I14" s="303"/>
      <c r="J14" s="1299"/>
    </row>
    <row r="15" spans="1:10">
      <c r="A15" s="245" t="s">
        <v>402</v>
      </c>
      <c r="B15" s="814"/>
      <c r="C15" s="822">
        <f>C12</f>
        <v>30937.954929357504</v>
      </c>
      <c r="D15" s="823">
        <f t="shared" ref="D15:G15" si="0">D12</f>
        <v>30193.924055224317</v>
      </c>
      <c r="E15" s="824">
        <f t="shared" si="0"/>
        <v>31631.804677089873</v>
      </c>
      <c r="F15" s="822">
        <f t="shared" si="0"/>
        <v>33079.187312470771</v>
      </c>
      <c r="G15" s="823">
        <f t="shared" si="0"/>
        <v>38640.665612974866</v>
      </c>
      <c r="H15" s="823">
        <f t="shared" ref="H15:J15" si="1">H12</f>
        <v>39501.623145362442</v>
      </c>
      <c r="I15" s="823">
        <f t="shared" si="1"/>
        <v>39933.780782552552</v>
      </c>
      <c r="J15" s="824">
        <f t="shared" si="1"/>
        <v>39875.598678985043</v>
      </c>
    </row>
    <row r="16" spans="1:10">
      <c r="A16" s="250" t="s">
        <v>403</v>
      </c>
      <c r="C16" s="820">
        <f>'T1'!K65</f>
        <v>106.44304700754894</v>
      </c>
      <c r="D16" s="819">
        <f>+'T1 ANSP'!L65</f>
        <v>108.5719079476999</v>
      </c>
      <c r="E16" s="249">
        <f>+'T1 ANSP'!M65</f>
        <v>110.74334610665392</v>
      </c>
      <c r="F16" s="1557">
        <f>+'T1 ANSP'!N65</f>
        <v>115.21954018486758</v>
      </c>
      <c r="G16" s="1563">
        <f>+'T1 ANSP'!O65</f>
        <v>116.98826086087693</v>
      </c>
      <c r="H16" s="1563">
        <f>+'T1 ANSP'!P65</f>
        <v>119.187584768588</v>
      </c>
      <c r="I16" s="1563">
        <f>+'T1 ANSP'!Q65</f>
        <v>121.57133646395974</v>
      </c>
      <c r="J16" s="1555">
        <f>+'T1 ANSP'!R65</f>
        <v>124.00276319323888</v>
      </c>
    </row>
    <row r="17" spans="1:10">
      <c r="A17" s="250" t="s">
        <v>404</v>
      </c>
      <c r="C17" s="820">
        <f>'T1 MET'!T65</f>
        <v>105.28410499999997</v>
      </c>
      <c r="D17" s="295">
        <f>'T1 MET'!U65</f>
        <v>108.02149172999997</v>
      </c>
      <c r="E17" s="276"/>
      <c r="F17" s="1557"/>
      <c r="G17" s="1558"/>
      <c r="H17" s="1558"/>
      <c r="I17" s="1558"/>
      <c r="J17" s="1559"/>
    </row>
    <row r="18" spans="1:10">
      <c r="A18" s="255" t="s">
        <v>405</v>
      </c>
      <c r="B18" s="815"/>
      <c r="C18" s="1331">
        <f>+C17/C16-1</f>
        <v>-1.0887907102723027E-2</v>
      </c>
      <c r="D18" s="821">
        <f>+D17/D16-1</f>
        <v>-5.0696006739153754E-3</v>
      </c>
      <c r="E18" s="1332"/>
      <c r="F18" s="1552"/>
      <c r="G18" s="1561"/>
      <c r="H18" s="1561"/>
      <c r="I18" s="1561"/>
      <c r="J18" s="1562"/>
    </row>
    <row r="19" spans="1:10">
      <c r="A19" s="238" t="s">
        <v>406</v>
      </c>
      <c r="B19" s="1310"/>
      <c r="C19" s="240">
        <f>+C15*C18</f>
        <v>-336.84957921907642</v>
      </c>
      <c r="D19" s="818">
        <f>+D15*D18</f>
        <v>-153.07113773851486</v>
      </c>
      <c r="E19" s="1333"/>
      <c r="F19" s="1564"/>
      <c r="G19" s="818"/>
      <c r="H19" s="818"/>
      <c r="I19" s="818"/>
      <c r="J19" s="1333"/>
    </row>
    <row r="20" spans="1:10" ht="3" customHeight="1">
      <c r="C20" s="250"/>
      <c r="E20" s="251"/>
      <c r="F20" s="250"/>
      <c r="H20" s="222"/>
      <c r="I20" s="222"/>
      <c r="J20" s="251"/>
    </row>
    <row r="21" spans="1:10">
      <c r="A21" s="233" t="s">
        <v>407</v>
      </c>
      <c r="B21" s="1309"/>
      <c r="C21" s="235"/>
      <c r="D21" s="236"/>
      <c r="E21" s="1276"/>
      <c r="F21" s="235"/>
      <c r="G21" s="236"/>
      <c r="H21" s="236"/>
      <c r="I21" s="236"/>
      <c r="J21" s="1276"/>
    </row>
    <row r="22" spans="1:10">
      <c r="A22" s="261" t="s">
        <v>408</v>
      </c>
      <c r="B22" s="1312"/>
      <c r="C22" s="345">
        <v>0</v>
      </c>
      <c r="D22" s="346"/>
      <c r="E22" s="1334"/>
      <c r="F22" s="1553"/>
      <c r="G22" s="1554"/>
      <c r="H22" s="1554"/>
      <c r="I22" s="1554"/>
      <c r="J22" s="1555"/>
    </row>
    <row r="23" spans="1:10">
      <c r="A23" s="265" t="s">
        <v>409</v>
      </c>
      <c r="B23" s="1313"/>
      <c r="C23" s="347"/>
      <c r="D23" s="348"/>
      <c r="E23" s="1335"/>
      <c r="F23" s="1354"/>
      <c r="G23" s="348"/>
      <c r="H23" s="348"/>
      <c r="I23" s="348"/>
      <c r="J23" s="1335"/>
    </row>
    <row r="24" spans="1:10">
      <c r="A24" s="265" t="s">
        <v>410</v>
      </c>
      <c r="B24" s="1313"/>
      <c r="C24" s="351"/>
      <c r="D24" s="352"/>
      <c r="E24" s="1336"/>
      <c r="F24" s="1354"/>
      <c r="G24" s="352"/>
      <c r="H24" s="352"/>
      <c r="I24" s="352"/>
      <c r="J24" s="1336"/>
    </row>
    <row r="25" spans="1:10">
      <c r="A25" s="265" t="s">
        <v>411</v>
      </c>
      <c r="B25" s="1313"/>
      <c r="C25" s="353">
        <v>0</v>
      </c>
      <c r="D25" s="354"/>
      <c r="E25" s="1337"/>
      <c r="F25" s="1557"/>
      <c r="G25" s="1558"/>
      <c r="H25" s="1558"/>
      <c r="I25" s="1558"/>
      <c r="J25" s="1559"/>
    </row>
    <row r="26" spans="1:10">
      <c r="A26" s="265" t="s">
        <v>412</v>
      </c>
      <c r="B26" s="1313"/>
      <c r="C26" s="353">
        <v>0</v>
      </c>
      <c r="D26" s="354"/>
      <c r="E26" s="1337"/>
      <c r="F26" s="1557"/>
      <c r="G26" s="1558"/>
      <c r="H26" s="1558"/>
      <c r="I26" s="1558"/>
      <c r="J26" s="1559"/>
    </row>
    <row r="27" spans="1:10">
      <c r="A27" s="265" t="s">
        <v>413</v>
      </c>
      <c r="B27" s="1313"/>
      <c r="C27" s="353">
        <v>0</v>
      </c>
      <c r="D27" s="354"/>
      <c r="E27" s="1560"/>
      <c r="F27" s="1552"/>
      <c r="G27" s="1561"/>
      <c r="H27" s="1561"/>
      <c r="I27" s="1561"/>
      <c r="J27" s="1562"/>
    </row>
    <row r="28" spans="1:10">
      <c r="A28" s="270" t="s">
        <v>414</v>
      </c>
      <c r="B28" s="1314"/>
      <c r="C28" s="240">
        <f>SUM(C22:C27)</f>
        <v>0</v>
      </c>
      <c r="D28" s="241"/>
      <c r="E28" s="242"/>
      <c r="F28" s="1564"/>
      <c r="G28" s="1551"/>
      <c r="H28" s="1551"/>
      <c r="I28" s="1551"/>
      <c r="J28" s="1556"/>
    </row>
    <row r="29" spans="1:10" ht="10.9" customHeight="1">
      <c r="C29" s="250"/>
      <c r="E29" s="251"/>
      <c r="F29" s="250"/>
      <c r="H29" s="222"/>
      <c r="I29" s="222"/>
      <c r="J29" s="251"/>
    </row>
    <row r="30" spans="1:10">
      <c r="A30" s="231" t="s">
        <v>415</v>
      </c>
      <c r="B30" s="231"/>
      <c r="C30" s="1274"/>
      <c r="D30" s="232"/>
      <c r="E30" s="1275"/>
      <c r="F30" s="1274"/>
      <c r="G30" s="232"/>
      <c r="H30" s="232"/>
      <c r="I30" s="232"/>
      <c r="J30" s="1275"/>
    </row>
    <row r="31" spans="1:10" ht="1.9" customHeight="1">
      <c r="C31" s="250"/>
      <c r="E31" s="251"/>
      <c r="F31" s="250"/>
      <c r="H31" s="222"/>
      <c r="I31" s="222"/>
      <c r="J31" s="251"/>
    </row>
    <row r="32" spans="1:10">
      <c r="A32" s="233" t="s">
        <v>416</v>
      </c>
      <c r="B32" s="1309"/>
      <c r="C32" s="235"/>
      <c r="D32" s="236"/>
      <c r="E32" s="1276"/>
      <c r="F32" s="235"/>
      <c r="G32" s="236"/>
      <c r="H32" s="236"/>
      <c r="I32" s="236"/>
      <c r="J32" s="1276"/>
    </row>
    <row r="33" spans="1:10">
      <c r="A33" s="250" t="s">
        <v>417</v>
      </c>
      <c r="C33" s="351"/>
      <c r="D33" s="358"/>
      <c r="E33" s="1338"/>
      <c r="F33" s="1355"/>
      <c r="G33" s="358"/>
      <c r="H33" s="358"/>
      <c r="I33" s="358"/>
      <c r="J33" s="1338"/>
    </row>
    <row r="34" spans="1:10">
      <c r="A34" s="272" t="s">
        <v>418</v>
      </c>
      <c r="B34" s="856"/>
      <c r="C34" s="1339"/>
      <c r="D34" s="359"/>
      <c r="E34" s="1340"/>
      <c r="F34" s="1356"/>
      <c r="G34" s="359"/>
      <c r="H34" s="359"/>
      <c r="I34" s="359"/>
      <c r="J34" s="1340"/>
    </row>
    <row r="35" spans="1:10">
      <c r="A35" s="272" t="s">
        <v>419</v>
      </c>
      <c r="B35" s="856"/>
      <c r="C35" s="1339"/>
      <c r="D35" s="359"/>
      <c r="E35" s="1340"/>
      <c r="F35" s="1356"/>
      <c r="G35" s="359"/>
      <c r="H35" s="359"/>
      <c r="I35" s="359"/>
      <c r="J35" s="1340"/>
    </row>
    <row r="36" spans="1:10">
      <c r="A36" s="272" t="s">
        <v>420</v>
      </c>
      <c r="B36" s="856"/>
      <c r="C36" s="1339"/>
      <c r="D36" s="359"/>
      <c r="E36" s="1340"/>
      <c r="F36" s="1356"/>
      <c r="G36" s="359"/>
      <c r="H36" s="359"/>
      <c r="I36" s="359"/>
      <c r="J36" s="1340"/>
    </row>
    <row r="37" spans="1:10">
      <c r="A37" s="272" t="s">
        <v>421</v>
      </c>
      <c r="B37" s="856"/>
      <c r="C37" s="1341"/>
      <c r="D37" s="360"/>
      <c r="E37" s="1342"/>
      <c r="F37" s="1356"/>
      <c r="G37" s="360"/>
      <c r="H37" s="360"/>
      <c r="I37" s="360"/>
      <c r="J37" s="1342"/>
    </row>
    <row r="38" spans="1:10">
      <c r="A38" s="250" t="s">
        <v>422</v>
      </c>
      <c r="C38" s="247">
        <f>'T1 MET'!K68</f>
        <v>12647.945</v>
      </c>
      <c r="D38" s="275">
        <f>'T1 MET'!L68</f>
        <v>12891</v>
      </c>
      <c r="E38" s="276">
        <f>'T1 MET'!M68</f>
        <v>13183</v>
      </c>
      <c r="F38" s="247">
        <f>'T1 MET'!N68</f>
        <v>11715</v>
      </c>
      <c r="G38" s="275">
        <f>'T1 MET'!O68</f>
        <v>12228</v>
      </c>
      <c r="H38" s="275">
        <f>'T1 MET'!P68</f>
        <v>12424</v>
      </c>
      <c r="I38" s="275">
        <f>'T1 MET'!Q68</f>
        <v>12641</v>
      </c>
      <c r="J38" s="276">
        <f>'T1 MET'!R68</f>
        <v>12850</v>
      </c>
    </row>
    <row r="39" spans="1:10">
      <c r="A39" s="272" t="s">
        <v>423</v>
      </c>
      <c r="B39" s="856"/>
      <c r="C39" s="247">
        <f>'T1 MET'!T68</f>
        <v>5099.1790000000001</v>
      </c>
      <c r="D39" s="267">
        <f>'T1 MET'!U68</f>
        <v>5395.3419999999996</v>
      </c>
      <c r="E39" s="1284"/>
      <c r="F39" s="247"/>
      <c r="G39" s="267"/>
      <c r="H39" s="267"/>
      <c r="I39" s="267"/>
      <c r="J39" s="1284"/>
    </row>
    <row r="40" spans="1:10">
      <c r="A40" s="277" t="s">
        <v>424</v>
      </c>
      <c r="B40" s="831"/>
      <c r="C40" s="1288">
        <f>+C39/C38-1</f>
        <v>-0.59683735183857922</v>
      </c>
      <c r="D40" s="279">
        <f>+D39/D38-1</f>
        <v>-0.58146443254984104</v>
      </c>
      <c r="E40" s="1289"/>
      <c r="F40" s="1552"/>
      <c r="G40" s="1561"/>
      <c r="H40" s="1561"/>
      <c r="I40" s="1561"/>
      <c r="J40" s="1562"/>
    </row>
    <row r="41" spans="1:10">
      <c r="A41" s="238" t="s">
        <v>425</v>
      </c>
      <c r="B41" s="1310"/>
      <c r="C41" s="240">
        <f>IF(C40&lt;-C37,((C40+C37)*-C33)+((C37-C34)*C36*C33),IF(C40&lt;=-C34,(C40+C34)*C36*-C33,IF(C40&lt;=C34,0,IF(C40&lt;=C37,-(C40-C34)*C35*C33,(-(C40-C37+(C37-C34)*C35)*C33)))))</f>
        <v>0</v>
      </c>
      <c r="D41" s="241"/>
      <c r="E41" s="242"/>
      <c r="F41" s="1564"/>
      <c r="G41" s="1551"/>
      <c r="H41" s="1551"/>
      <c r="I41" s="1551"/>
      <c r="J41" s="1556"/>
    </row>
    <row r="42" spans="1:10" ht="3" customHeight="1">
      <c r="C42" s="250"/>
      <c r="E42" s="251"/>
      <c r="F42" s="250"/>
      <c r="H42" s="222"/>
      <c r="I42" s="222"/>
      <c r="J42" s="251"/>
    </row>
    <row r="43" spans="1:10">
      <c r="A43" s="243" t="s">
        <v>426</v>
      </c>
      <c r="B43" s="1311"/>
      <c r="C43" s="235"/>
      <c r="D43" s="236"/>
      <c r="E43" s="1276"/>
      <c r="F43" s="235"/>
      <c r="G43" s="236"/>
      <c r="H43" s="236"/>
      <c r="I43" s="236"/>
      <c r="J43" s="1276"/>
    </row>
    <row r="44" spans="1:10">
      <c r="A44" s="283" t="s">
        <v>427</v>
      </c>
      <c r="B44" s="1315"/>
      <c r="C44" s="324">
        <f>-(C12-C33)*C40</f>
        <v>18464.92709133905</v>
      </c>
      <c r="D44" s="325">
        <f>-(D12-D33)*D40</f>
        <v>17556.692917224002</v>
      </c>
      <c r="E44" s="326"/>
      <c r="F44" s="324"/>
      <c r="G44" s="325"/>
      <c r="H44" s="325"/>
      <c r="I44" s="325"/>
      <c r="J44" s="326"/>
    </row>
    <row r="45" spans="1:10">
      <c r="A45" s="285" t="s">
        <v>428</v>
      </c>
      <c r="B45" s="1316"/>
      <c r="C45" s="324">
        <f>('T3 MET'!E21-'T3 MET'!E11+'T3 MET'!E36-'T3 MET'!E26+'T3 MET'!E47+'T3 MET'!E58+'T3 MET'!E69+'T3 MET'!E80+'T3 MET'!E91+'T3 MET'!E102+'T3 MET'!E111+'T3 MET'!E126-'T3 MET'!E116+'T3 MET'!E141-'T3 MET'!E131+'T3 MET'!E166-'T3 MET'!E146+'T3 MET'!E181-'T3 MET'!E171+'T3 MET'!E196-'T3 MET'!E186+'T3 MET'!E211-'T3 MET'!E201+'T3 MET'!E226-'T3 MET'!E216+'T3 MET'!E237+'T3 MET'!E248)*-C40</f>
        <v>0</v>
      </c>
      <c r="D45" s="324">
        <f>('T3 MET'!F21-'T3 MET'!F11+'T3 MET'!F36-'T3 MET'!F26+'T3 MET'!F47+'T3 MET'!F58+'T3 MET'!F69+'T3 MET'!F80+'T3 MET'!F91+'T3 MET'!F102+'T3 MET'!F111+'T3 MET'!F126-'T3 MET'!F116+'T3 MET'!F141-'T3 MET'!F131+'T3 MET'!F166-'T3 MET'!F146+'T3 MET'!F181-'T3 MET'!F171+'T3 MET'!F196-'T3 MET'!F186+'T3 MET'!F211-'T3 MET'!F201+'T3 MET'!F226-'T3 MET'!F216+'T3 MET'!F237+'T3 MET'!F248)*-D40</f>
        <v>0</v>
      </c>
      <c r="E45" s="1469">
        <f>('T3 MET'!G21-'T3 MET'!G15+'T3 MET'!G36-'T3 MET'!G30+'T3 MET'!G47+'T3 MET'!G58+'T3 MET'!G69+'T3 MET'!G80+'T3 MET'!G91+'T3 MET'!G102+'T3 MET'!G111+'T3 MET'!G126-'T3 MET'!G120+'T3 MET'!G141-'T3 MET'!G135+'T3 MET'!G166-'T3 MET'!G156-'T3 MET'!G160+'T3 MET'!G181-'T3 MET'!G171+'T3 MET'!G196-'T3 MET'!G190+'T3 MET'!G211-'T3 MET'!G205+'T3 MET'!G226-'T3 MET'!G220+'T3 MET'!G237+'T3 MET'!G248)*-E40</f>
        <v>0</v>
      </c>
      <c r="F45" s="324"/>
      <c r="G45" s="325"/>
      <c r="H45" s="325"/>
      <c r="I45" s="325"/>
      <c r="J45" s="326"/>
    </row>
    <row r="46" spans="1:10">
      <c r="A46" s="270" t="s">
        <v>429</v>
      </c>
      <c r="B46" s="1314"/>
      <c r="C46" s="240">
        <f>SUM(C44:C45)</f>
        <v>18464.92709133905</v>
      </c>
      <c r="D46" s="241">
        <f>SUM(D44:D45)</f>
        <v>17556.692917224002</v>
      </c>
      <c r="E46" s="242"/>
      <c r="F46" s="1031"/>
      <c r="G46" s="241"/>
      <c r="H46" s="241"/>
      <c r="I46" s="241"/>
      <c r="J46" s="242"/>
    </row>
    <row r="47" spans="1:10" ht="10.9" customHeight="1">
      <c r="C47" s="250"/>
      <c r="E47" s="251"/>
      <c r="F47" s="250"/>
      <c r="H47" s="222"/>
      <c r="I47" s="222"/>
      <c r="J47" s="251"/>
    </row>
    <row r="48" spans="1:10">
      <c r="A48" s="231" t="s">
        <v>430</v>
      </c>
      <c r="B48" s="231"/>
      <c r="C48" s="1274"/>
      <c r="D48" s="232"/>
      <c r="E48" s="1275"/>
      <c r="F48" s="1274"/>
      <c r="G48" s="232"/>
      <c r="H48" s="232"/>
      <c r="I48" s="232"/>
      <c r="J48" s="1275"/>
    </row>
    <row r="49" spans="1:10" ht="3.6" customHeight="1">
      <c r="C49" s="250"/>
      <c r="E49" s="251"/>
      <c r="F49" s="250"/>
      <c r="H49" s="222"/>
      <c r="I49" s="222"/>
      <c r="J49" s="251"/>
    </row>
    <row r="50" spans="1:10">
      <c r="A50" s="233" t="s">
        <v>431</v>
      </c>
      <c r="B50" s="1309"/>
      <c r="C50" s="235"/>
      <c r="D50" s="236"/>
      <c r="E50" s="1276"/>
      <c r="F50" s="235"/>
      <c r="G50" s="236"/>
      <c r="H50" s="236"/>
      <c r="I50" s="236"/>
      <c r="J50" s="1276"/>
    </row>
    <row r="51" spans="1:10">
      <c r="A51" s="272" t="s">
        <v>432</v>
      </c>
      <c r="B51" s="856"/>
      <c r="C51" s="347"/>
      <c r="D51" s="384"/>
      <c r="E51" s="1343"/>
      <c r="F51" s="1356"/>
      <c r="G51" s="384"/>
      <c r="H51" s="384"/>
      <c r="I51" s="384"/>
      <c r="J51" s="1343"/>
    </row>
    <row r="52" spans="1:10">
      <c r="A52" s="272" t="s">
        <v>433</v>
      </c>
      <c r="B52" s="856"/>
      <c r="C52" s="347"/>
      <c r="D52" s="384"/>
      <c r="E52" s="1343"/>
      <c r="F52" s="1356"/>
      <c r="G52" s="384"/>
      <c r="H52" s="384"/>
      <c r="I52" s="384"/>
      <c r="J52" s="1343"/>
    </row>
    <row r="53" spans="1:10">
      <c r="A53" s="250" t="s">
        <v>434</v>
      </c>
      <c r="C53" s="347"/>
      <c r="D53" s="384"/>
      <c r="E53" s="1343"/>
      <c r="F53" s="1355"/>
      <c r="G53" s="384"/>
      <c r="H53" s="384"/>
      <c r="I53" s="384"/>
      <c r="J53" s="1343"/>
    </row>
    <row r="54" spans="1:10" s="291" customFormat="1">
      <c r="A54" s="270" t="s">
        <v>435</v>
      </c>
      <c r="B54" s="1314"/>
      <c r="C54" s="773"/>
      <c r="D54" s="774"/>
      <c r="E54" s="775"/>
      <c r="F54" s="773"/>
      <c r="G54" s="774"/>
      <c r="H54" s="774"/>
      <c r="I54" s="774"/>
      <c r="J54" s="775"/>
    </row>
    <row r="55" spans="1:10" ht="12" customHeight="1">
      <c r="C55" s="250"/>
      <c r="E55" s="251"/>
      <c r="F55" s="250"/>
      <c r="H55" s="222"/>
      <c r="I55" s="222"/>
      <c r="J55" s="251"/>
    </row>
    <row r="56" spans="1:10">
      <c r="A56" s="231" t="s">
        <v>436</v>
      </c>
      <c r="B56" s="231"/>
      <c r="C56" s="1294"/>
      <c r="D56" s="292"/>
      <c r="E56" s="1295"/>
      <c r="F56" s="1274"/>
      <c r="G56" s="292"/>
      <c r="H56" s="292"/>
      <c r="I56" s="292"/>
      <c r="J56" s="1295"/>
    </row>
    <row r="57" spans="1:10" ht="3.6" customHeight="1">
      <c r="C57" s="250"/>
      <c r="E57" s="251"/>
      <c r="F57" s="250"/>
      <c r="H57" s="222"/>
      <c r="I57" s="222"/>
      <c r="J57" s="251"/>
    </row>
    <row r="58" spans="1:10">
      <c r="A58" s="233" t="s">
        <v>294</v>
      </c>
      <c r="B58" s="1309"/>
      <c r="C58" s="235"/>
      <c r="D58" s="236"/>
      <c r="E58" s="1276"/>
      <c r="F58" s="235"/>
      <c r="G58" s="236"/>
      <c r="H58" s="236"/>
      <c r="I58" s="236"/>
      <c r="J58" s="1276"/>
    </row>
    <row r="59" spans="1:10" s="294" customFormat="1">
      <c r="A59" s="270" t="s">
        <v>437</v>
      </c>
      <c r="B59" s="1314"/>
      <c r="C59" s="361"/>
      <c r="D59" s="293"/>
      <c r="E59" s="309"/>
      <c r="F59" s="367"/>
      <c r="G59" s="293"/>
      <c r="H59" s="293"/>
      <c r="I59" s="293"/>
      <c r="J59" s="309"/>
    </row>
    <row r="60" spans="1:10" ht="3.6" customHeight="1">
      <c r="C60" s="250"/>
      <c r="E60" s="251"/>
      <c r="F60" s="250"/>
      <c r="H60" s="222"/>
      <c r="I60" s="222"/>
      <c r="J60" s="251"/>
    </row>
    <row r="61" spans="1:10">
      <c r="A61" s="233" t="s">
        <v>438</v>
      </c>
      <c r="B61" s="1309"/>
      <c r="C61" s="235"/>
      <c r="D61" s="236"/>
      <c r="E61" s="1276"/>
      <c r="F61" s="235"/>
      <c r="G61" s="236"/>
      <c r="H61" s="236"/>
      <c r="I61" s="236"/>
      <c r="J61" s="1276"/>
    </row>
    <row r="62" spans="1:10">
      <c r="A62" s="245" t="s">
        <v>439</v>
      </c>
      <c r="B62" s="814"/>
      <c r="C62" s="989">
        <v>2.1317261364875879</v>
      </c>
      <c r="D62" s="298"/>
      <c r="E62" s="1344"/>
      <c r="F62" s="1358"/>
      <c r="G62" s="298"/>
      <c r="H62" s="298"/>
      <c r="I62" s="298"/>
      <c r="J62" s="1344"/>
    </row>
    <row r="63" spans="1:10">
      <c r="A63" s="299" t="s">
        <v>440</v>
      </c>
      <c r="B63" s="1317"/>
      <c r="C63" s="1031">
        <f>(C96-C62)*C39</f>
        <v>0</v>
      </c>
      <c r="D63" s="362"/>
      <c r="E63" s="1345"/>
      <c r="F63" s="1359"/>
      <c r="G63" s="362"/>
      <c r="H63" s="301"/>
      <c r="I63" s="362"/>
      <c r="J63" s="1345"/>
    </row>
    <row r="64" spans="1:10" ht="3" customHeight="1">
      <c r="C64" s="250"/>
      <c r="E64" s="251"/>
      <c r="F64" s="250"/>
      <c r="H64" s="222"/>
      <c r="I64" s="222"/>
      <c r="J64" s="251"/>
    </row>
    <row r="65" spans="1:10">
      <c r="A65" s="233" t="s">
        <v>441</v>
      </c>
      <c r="B65" s="1309"/>
      <c r="C65" s="235"/>
      <c r="D65" s="236"/>
      <c r="E65" s="1276"/>
      <c r="F65" s="235"/>
      <c r="G65" s="236"/>
      <c r="H65" s="236"/>
      <c r="I65" s="236"/>
      <c r="J65" s="1276"/>
    </row>
    <row r="66" spans="1:10">
      <c r="A66" s="299" t="s">
        <v>442</v>
      </c>
      <c r="B66" s="1317"/>
      <c r="C66" s="784"/>
      <c r="D66" s="782"/>
      <c r="E66" s="1346"/>
      <c r="F66" s="1360"/>
      <c r="G66" s="782"/>
      <c r="H66" s="782"/>
      <c r="I66" s="782"/>
      <c r="J66" s="1346"/>
    </row>
    <row r="67" spans="1:10" ht="3" customHeight="1">
      <c r="C67" s="250"/>
      <c r="E67" s="251"/>
      <c r="F67" s="250"/>
      <c r="H67" s="222"/>
      <c r="I67" s="222"/>
      <c r="J67" s="251"/>
    </row>
    <row r="68" spans="1:10">
      <c r="A68" s="233" t="s">
        <v>302</v>
      </c>
      <c r="B68" s="1309"/>
      <c r="C68" s="280"/>
      <c r="D68" s="281"/>
      <c r="E68" s="1291"/>
      <c r="F68" s="280"/>
      <c r="G68" s="281"/>
      <c r="H68" s="281"/>
      <c r="I68" s="281"/>
      <c r="J68" s="1291"/>
    </row>
    <row r="69" spans="1:10">
      <c r="A69" s="304" t="s">
        <v>443</v>
      </c>
      <c r="B69" s="855"/>
      <c r="C69" s="1034">
        <v>0</v>
      </c>
      <c r="D69" s="363"/>
      <c r="E69" s="1347"/>
      <c r="F69" s="1361"/>
      <c r="G69" s="363"/>
      <c r="H69" s="363"/>
      <c r="I69" s="363"/>
      <c r="J69" s="1347"/>
    </row>
    <row r="70" spans="1:10">
      <c r="A70" s="272" t="s">
        <v>444</v>
      </c>
      <c r="B70" s="856"/>
      <c r="C70" s="1035">
        <v>0</v>
      </c>
      <c r="D70" s="268"/>
      <c r="E70" s="306"/>
      <c r="F70" s="1362"/>
      <c r="G70" s="268"/>
      <c r="H70" s="268"/>
      <c r="I70" s="268"/>
      <c r="J70" s="306"/>
    </row>
    <row r="71" spans="1:10">
      <c r="A71" s="272" t="s">
        <v>445</v>
      </c>
      <c r="B71" s="856"/>
      <c r="C71" s="1035">
        <v>0</v>
      </c>
      <c r="D71" s="364"/>
      <c r="E71" s="1348"/>
      <c r="F71" s="1362"/>
      <c r="G71" s="364"/>
      <c r="H71" s="364"/>
      <c r="I71" s="364"/>
      <c r="J71" s="1348"/>
    </row>
    <row r="72" spans="1:10">
      <c r="A72" s="272" t="s">
        <v>446</v>
      </c>
      <c r="B72" s="856"/>
      <c r="C72" s="365"/>
      <c r="D72" s="366"/>
      <c r="E72" s="1349"/>
      <c r="F72" s="1363"/>
      <c r="G72" s="366"/>
      <c r="H72" s="366"/>
      <c r="I72" s="366"/>
      <c r="J72" s="1349"/>
    </row>
    <row r="73" spans="1:10">
      <c r="A73" s="307" t="s">
        <v>447</v>
      </c>
      <c r="B73" s="1318"/>
      <c r="C73" s="240"/>
      <c r="D73" s="241"/>
      <c r="E73" s="242"/>
      <c r="F73" s="367"/>
      <c r="G73" s="241"/>
      <c r="H73" s="241"/>
      <c r="I73" s="241"/>
      <c r="J73" s="242"/>
    </row>
    <row r="74" spans="1:10" ht="3.95" customHeight="1">
      <c r="A74" s="310"/>
      <c r="B74" s="310"/>
      <c r="C74" s="1307"/>
      <c r="D74" s="312"/>
      <c r="E74" s="1308"/>
      <c r="F74" s="1307"/>
      <c r="G74" s="312"/>
      <c r="H74" s="312"/>
      <c r="I74" s="312"/>
      <c r="J74" s="1308"/>
    </row>
    <row r="75" spans="1:10">
      <c r="A75" s="233" t="s">
        <v>448</v>
      </c>
      <c r="B75" s="1309"/>
      <c r="C75" s="280"/>
      <c r="D75" s="281"/>
      <c r="E75" s="1291"/>
      <c r="F75" s="280"/>
      <c r="G75" s="281"/>
      <c r="H75" s="281"/>
      <c r="I75" s="281"/>
      <c r="J75" s="1291"/>
    </row>
    <row r="76" spans="1:10" s="294" customFormat="1">
      <c r="A76" s="307" t="s">
        <v>449</v>
      </c>
      <c r="B76" s="1318"/>
      <c r="C76" s="367"/>
      <c r="D76" s="293"/>
      <c r="E76" s="309"/>
      <c r="F76" s="367"/>
      <c r="G76" s="293"/>
      <c r="H76" s="293"/>
      <c r="I76" s="293"/>
      <c r="J76" s="309"/>
    </row>
    <row r="77" spans="1:10" ht="9.9499999999999993" customHeight="1">
      <c r="A77" s="310"/>
      <c r="B77" s="310"/>
      <c r="C77" s="1307"/>
      <c r="D77" s="312"/>
      <c r="E77" s="1308"/>
      <c r="F77" s="1307"/>
      <c r="G77" s="312"/>
      <c r="H77" s="312"/>
      <c r="I77" s="312"/>
      <c r="J77" s="1308"/>
    </row>
    <row r="78" spans="1:10">
      <c r="A78" s="313" t="s">
        <v>450</v>
      </c>
      <c r="B78" s="314"/>
      <c r="C78" s="315">
        <f>C19+C28+C41+C46+C54+C63+C73</f>
        <v>18128.077512119973</v>
      </c>
      <c r="D78" s="316">
        <f>D19+D28+D41+D46+D54+D63+D73</f>
        <v>17403.621779485486</v>
      </c>
      <c r="E78" s="1302"/>
      <c r="F78" s="385"/>
      <c r="G78" s="316"/>
      <c r="H78" s="316"/>
      <c r="I78" s="316"/>
      <c r="J78" s="1302"/>
    </row>
    <row r="79" spans="1:10" ht="26.1" customHeight="1">
      <c r="A79" s="319"/>
      <c r="C79" s="1350"/>
      <c r="D79" s="320"/>
      <c r="E79" s="269"/>
      <c r="F79" s="1303"/>
      <c r="G79" s="320"/>
      <c r="H79" s="320"/>
      <c r="I79" s="320"/>
      <c r="J79" s="269"/>
    </row>
    <row r="80" spans="1:10">
      <c r="A80" s="1591" t="s">
        <v>451</v>
      </c>
      <c r="B80" s="1597"/>
      <c r="C80" s="228">
        <v>2020</v>
      </c>
      <c r="D80" s="229">
        <v>2021</v>
      </c>
      <c r="E80" s="1247">
        <v>2022</v>
      </c>
      <c r="F80" s="1246">
        <v>2023</v>
      </c>
      <c r="G80" s="229">
        <v>2024</v>
      </c>
      <c r="H80" s="229">
        <v>2025</v>
      </c>
      <c r="I80" s="229">
        <v>2026</v>
      </c>
      <c r="J80" s="1247">
        <v>2027</v>
      </c>
    </row>
    <row r="81" spans="1:11">
      <c r="A81" s="261" t="s">
        <v>452</v>
      </c>
      <c r="B81" s="1312"/>
      <c r="C81" s="321">
        <f>+C12</f>
        <v>30937.954929357504</v>
      </c>
      <c r="D81" s="322">
        <f>+D12</f>
        <v>30193.924055224317</v>
      </c>
      <c r="E81" s="323">
        <f>+E12</f>
        <v>31631.804677089873</v>
      </c>
      <c r="F81" s="321">
        <f>+F12</f>
        <v>33079.187312470771</v>
      </c>
      <c r="G81" s="322">
        <f>+G12</f>
        <v>38640.665612974866</v>
      </c>
      <c r="H81" s="322">
        <f t="shared" ref="H81:J81" si="2">+H12</f>
        <v>39501.623145362442</v>
      </c>
      <c r="I81" s="322">
        <f t="shared" si="2"/>
        <v>39933.780782552552</v>
      </c>
      <c r="J81" s="323">
        <f t="shared" si="2"/>
        <v>39875.598678985043</v>
      </c>
    </row>
    <row r="82" spans="1:11">
      <c r="A82" s="250" t="s">
        <v>453</v>
      </c>
      <c r="C82" s="324">
        <f>'T3 MET'!E21</f>
        <v>-610</v>
      </c>
      <c r="D82" s="325">
        <f>'T3 MET'!F21</f>
        <v>-658.94394173630394</v>
      </c>
      <c r="E82" s="326">
        <f>'T3 MET'!G21</f>
        <v>-336.84957921907642</v>
      </c>
      <c r="F82" s="1326">
        <f>'T3 MET'!H21</f>
        <v>-153.07113773851486</v>
      </c>
      <c r="G82" s="325">
        <f>'T3 MET'!I21</f>
        <v>0</v>
      </c>
      <c r="H82" s="325">
        <f>'T3 MET'!J21</f>
        <v>0</v>
      </c>
      <c r="I82" s="325">
        <f>'T3 MET'!K21</f>
        <v>0</v>
      </c>
      <c r="J82" s="326">
        <f>'T3 MET'!L21</f>
        <v>0</v>
      </c>
    </row>
    <row r="83" spans="1:11">
      <c r="A83" s="250" t="s">
        <v>454</v>
      </c>
      <c r="C83" s="324">
        <f>'T3 MET'!E36</f>
        <v>0</v>
      </c>
      <c r="D83" s="325">
        <f>'T3 MET'!F36</f>
        <v>0</v>
      </c>
      <c r="E83" s="326">
        <f>'T3 MET'!G36</f>
        <v>0</v>
      </c>
      <c r="F83" s="1326">
        <f>'T3 MET'!H36</f>
        <v>0</v>
      </c>
      <c r="G83" s="325">
        <f>'T3 MET'!I36</f>
        <v>0</v>
      </c>
      <c r="H83" s="325">
        <f>'T3 MET'!J36</f>
        <v>0</v>
      </c>
      <c r="I83" s="325">
        <f>'T3 MET'!K36</f>
        <v>0</v>
      </c>
      <c r="J83" s="326">
        <f>'T3 MET'!L36</f>
        <v>0</v>
      </c>
    </row>
    <row r="84" spans="1:11">
      <c r="A84" s="272" t="s">
        <v>455</v>
      </c>
      <c r="B84" s="856"/>
      <c r="C84" s="324">
        <f>'T3 MET'!E107</f>
        <v>0</v>
      </c>
      <c r="D84" s="325">
        <f>'T3 MET'!F107</f>
        <v>0</v>
      </c>
      <c r="E84" s="326">
        <f>'T3 MET'!G107</f>
        <v>0</v>
      </c>
      <c r="F84" s="1326">
        <f>'T3 MET'!H111</f>
        <v>0</v>
      </c>
      <c r="G84" s="325">
        <f>'T3 MET'!I111</f>
        <v>0</v>
      </c>
      <c r="H84" s="325">
        <f>'T3 MET'!J111</f>
        <v>0</v>
      </c>
      <c r="I84" s="325">
        <f>'T3 MET'!K111</f>
        <v>0</v>
      </c>
      <c r="J84" s="326">
        <f>'T3 MET'!L111</f>
        <v>0</v>
      </c>
    </row>
    <row r="85" spans="1:11">
      <c r="A85" s="272" t="s">
        <v>456</v>
      </c>
      <c r="B85" s="856"/>
      <c r="C85" s="324">
        <f>'T3 MET'!E126</f>
        <v>0</v>
      </c>
      <c r="D85" s="325">
        <f>'T3 MET'!F126</f>
        <v>0</v>
      </c>
      <c r="E85" s="326">
        <f>'T3 MET'!G126</f>
        <v>0</v>
      </c>
      <c r="F85" s="1326">
        <f>'T3 MET'!H126</f>
        <v>0</v>
      </c>
      <c r="G85" s="325">
        <f>'T3 MET'!I126</f>
        <v>0</v>
      </c>
      <c r="H85" s="325">
        <f>'T3 MET'!J126</f>
        <v>0</v>
      </c>
      <c r="I85" s="325">
        <f>'T3 MET'!K126</f>
        <v>0</v>
      </c>
      <c r="J85" s="326">
        <f>'T3 MET'!L126</f>
        <v>0</v>
      </c>
    </row>
    <row r="86" spans="1:11">
      <c r="A86" s="272" t="s">
        <v>457</v>
      </c>
      <c r="B86" s="856"/>
      <c r="C86" s="324">
        <f>'T3 MET'!E141</f>
        <v>0</v>
      </c>
      <c r="D86" s="325">
        <f>'T3 MET'!F141</f>
        <v>0</v>
      </c>
      <c r="E86" s="326">
        <f>'T3 MET'!G141</f>
        <v>0</v>
      </c>
      <c r="F86" s="1326">
        <f>'T3 MET'!H141</f>
        <v>0</v>
      </c>
      <c r="G86" s="325">
        <f>'T3 MET'!I141</f>
        <v>0</v>
      </c>
      <c r="H86" s="325">
        <f>'T3 MET'!J141</f>
        <v>0</v>
      </c>
      <c r="I86" s="325">
        <f>'T3 MET'!K141</f>
        <v>0</v>
      </c>
      <c r="J86" s="326">
        <f>'T3 MET'!L141</f>
        <v>0</v>
      </c>
    </row>
    <row r="87" spans="1:11">
      <c r="A87" s="272" t="s">
        <v>458</v>
      </c>
      <c r="B87" s="856"/>
      <c r="C87" s="324">
        <f>'T3 MET'!E166</f>
        <v>-3366</v>
      </c>
      <c r="D87" s="325">
        <f>'T3 MET'!F166</f>
        <v>-3558.1829458164898</v>
      </c>
      <c r="E87" s="326">
        <f>'T3 MET'!G166</f>
        <v>16091.90178042886</v>
      </c>
      <c r="F87" s="1326">
        <f>'T3 MET'!H166</f>
        <v>15104.58362456244</v>
      </c>
      <c r="G87" s="325">
        <f>'T3 MET'!I166</f>
        <v>0</v>
      </c>
      <c r="H87" s="325">
        <f>'T3 MET'!J166</f>
        <v>0</v>
      </c>
      <c r="I87" s="325">
        <f>'T3 MET'!K166</f>
        <v>0</v>
      </c>
      <c r="J87" s="326">
        <f>'T3 MET'!L166</f>
        <v>0</v>
      </c>
    </row>
    <row r="88" spans="1:11">
      <c r="A88" s="250" t="s">
        <v>459</v>
      </c>
      <c r="C88" s="324">
        <f>'T3 MET'!E181+'T3 MET'!E196+'T3 MET'!E211+'T3 MET'!E226</f>
        <v>0</v>
      </c>
      <c r="D88" s="325">
        <f>'T3 MET'!F181+'T3 MET'!F196+'T3 MET'!F211+'T3 MET'!F226</f>
        <v>0</v>
      </c>
      <c r="E88" s="326">
        <f>'T3 MET'!G181+'T3 MET'!G196+'T3 MET'!G211+'T3 MET'!G226</f>
        <v>0</v>
      </c>
      <c r="F88" s="1326">
        <f>'T3 MET'!H181+'T3 MET'!H196+'T3 MET'!H211+'T3 MET'!H226</f>
        <v>0</v>
      </c>
      <c r="G88" s="325">
        <f>'T3 MET'!I181+'T3 MET'!I196+'T3 MET'!I211+'T3 MET'!I226</f>
        <v>0</v>
      </c>
      <c r="H88" s="325">
        <f>'T3 MET'!J181+'T3 MET'!J196+'T3 MET'!J211+'T3 MET'!J226</f>
        <v>0</v>
      </c>
      <c r="I88" s="325">
        <f>'T3 MET'!K181+'T3 MET'!K196+'T3 MET'!K211+'T3 MET'!K226</f>
        <v>0</v>
      </c>
      <c r="J88" s="326">
        <f>'T3 MET'!L181+'T3 MET'!L196+'T3 MET'!L211+'T3 MET'!L226</f>
        <v>0</v>
      </c>
    </row>
    <row r="89" spans="1:11">
      <c r="A89" s="250" t="s">
        <v>460</v>
      </c>
      <c r="C89" s="324">
        <f>'T3 MET'!E248</f>
        <v>0</v>
      </c>
      <c r="D89" s="325">
        <f>'T3 MET'!F248</f>
        <v>0</v>
      </c>
      <c r="E89" s="326">
        <f>'T3 MET'!G248</f>
        <v>0</v>
      </c>
      <c r="F89" s="1326">
        <f>'T3 MET'!H248</f>
        <v>0</v>
      </c>
      <c r="G89" s="325">
        <f>'T3 MET'!I248</f>
        <v>0</v>
      </c>
      <c r="H89" s="325">
        <f>'T3 MET'!J248</f>
        <v>0</v>
      </c>
      <c r="I89" s="325">
        <f>'T3 MET'!K248</f>
        <v>0</v>
      </c>
      <c r="J89" s="326">
        <f>'T3 MET'!L248</f>
        <v>0</v>
      </c>
    </row>
    <row r="90" spans="1:11">
      <c r="A90" s="272" t="s">
        <v>461</v>
      </c>
      <c r="B90" s="856"/>
      <c r="C90" s="327">
        <f>'T3 MET'!E237</f>
        <v>0</v>
      </c>
      <c r="D90" s="328">
        <f>'T3 MET'!F237</f>
        <v>0</v>
      </c>
      <c r="E90" s="326">
        <f>'T3 MET'!G237</f>
        <v>0</v>
      </c>
      <c r="F90" s="1330">
        <f>'T3 MET'!H237</f>
        <v>0</v>
      </c>
      <c r="G90" s="328">
        <f>'T3 MET'!I237</f>
        <v>0</v>
      </c>
      <c r="H90" s="328">
        <f>'T3 MET'!J237</f>
        <v>0</v>
      </c>
      <c r="I90" s="328">
        <f>'T3 MET'!K237</f>
        <v>0</v>
      </c>
      <c r="J90" s="329">
        <f>'T3 MET'!L237</f>
        <v>0</v>
      </c>
    </row>
    <row r="91" spans="1:11">
      <c r="A91" s="330" t="s">
        <v>462</v>
      </c>
      <c r="B91" s="1319"/>
      <c r="C91" s="1304">
        <f>SUM(C81:C90)</f>
        <v>26961.954929357504</v>
      </c>
      <c r="D91" s="332">
        <f>SUM(D81:D90)</f>
        <v>25976.797167671524</v>
      </c>
      <c r="E91" s="332">
        <f>SUM(E81:E90)</f>
        <v>47386.856878299659</v>
      </c>
      <c r="F91" s="1304">
        <f>SUM(F81:F90)</f>
        <v>48030.699799294693</v>
      </c>
      <c r="G91" s="332">
        <f>SUM(G81:G90)</f>
        <v>38640.665612974866</v>
      </c>
      <c r="H91" s="332">
        <f t="shared" ref="H91:J91" si="3">SUM(H81:H90)</f>
        <v>39501.623145362442</v>
      </c>
      <c r="I91" s="332">
        <f t="shared" si="3"/>
        <v>39933.780782552552</v>
      </c>
      <c r="J91" s="332">
        <f t="shared" si="3"/>
        <v>39875.598678985043</v>
      </c>
    </row>
    <row r="92" spans="1:11">
      <c r="A92" s="270" t="s">
        <v>463</v>
      </c>
      <c r="B92" s="1314"/>
      <c r="C92" s="1290">
        <f>'T1 ANSP'!K68</f>
        <v>12647.945</v>
      </c>
      <c r="D92" s="290">
        <f>'T1 ANSP'!L68</f>
        <v>12891</v>
      </c>
      <c r="E92" s="290">
        <f>'T1 ANSP'!M68</f>
        <v>13183</v>
      </c>
      <c r="F92" s="1290">
        <f>'T1 ANSP'!N68</f>
        <v>11715</v>
      </c>
      <c r="G92" s="290">
        <f>'T1 ANSP'!O68</f>
        <v>12228</v>
      </c>
      <c r="H92" s="290">
        <f>'T1 ANSP'!P68</f>
        <v>12424</v>
      </c>
      <c r="I92" s="290">
        <f>'T1 ANSP'!Q68</f>
        <v>12641</v>
      </c>
      <c r="J92" s="290">
        <f>'T1 ANSP'!R68</f>
        <v>12850</v>
      </c>
      <c r="K92" s="368"/>
    </row>
    <row r="93" spans="1:11">
      <c r="A93" s="270" t="s">
        <v>464</v>
      </c>
      <c r="B93" s="1314"/>
      <c r="C93" s="1305">
        <f>C91/C92</f>
        <v>2.1317261364875879</v>
      </c>
      <c r="D93" s="333">
        <f t="shared" ref="D93:G93" si="4">D91/D92</f>
        <v>2.0151110982601446</v>
      </c>
      <c r="E93" s="333">
        <f t="shared" si="4"/>
        <v>3.5945427352119896</v>
      </c>
      <c r="F93" s="1305">
        <f t="shared" si="4"/>
        <v>4.0999316943486717</v>
      </c>
      <c r="G93" s="333">
        <f t="shared" si="4"/>
        <v>3.1600151793404372</v>
      </c>
      <c r="H93" s="333">
        <f t="shared" ref="H93:J93" si="5">H91/H92</f>
        <v>3.179460974353062</v>
      </c>
      <c r="I93" s="333">
        <f t="shared" si="5"/>
        <v>3.1590681736059292</v>
      </c>
      <c r="J93" s="333">
        <f t="shared" si="5"/>
        <v>3.1031594302712096</v>
      </c>
      <c r="K93" s="368"/>
    </row>
    <row r="94" spans="1:11">
      <c r="A94" s="270" t="s">
        <v>465</v>
      </c>
      <c r="B94" s="1314"/>
      <c r="C94" s="1306">
        <v>0</v>
      </c>
      <c r="D94" s="334"/>
      <c r="E94" s="334"/>
      <c r="F94" s="1306"/>
      <c r="G94" s="334"/>
      <c r="H94" s="334"/>
      <c r="I94" s="334"/>
      <c r="J94" s="334"/>
      <c r="K94" s="368"/>
    </row>
    <row r="95" spans="1:11" ht="9.9499999999999993" customHeight="1">
      <c r="A95" s="310"/>
      <c r="B95" s="310"/>
      <c r="C95" s="1307"/>
      <c r="D95" s="312"/>
      <c r="E95" s="1308"/>
      <c r="F95" s="1307"/>
      <c r="G95" s="312"/>
      <c r="H95" s="312"/>
      <c r="I95" s="312"/>
      <c r="J95" s="1308"/>
    </row>
    <row r="96" spans="1:11">
      <c r="A96" s="336" t="s">
        <v>466</v>
      </c>
      <c r="B96" s="314"/>
      <c r="C96" s="337">
        <f>C93+C94</f>
        <v>2.1317261364875879</v>
      </c>
      <c r="D96" s="337">
        <f t="shared" ref="D96:G96" si="6">D93+D94</f>
        <v>2.0151110982601446</v>
      </c>
      <c r="E96" s="787">
        <f t="shared" si="6"/>
        <v>3.5945427352119896</v>
      </c>
      <c r="F96" s="337">
        <f t="shared" si="6"/>
        <v>4.0999316943486717</v>
      </c>
      <c r="G96" s="337">
        <f t="shared" si="6"/>
        <v>3.1600151793404372</v>
      </c>
      <c r="H96" s="337">
        <f t="shared" ref="H96:J96" si="7">H93+H94</f>
        <v>3.179460974353062</v>
      </c>
      <c r="I96" s="337">
        <f t="shared" si="7"/>
        <v>3.1590681736059292</v>
      </c>
      <c r="J96" s="787">
        <f t="shared" si="7"/>
        <v>3.1031594302712096</v>
      </c>
    </row>
    <row r="97" spans="1:7">
      <c r="A97" s="319"/>
      <c r="C97" s="312"/>
      <c r="D97" s="312"/>
      <c r="E97" s="312"/>
      <c r="F97" s="312"/>
      <c r="G97" s="312"/>
    </row>
    <row r="98" spans="1:7">
      <c r="A98" s="222" t="s">
        <v>467</v>
      </c>
      <c r="B98" s="231"/>
      <c r="C98" s="338"/>
      <c r="D98" s="338"/>
      <c r="E98" s="338"/>
      <c r="F98" s="338"/>
      <c r="G98" s="338"/>
    </row>
    <row r="99" spans="1:7">
      <c r="A99" s="339" t="s">
        <v>468</v>
      </c>
      <c r="B99" s="231"/>
      <c r="C99" s="340"/>
      <c r="D99" s="340"/>
      <c r="E99" s="340"/>
      <c r="F99" s="340"/>
      <c r="G99" s="340"/>
    </row>
    <row r="100" spans="1:7">
      <c r="A100" s="339"/>
      <c r="B100" s="231"/>
      <c r="C100" s="338"/>
      <c r="D100" s="338"/>
      <c r="E100" s="338"/>
      <c r="F100" s="338"/>
      <c r="G100" s="338"/>
    </row>
  </sheetData>
  <mergeCells count="5">
    <mergeCell ref="A7:B7"/>
    <mergeCell ref="A80:B80"/>
    <mergeCell ref="C5:E5"/>
    <mergeCell ref="F5:J5"/>
    <mergeCell ref="A1:J1"/>
  </mergeCells>
  <pageMargins left="0.7" right="0.7" top="0.75" bottom="0.75" header="0.3" footer="0.3"/>
  <pageSetup paperSize="9" scale="43" orientation="portrait" r:id="rId1"/>
  <customProperties>
    <customPr name="_pios_id" r:id="rId2"/>
  </customProperties>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99"/>
  <sheetViews>
    <sheetView showGridLines="0" zoomScaleNormal="100" workbookViewId="0">
      <pane xSplit="2" ySplit="7" topLeftCell="F85" activePane="bottomRight" state="frozen"/>
      <selection pane="topRight" sqref="A1:J1"/>
      <selection pane="bottomLeft" sqref="A1:J1"/>
      <selection pane="bottomRight" activeCell="K102" sqref="K102"/>
    </sheetView>
  </sheetViews>
  <sheetFormatPr defaultColWidth="8.85546875" defaultRowHeight="12.75"/>
  <cols>
    <col min="1" max="1" width="24" style="222" customWidth="1"/>
    <col min="2" max="2" width="49.5703125" style="222" customWidth="1"/>
    <col min="3" max="7" width="12.5703125" style="222" customWidth="1"/>
    <col min="8" max="10" width="10.5703125" style="220" customWidth="1"/>
    <col min="11" max="12" width="8.85546875" style="220" bestFit="1" customWidth="1"/>
    <col min="13" max="13" width="9.140625" style="220" bestFit="1" customWidth="1"/>
    <col min="14" max="16384" width="8.85546875" style="220"/>
  </cols>
  <sheetData>
    <row r="1" spans="1:10">
      <c r="A1" s="1596" t="s">
        <v>394</v>
      </c>
      <c r="B1" s="1596"/>
      <c r="C1" s="1596"/>
      <c r="D1" s="1596"/>
      <c r="E1" s="1596"/>
      <c r="F1" s="1596"/>
      <c r="G1" s="1596"/>
      <c r="H1" s="1596"/>
      <c r="I1" s="1596"/>
      <c r="J1" s="1596"/>
    </row>
    <row r="2" spans="1:10">
      <c r="A2" s="221"/>
      <c r="B2" s="221"/>
      <c r="G2" s="223"/>
    </row>
    <row r="3" spans="1:10">
      <c r="A3" s="224" t="str">
        <f>'T1 NSA'!A3</f>
        <v>United Kingdom</v>
      </c>
      <c r="B3" s="792" t="s">
        <v>395</v>
      </c>
      <c r="C3" s="220"/>
      <c r="D3" s="220"/>
      <c r="E3" s="225"/>
      <c r="F3" s="220"/>
      <c r="G3" s="220"/>
    </row>
    <row r="4" spans="1:10">
      <c r="A4" s="226" t="str">
        <f>'T1 NSA'!A4</f>
        <v>Currency : GBP £</v>
      </c>
      <c r="C4" s="220"/>
      <c r="D4" s="220"/>
      <c r="E4" s="225"/>
      <c r="F4" s="220"/>
      <c r="G4" s="220"/>
    </row>
    <row r="5" spans="1:10">
      <c r="A5" s="227" t="str">
        <f>'T1 NSA'!A5</f>
        <v>UK CAA + DfT Eurocontrol</v>
      </c>
      <c r="C5" s="1593" t="s">
        <v>127</v>
      </c>
      <c r="D5" s="1594"/>
      <c r="E5" s="1594"/>
      <c r="F5" s="1593" t="s">
        <v>396</v>
      </c>
      <c r="G5" s="1594"/>
      <c r="H5" s="1594"/>
      <c r="I5" s="1594"/>
      <c r="J5" s="1595"/>
    </row>
    <row r="7" spans="1:10">
      <c r="A7" s="1591" t="s">
        <v>397</v>
      </c>
      <c r="B7" s="1597"/>
      <c r="C7" s="228">
        <v>2020</v>
      </c>
      <c r="D7" s="229">
        <v>2021</v>
      </c>
      <c r="E7" s="1247">
        <v>2022</v>
      </c>
      <c r="F7" s="1246">
        <v>2023</v>
      </c>
      <c r="G7" s="230">
        <v>2024</v>
      </c>
      <c r="H7" s="229">
        <v>2025</v>
      </c>
      <c r="I7" s="230">
        <v>2026</v>
      </c>
      <c r="J7" s="1247">
        <v>2027</v>
      </c>
    </row>
    <row r="8" spans="1:10">
      <c r="C8" s="250"/>
      <c r="E8" s="251"/>
      <c r="F8" s="250"/>
      <c r="H8" s="222"/>
      <c r="I8" s="222"/>
      <c r="J8" s="251"/>
    </row>
    <row r="9" spans="1:10">
      <c r="A9" s="231" t="s">
        <v>398</v>
      </c>
      <c r="B9" s="231"/>
      <c r="C9" s="1274"/>
      <c r="D9" s="232"/>
      <c r="E9" s="1275"/>
      <c r="F9" s="1274"/>
      <c r="G9" s="232"/>
      <c r="H9" s="232"/>
      <c r="I9" s="232"/>
      <c r="J9" s="1275"/>
    </row>
    <row r="10" spans="1:10" ht="3" customHeight="1">
      <c r="C10" s="250"/>
      <c r="E10" s="251"/>
      <c r="F10" s="250"/>
      <c r="H10" s="222"/>
      <c r="I10" s="222"/>
      <c r="J10" s="251"/>
    </row>
    <row r="11" spans="1:10">
      <c r="A11" s="233" t="s">
        <v>399</v>
      </c>
      <c r="B11" s="1309"/>
      <c r="C11" s="235"/>
      <c r="D11" s="236"/>
      <c r="E11" s="1276"/>
      <c r="F11" s="235"/>
      <c r="G11" s="236"/>
      <c r="H11" s="236"/>
      <c r="I11" s="236"/>
      <c r="J11" s="1276"/>
    </row>
    <row r="12" spans="1:10">
      <c r="A12" s="238" t="s">
        <v>400</v>
      </c>
      <c r="B12" s="1310"/>
      <c r="C12" s="341">
        <f>+'T1 NSA'!K61</f>
        <v>69525.56682847999</v>
      </c>
      <c r="D12" s="342">
        <f>+'T1 NSA'!L61</f>
        <v>70562.277679311999</v>
      </c>
      <c r="E12" s="343">
        <f>+'T1 NSA'!M61</f>
        <v>70564.365678352013</v>
      </c>
      <c r="F12" s="341">
        <f>+'T1 NSA'!N61</f>
        <v>76714.453991403992</v>
      </c>
      <c r="G12" s="342">
        <f>+'T1 NSA'!O61</f>
        <v>76912.335836459999</v>
      </c>
      <c r="H12" s="342">
        <f>+'T1 NSA'!P61</f>
        <v>78144.878469580988</v>
      </c>
      <c r="I12" s="342">
        <f>+'T1 NSA'!Q61</f>
        <v>80567.466646126995</v>
      </c>
      <c r="J12" s="343">
        <f>+'T1 NSA'!R61</f>
        <v>80008.466646126995</v>
      </c>
    </row>
    <row r="13" spans="1:10" ht="3" customHeight="1">
      <c r="C13" s="250"/>
      <c r="E13" s="251"/>
      <c r="F13" s="250"/>
      <c r="H13" s="222"/>
      <c r="I13" s="222"/>
      <c r="J13" s="251"/>
    </row>
    <row r="14" spans="1:10">
      <c r="A14" s="243" t="s">
        <v>401</v>
      </c>
      <c r="B14" s="1311"/>
      <c r="C14" s="235"/>
      <c r="D14" s="236"/>
      <c r="E14" s="1276"/>
      <c r="F14" s="235"/>
      <c r="G14" s="236"/>
      <c r="H14" s="236"/>
      <c r="I14" s="236"/>
      <c r="J14" s="1276"/>
    </row>
    <row r="15" spans="1:10">
      <c r="A15" s="245" t="s">
        <v>402</v>
      </c>
      <c r="B15" s="814"/>
      <c r="C15" s="369"/>
      <c r="D15" s="370"/>
      <c r="E15" s="371"/>
      <c r="F15" s="369"/>
      <c r="G15" s="370"/>
      <c r="H15" s="370"/>
      <c r="I15" s="370"/>
      <c r="J15" s="371"/>
    </row>
    <row r="16" spans="1:10">
      <c r="A16" s="250" t="s">
        <v>403</v>
      </c>
      <c r="C16" s="372"/>
      <c r="D16" s="373"/>
      <c r="E16" s="1351"/>
      <c r="F16" s="372"/>
      <c r="G16" s="373"/>
      <c r="H16" s="373"/>
      <c r="I16" s="373"/>
      <c r="J16" s="1351"/>
    </row>
    <row r="17" spans="1:10">
      <c r="A17" s="250" t="s">
        <v>404</v>
      </c>
      <c r="C17" s="374"/>
      <c r="D17" s="375"/>
      <c r="E17" s="1352"/>
      <c r="F17" s="1364"/>
      <c r="G17" s="375"/>
      <c r="H17" s="375"/>
      <c r="I17" s="375"/>
      <c r="J17" s="1352"/>
    </row>
    <row r="18" spans="1:10">
      <c r="A18" s="255" t="s">
        <v>405</v>
      </c>
      <c r="B18" s="815"/>
      <c r="C18" s="376"/>
      <c r="D18" s="377"/>
      <c r="E18" s="1353"/>
      <c r="F18" s="1364"/>
      <c r="G18" s="377"/>
      <c r="H18" s="377"/>
      <c r="I18" s="377"/>
      <c r="J18" s="1353"/>
    </row>
    <row r="19" spans="1:10">
      <c r="A19" s="238" t="s">
        <v>406</v>
      </c>
      <c r="B19" s="1310"/>
      <c r="C19" s="378"/>
      <c r="D19" s="379"/>
      <c r="E19" s="380"/>
      <c r="F19" s="378"/>
      <c r="G19" s="379"/>
      <c r="H19" s="379"/>
      <c r="I19" s="379"/>
      <c r="J19" s="380"/>
    </row>
    <row r="20" spans="1:10" ht="3" customHeight="1">
      <c r="C20" s="250"/>
      <c r="E20" s="251"/>
      <c r="F20" s="250"/>
      <c r="H20" s="222"/>
      <c r="I20" s="222"/>
      <c r="J20" s="251"/>
    </row>
    <row r="21" spans="1:10">
      <c r="A21" s="233" t="s">
        <v>407</v>
      </c>
      <c r="B21" s="1309"/>
      <c r="C21" s="235"/>
      <c r="D21" s="236"/>
      <c r="E21" s="1276"/>
      <c r="F21" s="235"/>
      <c r="G21" s="236"/>
      <c r="H21" s="236"/>
      <c r="I21" s="236"/>
      <c r="J21" s="1276"/>
    </row>
    <row r="22" spans="1:10">
      <c r="A22" s="261" t="s">
        <v>408</v>
      </c>
      <c r="B22" s="1312"/>
      <c r="C22" s="381"/>
      <c r="D22" s="382"/>
      <c r="E22" s="383"/>
      <c r="F22" s="381"/>
      <c r="G22" s="382"/>
      <c r="H22" s="382"/>
      <c r="I22" s="382"/>
      <c r="J22" s="383"/>
    </row>
    <row r="23" spans="1:10">
      <c r="A23" s="265" t="s">
        <v>409</v>
      </c>
      <c r="B23" s="1313"/>
      <c r="C23" s="247">
        <f>'T1 NSA'!T61-'T1 NSA'!T57-('T1 NSA'!K61-'T1 NSA'!K57)</f>
        <v>-3711.3231999999698</v>
      </c>
      <c r="D23" s="325">
        <f>'T1 NSA'!U61-'T1 NSA'!U57-('T1 NSA'!L61-'T1 NSA'!L57)</f>
        <v>0.26560000000608852</v>
      </c>
      <c r="E23" s="326"/>
      <c r="F23" s="324"/>
      <c r="G23" s="325"/>
      <c r="H23" s="325"/>
      <c r="I23" s="325"/>
      <c r="J23" s="326"/>
    </row>
    <row r="24" spans="1:10">
      <c r="A24" s="265" t="s">
        <v>410</v>
      </c>
      <c r="B24" s="1313"/>
      <c r="C24" s="247">
        <f>'T1 NSA'!T57-'T1 NSA'!K57</f>
        <v>-3808.3130923808203</v>
      </c>
      <c r="D24" s="325">
        <f>'T1 NSA'!U57-'T1 NSA'!L57</f>
        <v>-6609.2647955020075</v>
      </c>
      <c r="E24" s="326"/>
      <c r="F24" s="324"/>
      <c r="G24" s="325"/>
      <c r="H24" s="325"/>
      <c r="I24" s="325"/>
      <c r="J24" s="326"/>
    </row>
    <row r="25" spans="1:10">
      <c r="A25" s="265" t="s">
        <v>411</v>
      </c>
      <c r="B25" s="1313"/>
      <c r="C25" s="381"/>
      <c r="D25" s="382"/>
      <c r="E25" s="383"/>
      <c r="F25" s="381"/>
      <c r="G25" s="382"/>
      <c r="H25" s="382"/>
      <c r="I25" s="382"/>
      <c r="J25" s="383"/>
    </row>
    <row r="26" spans="1:10">
      <c r="A26" s="265" t="s">
        <v>412</v>
      </c>
      <c r="B26" s="1313"/>
      <c r="C26" s="381"/>
      <c r="D26" s="382"/>
      <c r="E26" s="383"/>
      <c r="F26" s="381"/>
      <c r="G26" s="382"/>
      <c r="H26" s="382"/>
      <c r="I26" s="382"/>
      <c r="J26" s="383"/>
    </row>
    <row r="27" spans="1:10">
      <c r="A27" s="265" t="s">
        <v>413</v>
      </c>
      <c r="B27" s="1313"/>
      <c r="C27" s="381"/>
      <c r="D27" s="382"/>
      <c r="E27" s="383"/>
      <c r="F27" s="381"/>
      <c r="G27" s="382"/>
      <c r="H27" s="382"/>
      <c r="I27" s="382"/>
      <c r="J27" s="383"/>
    </row>
    <row r="28" spans="1:10">
      <c r="A28" s="270" t="s">
        <v>414</v>
      </c>
      <c r="B28" s="1314"/>
      <c r="C28" s="240">
        <f>SUM(C22:C27)</f>
        <v>-7519.6362923807901</v>
      </c>
      <c r="D28" s="342">
        <f>SUM(D22:D27)</f>
        <v>-6608.9991955020014</v>
      </c>
      <c r="E28" s="343"/>
      <c r="F28" s="341"/>
      <c r="G28" s="342"/>
      <c r="H28" s="342"/>
      <c r="I28" s="342"/>
      <c r="J28" s="343"/>
    </row>
    <row r="29" spans="1:10" ht="10.9" customHeight="1">
      <c r="C29" s="250"/>
      <c r="E29" s="251"/>
      <c r="F29" s="250"/>
      <c r="H29" s="222"/>
      <c r="I29" s="222"/>
      <c r="J29" s="251"/>
    </row>
    <row r="30" spans="1:10">
      <c r="A30" s="231" t="s">
        <v>415</v>
      </c>
      <c r="B30" s="231"/>
      <c r="C30" s="1274"/>
      <c r="D30" s="232"/>
      <c r="E30" s="1275"/>
      <c r="F30" s="1274"/>
      <c r="G30" s="232"/>
      <c r="H30" s="232"/>
      <c r="I30" s="232"/>
      <c r="J30" s="1275"/>
    </row>
    <row r="31" spans="1:10" ht="1.9" customHeight="1">
      <c r="C31" s="250"/>
      <c r="E31" s="251"/>
      <c r="F31" s="250"/>
      <c r="H31" s="222"/>
      <c r="I31" s="222"/>
      <c r="J31" s="251"/>
    </row>
    <row r="32" spans="1:10">
      <c r="A32" s="233" t="s">
        <v>416</v>
      </c>
      <c r="B32" s="1309"/>
      <c r="C32" s="235"/>
      <c r="D32" s="236"/>
      <c r="E32" s="1276"/>
      <c r="F32" s="235"/>
      <c r="G32" s="236"/>
      <c r="H32" s="236"/>
      <c r="I32" s="236"/>
      <c r="J32" s="1276"/>
    </row>
    <row r="33" spans="1:10">
      <c r="A33" s="250" t="s">
        <v>417</v>
      </c>
      <c r="C33" s="351"/>
      <c r="D33" s="358"/>
      <c r="E33" s="1338"/>
      <c r="F33" s="1355"/>
      <c r="G33" s="358"/>
      <c r="H33" s="358"/>
      <c r="I33" s="358"/>
      <c r="J33" s="1338"/>
    </row>
    <row r="34" spans="1:10">
      <c r="A34" s="272" t="s">
        <v>418</v>
      </c>
      <c r="B34" s="856"/>
      <c r="C34" s="1339"/>
      <c r="D34" s="359"/>
      <c r="E34" s="1340"/>
      <c r="F34" s="1356"/>
      <c r="G34" s="359"/>
      <c r="H34" s="359"/>
      <c r="I34" s="359"/>
      <c r="J34" s="1340"/>
    </row>
    <row r="35" spans="1:10">
      <c r="A35" s="272" t="s">
        <v>419</v>
      </c>
      <c r="B35" s="856"/>
      <c r="C35" s="1339"/>
      <c r="D35" s="359"/>
      <c r="E35" s="1340"/>
      <c r="F35" s="1356"/>
      <c r="G35" s="359"/>
      <c r="H35" s="359"/>
      <c r="I35" s="359"/>
      <c r="J35" s="1340"/>
    </row>
    <row r="36" spans="1:10">
      <c r="A36" s="272" t="s">
        <v>420</v>
      </c>
      <c r="B36" s="856"/>
      <c r="C36" s="1339"/>
      <c r="D36" s="359"/>
      <c r="E36" s="1340"/>
      <c r="F36" s="1356"/>
      <c r="G36" s="359"/>
      <c r="H36" s="359"/>
      <c r="I36" s="359"/>
      <c r="J36" s="1340"/>
    </row>
    <row r="37" spans="1:10">
      <c r="A37" s="272" t="s">
        <v>421</v>
      </c>
      <c r="B37" s="856"/>
      <c r="C37" s="1341"/>
      <c r="D37" s="360"/>
      <c r="E37" s="1342"/>
      <c r="F37" s="1356"/>
      <c r="G37" s="360"/>
      <c r="H37" s="360"/>
      <c r="I37" s="360"/>
      <c r="J37" s="1342"/>
    </row>
    <row r="38" spans="1:10">
      <c r="A38" s="250" t="s">
        <v>422</v>
      </c>
      <c r="C38" s="247">
        <f>'T1 NSA'!K68</f>
        <v>12647.945</v>
      </c>
      <c r="D38" s="275">
        <f>'T1 NSA'!L68</f>
        <v>12891</v>
      </c>
      <c r="E38" s="276">
        <f>'T1 NSA'!M68</f>
        <v>13183</v>
      </c>
      <c r="F38" s="247">
        <f>'T1 NSA'!N68</f>
        <v>11715</v>
      </c>
      <c r="G38" s="275">
        <f>'T1 NSA'!O68</f>
        <v>12228</v>
      </c>
      <c r="H38" s="275">
        <f>'T1 NSA'!P68</f>
        <v>12424</v>
      </c>
      <c r="I38" s="275">
        <f>'T1 NSA'!Q68</f>
        <v>12641</v>
      </c>
      <c r="J38" s="276">
        <f>'T1 NSA'!R68</f>
        <v>12850</v>
      </c>
    </row>
    <row r="39" spans="1:10">
      <c r="A39" s="272" t="s">
        <v>423</v>
      </c>
      <c r="B39" s="856"/>
      <c r="C39" s="247">
        <f>'T1 NSA'!T68</f>
        <v>5099.1790000000001</v>
      </c>
      <c r="D39" s="267">
        <f>'T1 NSA'!U68</f>
        <v>5395.3419999999996</v>
      </c>
      <c r="E39" s="1284"/>
      <c r="F39" s="247"/>
      <c r="G39" s="267"/>
      <c r="H39" s="267"/>
      <c r="I39" s="267"/>
      <c r="J39" s="1284"/>
    </row>
    <row r="40" spans="1:10">
      <c r="A40" s="277" t="s">
        <v>424</v>
      </c>
      <c r="B40" s="831"/>
      <c r="C40" s="1288">
        <f>+C39/C38-1</f>
        <v>-0.59683735183857922</v>
      </c>
      <c r="D40" s="279">
        <f>+D39/D38-1</f>
        <v>-0.58146443254984104</v>
      </c>
      <c r="E40" s="1289"/>
      <c r="F40" s="1357"/>
      <c r="G40" s="279"/>
      <c r="H40" s="279"/>
      <c r="I40" s="279"/>
      <c r="J40" s="1289"/>
    </row>
    <row r="41" spans="1:10">
      <c r="A41" s="238" t="s">
        <v>425</v>
      </c>
      <c r="B41" s="1310"/>
      <c r="C41" s="240">
        <f>IF(C40&lt;-C37,((C40+C37)*-C33)+((C37-C34)*C36*C33),IF(C40&lt;=-C34,(C40+C34)*C36*-C33,IF(C40&lt;=C34,0,IF(C40&lt;=C37,-(C40-C34)*C35*C33,(-(C40-C37+(C37-C34)*C35)*C33)))))</f>
        <v>0</v>
      </c>
      <c r="D41" s="241"/>
      <c r="E41" s="242"/>
      <c r="F41" s="1031"/>
      <c r="G41" s="241"/>
      <c r="H41" s="241"/>
      <c r="I41" s="241"/>
      <c r="J41" s="242"/>
    </row>
    <row r="42" spans="1:10" ht="3" customHeight="1">
      <c r="C42" s="250"/>
      <c r="E42" s="251"/>
      <c r="F42" s="250"/>
      <c r="H42" s="222"/>
      <c r="I42" s="222"/>
      <c r="J42" s="251"/>
    </row>
    <row r="43" spans="1:10">
      <c r="A43" s="243" t="s">
        <v>426</v>
      </c>
      <c r="B43" s="1311"/>
      <c r="C43" s="235"/>
      <c r="D43" s="236"/>
      <c r="E43" s="1276"/>
      <c r="F43" s="235"/>
      <c r="G43" s="236"/>
      <c r="H43" s="236"/>
      <c r="I43" s="236"/>
      <c r="J43" s="1276"/>
    </row>
    <row r="44" spans="1:10">
      <c r="A44" s="283" t="s">
        <v>427</v>
      </c>
      <c r="B44" s="1315"/>
      <c r="C44" s="324">
        <f>-(C12-C33)*C40</f>
        <v>41495.455190986162</v>
      </c>
      <c r="D44" s="325">
        <f>-(D12-D33)*D40</f>
        <v>41029.454750225465</v>
      </c>
      <c r="E44" s="326"/>
      <c r="F44" s="324"/>
      <c r="G44" s="325"/>
      <c r="H44" s="325"/>
      <c r="I44" s="325"/>
      <c r="J44" s="326"/>
    </row>
    <row r="45" spans="1:10">
      <c r="A45" s="285" t="s">
        <v>428</v>
      </c>
      <c r="B45" s="1316"/>
      <c r="C45" s="324">
        <f>('T3 NSA'!E21-'T3 NSA'!E11+'T3 NSA'!E36-'T3 NSA'!E26+'T3 NSA'!E47+'T3 NSA'!E58+'T3 NSA'!E69+'T3 NSA'!E80+'T3 NSA'!E91+'T3 NSA'!E102+'T3 NSA'!E111+'T3 NSA'!E126-'T3 NSA'!E116+'T3 NSA'!E141-'T3 NSA'!E131+'T3 NSA'!E166-'T3 NSA'!E146+'T3 NSA'!E181-'T3 NSA'!E171+'T3 NSA'!E196-'T3 NSA'!E186+'T3 NSA'!E211-'T3 NSA'!E201+'T3 NSA'!E226-'T3 NSA'!E216+'T3 NSA'!E237+'T3 NSA'!E248)*-C40</f>
        <v>0</v>
      </c>
      <c r="D45" s="324">
        <f>('T3 NSA'!F21-'T3 NSA'!F11+'T3 NSA'!F36-'T3 NSA'!F26+'T3 NSA'!F47+'T3 NSA'!F58+'T3 NSA'!F69+'T3 NSA'!F80+'T3 NSA'!F91+'T3 NSA'!F102+'T3 NSA'!F111+'T3 NSA'!F126-'T3 NSA'!F116+'T3 NSA'!F141-'T3 NSA'!F131+'T3 NSA'!F166-'T3 NSA'!F146+'T3 NSA'!F181-'T3 NSA'!F171+'T3 NSA'!F196-'T3 NSA'!F186+'T3 NSA'!F211-'T3 NSA'!F201+'T3 NSA'!F226-'T3 NSA'!F216+'T3 NSA'!F237+'T3 NSA'!F248)*-D40</f>
        <v>0</v>
      </c>
      <c r="E45" s="1469">
        <f>('T3 NSA'!G21-'T3 NSA'!G15+'T3 NSA'!G36-'T3 NSA'!G30+'T3 NSA'!G47+'T3 NSA'!G58+'T3 NSA'!G69+'T3 NSA'!G80+'T3 NSA'!G91+'T3 NSA'!G102+'T3 NSA'!G111+'T3 NSA'!G126-'T3 NSA'!G120+'T3 NSA'!G141-'T3 NSA'!G135+'T3 NSA'!G166-'T3 NSA'!G156-'T3 NSA'!G160+'T3 NSA'!G181-'T3 NSA'!G171+'T3 NSA'!G196-'T3 NSA'!G190+'T3 NSA'!G211-'T3 NSA'!G205+'T3 NSA'!G226-'T3 NSA'!G220+'T3 NSA'!G237+'T3 NSA'!G248)*-E40</f>
        <v>0</v>
      </c>
      <c r="F45" s="324"/>
      <c r="G45" s="325"/>
      <c r="H45" s="325"/>
      <c r="I45" s="325"/>
      <c r="J45" s="326"/>
    </row>
    <row r="46" spans="1:10">
      <c r="A46" s="270" t="s">
        <v>429</v>
      </c>
      <c r="B46" s="1314"/>
      <c r="C46" s="240">
        <f>SUM(C44:C45)</f>
        <v>41495.455190986162</v>
      </c>
      <c r="D46" s="241">
        <f>SUM(D44:D45)</f>
        <v>41029.454750225465</v>
      </c>
      <c r="E46" s="242"/>
      <c r="F46" s="1031"/>
      <c r="G46" s="241"/>
      <c r="H46" s="241"/>
      <c r="I46" s="241"/>
      <c r="J46" s="242"/>
    </row>
    <row r="47" spans="1:10" ht="10.9" customHeight="1">
      <c r="C47" s="250"/>
      <c r="E47" s="251"/>
      <c r="F47" s="250"/>
      <c r="H47" s="222"/>
      <c r="I47" s="222"/>
      <c r="J47" s="251"/>
    </row>
    <row r="48" spans="1:10">
      <c r="A48" s="231" t="s">
        <v>430</v>
      </c>
      <c r="B48" s="231"/>
      <c r="C48" s="1274"/>
      <c r="D48" s="232"/>
      <c r="E48" s="1275"/>
      <c r="F48" s="1274"/>
      <c r="G48" s="232"/>
      <c r="H48" s="232"/>
      <c r="I48" s="232"/>
      <c r="J48" s="1275"/>
    </row>
    <row r="49" spans="1:10" ht="3.6" customHeight="1">
      <c r="C49" s="250"/>
      <c r="E49" s="251"/>
      <c r="F49" s="250"/>
      <c r="H49" s="222"/>
      <c r="I49" s="222"/>
      <c r="J49" s="251"/>
    </row>
    <row r="50" spans="1:10">
      <c r="A50" s="233" t="s">
        <v>431</v>
      </c>
      <c r="B50" s="1309"/>
      <c r="C50" s="235"/>
      <c r="D50" s="236"/>
      <c r="E50" s="1276"/>
      <c r="F50" s="235"/>
      <c r="G50" s="236"/>
      <c r="H50" s="236"/>
      <c r="I50" s="236"/>
      <c r="J50" s="1276"/>
    </row>
    <row r="51" spans="1:10">
      <c r="A51" s="272" t="s">
        <v>432</v>
      </c>
      <c r="B51" s="856"/>
      <c r="C51" s="347"/>
      <c r="D51" s="384"/>
      <c r="E51" s="1343"/>
      <c r="F51" s="1356"/>
      <c r="G51" s="384"/>
      <c r="H51" s="384"/>
      <c r="I51" s="384"/>
      <c r="J51" s="1343"/>
    </row>
    <row r="52" spans="1:10">
      <c r="A52" s="272" t="s">
        <v>433</v>
      </c>
      <c r="B52" s="856"/>
      <c r="C52" s="347"/>
      <c r="D52" s="384"/>
      <c r="E52" s="1343"/>
      <c r="F52" s="1356"/>
      <c r="G52" s="384"/>
      <c r="H52" s="384"/>
      <c r="I52" s="384"/>
      <c r="J52" s="1343"/>
    </row>
    <row r="53" spans="1:10">
      <c r="A53" s="250" t="s">
        <v>434</v>
      </c>
      <c r="C53" s="347"/>
      <c r="D53" s="384"/>
      <c r="E53" s="1343"/>
      <c r="F53" s="1355"/>
      <c r="G53" s="384"/>
      <c r="H53" s="384"/>
      <c r="I53" s="384"/>
      <c r="J53" s="1343"/>
    </row>
    <row r="54" spans="1:10" s="291" customFormat="1">
      <c r="A54" s="270" t="s">
        <v>435</v>
      </c>
      <c r="B54" s="1314"/>
      <c r="C54" s="773"/>
      <c r="D54" s="774"/>
      <c r="E54" s="775"/>
      <c r="F54" s="773"/>
      <c r="G54" s="774"/>
      <c r="H54" s="774"/>
      <c r="I54" s="774"/>
      <c r="J54" s="775"/>
    </row>
    <row r="55" spans="1:10" ht="12" customHeight="1">
      <c r="C55" s="250"/>
      <c r="E55" s="251"/>
      <c r="F55" s="250"/>
      <c r="H55" s="222"/>
      <c r="I55" s="222"/>
      <c r="J55" s="251"/>
    </row>
    <row r="56" spans="1:10">
      <c r="A56" s="231" t="s">
        <v>436</v>
      </c>
      <c r="B56" s="231"/>
      <c r="C56" s="1294"/>
      <c r="D56" s="292"/>
      <c r="E56" s="1295"/>
      <c r="F56" s="1274"/>
      <c r="G56" s="292"/>
      <c r="H56" s="292"/>
      <c r="I56" s="292"/>
      <c r="J56" s="1295"/>
    </row>
    <row r="57" spans="1:10" ht="3.6" customHeight="1">
      <c r="C57" s="250"/>
      <c r="E57" s="251"/>
      <c r="F57" s="250"/>
      <c r="H57" s="222"/>
      <c r="I57" s="222"/>
      <c r="J57" s="251"/>
    </row>
    <row r="58" spans="1:10">
      <c r="A58" s="233" t="s">
        <v>294</v>
      </c>
      <c r="B58" s="1309"/>
      <c r="C58" s="235"/>
      <c r="D58" s="236"/>
      <c r="E58" s="1276"/>
      <c r="F58" s="235"/>
      <c r="G58" s="236"/>
      <c r="H58" s="236"/>
      <c r="I58" s="236"/>
      <c r="J58" s="1276"/>
    </row>
    <row r="59" spans="1:10" s="294" customFormat="1">
      <c r="A59" s="270" t="s">
        <v>437</v>
      </c>
      <c r="B59" s="1314"/>
      <c r="C59" s="361"/>
      <c r="D59" s="293"/>
      <c r="E59" s="309"/>
      <c r="F59" s="367"/>
      <c r="G59" s="293"/>
      <c r="H59" s="293"/>
      <c r="I59" s="293"/>
      <c r="J59" s="309"/>
    </row>
    <row r="60" spans="1:10" ht="3.6" customHeight="1">
      <c r="C60" s="250"/>
      <c r="E60" s="251"/>
      <c r="F60" s="250"/>
      <c r="H60" s="222"/>
      <c r="I60" s="222"/>
      <c r="J60" s="251"/>
    </row>
    <row r="61" spans="1:10">
      <c r="A61" s="233" t="s">
        <v>438</v>
      </c>
      <c r="B61" s="1309"/>
      <c r="C61" s="235"/>
      <c r="D61" s="236"/>
      <c r="E61" s="1276"/>
      <c r="F61" s="235"/>
      <c r="G61" s="236"/>
      <c r="H61" s="236"/>
      <c r="I61" s="236"/>
      <c r="J61" s="1276"/>
    </row>
    <row r="62" spans="1:10">
      <c r="A62" s="245" t="s">
        <v>439</v>
      </c>
      <c r="B62" s="814"/>
      <c r="C62" s="989">
        <v>4.7410582189540929</v>
      </c>
      <c r="D62" s="298"/>
      <c r="E62" s="1344"/>
      <c r="F62" s="1358"/>
      <c r="G62" s="298"/>
      <c r="H62" s="298"/>
      <c r="I62" s="298"/>
      <c r="J62" s="1344"/>
    </row>
    <row r="63" spans="1:10">
      <c r="A63" s="299" t="s">
        <v>440</v>
      </c>
      <c r="B63" s="1317"/>
      <c r="C63" s="1031">
        <f>(C96-C62)*C39</f>
        <v>0</v>
      </c>
      <c r="D63" s="301"/>
      <c r="E63" s="1345"/>
      <c r="F63" s="1359"/>
      <c r="G63" s="301"/>
      <c r="H63" s="301"/>
      <c r="I63" s="301"/>
      <c r="J63" s="1345"/>
    </row>
    <row r="64" spans="1:10" ht="3" customHeight="1">
      <c r="C64" s="250"/>
      <c r="E64" s="251"/>
      <c r="F64" s="250"/>
      <c r="H64" s="222"/>
      <c r="I64" s="222"/>
      <c r="J64" s="251"/>
    </row>
    <row r="65" spans="1:10">
      <c r="A65" s="233" t="s">
        <v>441</v>
      </c>
      <c r="B65" s="1309"/>
      <c r="C65" s="235"/>
      <c r="D65" s="236"/>
      <c r="E65" s="1276"/>
      <c r="F65" s="235"/>
      <c r="G65" s="236"/>
      <c r="H65" s="236"/>
      <c r="I65" s="236"/>
      <c r="J65" s="1276"/>
    </row>
    <row r="66" spans="1:10">
      <c r="A66" s="299" t="s">
        <v>442</v>
      </c>
      <c r="B66" s="1317"/>
      <c r="C66" s="784"/>
      <c r="D66" s="782"/>
      <c r="E66" s="1346"/>
      <c r="F66" s="1360"/>
      <c r="G66" s="782"/>
      <c r="H66" s="782"/>
      <c r="I66" s="782"/>
      <c r="J66" s="1346"/>
    </row>
    <row r="67" spans="1:10" ht="3" customHeight="1">
      <c r="C67" s="250"/>
      <c r="E67" s="251"/>
      <c r="F67" s="250"/>
      <c r="H67" s="222"/>
      <c r="I67" s="222"/>
      <c r="J67" s="251"/>
    </row>
    <row r="68" spans="1:10">
      <c r="A68" s="233" t="s">
        <v>302</v>
      </c>
      <c r="B68" s="1309"/>
      <c r="C68" s="280"/>
      <c r="D68" s="281"/>
      <c r="E68" s="1291"/>
      <c r="F68" s="280"/>
      <c r="G68" s="281"/>
      <c r="H68" s="281"/>
      <c r="I68" s="281"/>
      <c r="J68" s="1291"/>
    </row>
    <row r="69" spans="1:10">
      <c r="A69" s="304" t="s">
        <v>443</v>
      </c>
      <c r="B69" s="855"/>
      <c r="C69" s="1034">
        <v>0</v>
      </c>
      <c r="D69" s="363"/>
      <c r="E69" s="1347"/>
      <c r="F69" s="1361"/>
      <c r="G69" s="363"/>
      <c r="H69" s="363"/>
      <c r="I69" s="363"/>
      <c r="J69" s="1347"/>
    </row>
    <row r="70" spans="1:10">
      <c r="A70" s="272" t="s">
        <v>444</v>
      </c>
      <c r="B70" s="856"/>
      <c r="C70" s="1035">
        <v>0</v>
      </c>
      <c r="D70" s="268"/>
      <c r="E70" s="306"/>
      <c r="F70" s="1362"/>
      <c r="G70" s="268"/>
      <c r="H70" s="268"/>
      <c r="I70" s="268"/>
      <c r="J70" s="306"/>
    </row>
    <row r="71" spans="1:10">
      <c r="A71" s="272" t="s">
        <v>445</v>
      </c>
      <c r="B71" s="856"/>
      <c r="C71" s="1035">
        <v>0</v>
      </c>
      <c r="D71" s="364"/>
      <c r="E71" s="1348"/>
      <c r="F71" s="1362"/>
      <c r="G71" s="364"/>
      <c r="H71" s="364"/>
      <c r="I71" s="364"/>
      <c r="J71" s="1348"/>
    </row>
    <row r="72" spans="1:10">
      <c r="A72" s="272" t="s">
        <v>446</v>
      </c>
      <c r="B72" s="856"/>
      <c r="C72" s="365"/>
      <c r="D72" s="366"/>
      <c r="E72" s="1349"/>
      <c r="F72" s="1365"/>
      <c r="G72" s="366"/>
      <c r="H72" s="366"/>
      <c r="I72" s="366"/>
      <c r="J72" s="1349"/>
    </row>
    <row r="73" spans="1:10">
      <c r="A73" s="307" t="s">
        <v>447</v>
      </c>
      <c r="B73" s="1318"/>
      <c r="C73" s="240"/>
      <c r="D73" s="241"/>
      <c r="E73" s="242"/>
      <c r="F73" s="240"/>
      <c r="G73" s="241"/>
      <c r="H73" s="241"/>
      <c r="I73" s="241"/>
      <c r="J73" s="242"/>
    </row>
    <row r="74" spans="1:10" ht="3.95" customHeight="1">
      <c r="A74" s="310"/>
      <c r="B74" s="310"/>
      <c r="C74" s="1307"/>
      <c r="D74" s="312"/>
      <c r="E74" s="1308"/>
      <c r="F74" s="1307"/>
      <c r="G74" s="312"/>
      <c r="H74" s="312"/>
      <c r="I74" s="312"/>
      <c r="J74" s="1308"/>
    </row>
    <row r="75" spans="1:10">
      <c r="A75" s="233" t="s">
        <v>448</v>
      </c>
      <c r="B75" s="1309"/>
      <c r="C75" s="280"/>
      <c r="D75" s="281"/>
      <c r="E75" s="1291"/>
      <c r="F75" s="280"/>
      <c r="G75" s="281"/>
      <c r="H75" s="281"/>
      <c r="I75" s="281"/>
      <c r="J75" s="1291"/>
    </row>
    <row r="76" spans="1:10" s="294" customFormat="1">
      <c r="A76" s="307" t="s">
        <v>449</v>
      </c>
      <c r="B76" s="1318"/>
      <c r="C76" s="367"/>
      <c r="D76" s="293"/>
      <c r="E76" s="309"/>
      <c r="F76" s="367"/>
      <c r="G76" s="293"/>
      <c r="H76" s="293"/>
      <c r="I76" s="293"/>
      <c r="J76" s="309"/>
    </row>
    <row r="77" spans="1:10" ht="9.9499999999999993" customHeight="1">
      <c r="A77" s="310"/>
      <c r="B77" s="310"/>
      <c r="C77" s="1307"/>
      <c r="D77" s="312"/>
      <c r="E77" s="1308"/>
      <c r="F77" s="1307"/>
      <c r="G77" s="312"/>
      <c r="H77" s="312"/>
      <c r="I77" s="312"/>
      <c r="J77" s="1308"/>
    </row>
    <row r="78" spans="1:10">
      <c r="A78" s="313" t="s">
        <v>450</v>
      </c>
      <c r="B78" s="314"/>
      <c r="C78" s="385">
        <f>C19+C28+C41+C46+C54+C63+C73</f>
        <v>33975.818898605372</v>
      </c>
      <c r="D78" s="317">
        <f>D19+D28+D41+D46+D54+D63+D73</f>
        <v>34420.455554723463</v>
      </c>
      <c r="E78" s="318"/>
      <c r="F78" s="385"/>
      <c r="G78" s="317"/>
      <c r="H78" s="317"/>
      <c r="I78" s="317"/>
      <c r="J78" s="318"/>
    </row>
    <row r="79" spans="1:10" ht="26.1" customHeight="1">
      <c r="A79" s="319"/>
      <c r="C79" s="1350"/>
      <c r="D79" s="320"/>
      <c r="E79" s="269"/>
      <c r="F79" s="1303"/>
      <c r="G79" s="320"/>
      <c r="H79" s="320"/>
      <c r="I79" s="320"/>
      <c r="J79" s="269"/>
    </row>
    <row r="80" spans="1:10">
      <c r="A80" s="1591" t="s">
        <v>451</v>
      </c>
      <c r="B80" s="1597"/>
      <c r="C80" s="228">
        <v>2020</v>
      </c>
      <c r="D80" s="229">
        <v>2021</v>
      </c>
      <c r="E80" s="1247">
        <v>2022</v>
      </c>
      <c r="F80" s="1246">
        <v>2023</v>
      </c>
      <c r="G80" s="229">
        <v>2024</v>
      </c>
      <c r="H80" s="229">
        <v>2025</v>
      </c>
      <c r="I80" s="229">
        <v>2026</v>
      </c>
      <c r="J80" s="1247">
        <v>2027</v>
      </c>
    </row>
    <row r="81" spans="1:10">
      <c r="A81" s="261" t="s">
        <v>452</v>
      </c>
      <c r="B81" s="1312"/>
      <c r="C81" s="321">
        <f>+C12</f>
        <v>69525.56682847999</v>
      </c>
      <c r="D81" s="322">
        <f>+D12</f>
        <v>70562.277679311999</v>
      </c>
      <c r="E81" s="323">
        <f>+E12</f>
        <v>70564.365678352013</v>
      </c>
      <c r="F81" s="321">
        <f>+F12</f>
        <v>76714.453991403992</v>
      </c>
      <c r="G81" s="322">
        <f>+G12</f>
        <v>76912.335836459999</v>
      </c>
      <c r="H81" s="322">
        <f t="shared" ref="H81:J81" si="0">+H12</f>
        <v>78144.878469580988</v>
      </c>
      <c r="I81" s="322">
        <f t="shared" si="0"/>
        <v>80567.466646126995</v>
      </c>
      <c r="J81" s="323">
        <f t="shared" si="0"/>
        <v>80008.466646126995</v>
      </c>
    </row>
    <row r="82" spans="1:10">
      <c r="A82" s="250" t="s">
        <v>453</v>
      </c>
      <c r="C82" s="324">
        <f>'T3 NSA'!E21</f>
        <v>-1453</v>
      </c>
      <c r="D82" s="325">
        <f>'T3 NSA'!F21</f>
        <v>-1608.5000588783619</v>
      </c>
      <c r="E82" s="326">
        <f>'T3 NSA'!G21</f>
        <v>0</v>
      </c>
      <c r="F82" s="1326">
        <f>'T3 NSA'!H21</f>
        <v>0</v>
      </c>
      <c r="G82" s="325">
        <f>'T3 NSA'!I21</f>
        <v>0</v>
      </c>
      <c r="H82" s="325">
        <f>'T3 NSA'!J21</f>
        <v>0</v>
      </c>
      <c r="I82" s="325">
        <f>'T3 NSA'!K21</f>
        <v>0</v>
      </c>
      <c r="J82" s="326">
        <f>'T3 NSA'!L21</f>
        <v>0</v>
      </c>
    </row>
    <row r="83" spans="1:10">
      <c r="A83" s="250" t="s">
        <v>454</v>
      </c>
      <c r="C83" s="324">
        <f>'T3 NSA'!E36</f>
        <v>0</v>
      </c>
      <c r="D83" s="325">
        <f>'T3 NSA'!F36</f>
        <v>0</v>
      </c>
      <c r="E83" s="326">
        <f>'T3 NSA'!G36</f>
        <v>0</v>
      </c>
      <c r="F83" s="1326">
        <f>'T3 NSA'!H36</f>
        <v>0</v>
      </c>
      <c r="G83" s="325">
        <f>'T3 NSA'!I36</f>
        <v>0</v>
      </c>
      <c r="H83" s="325">
        <f>'T3 NSA'!J36</f>
        <v>0</v>
      </c>
      <c r="I83" s="325">
        <f>'T3 NSA'!K36</f>
        <v>0</v>
      </c>
      <c r="J83" s="326">
        <f>'T3 NSA'!L36</f>
        <v>0</v>
      </c>
    </row>
    <row r="84" spans="1:10">
      <c r="A84" s="272" t="s">
        <v>455</v>
      </c>
      <c r="B84" s="856"/>
      <c r="C84" s="324">
        <f>'T3 NSA'!E107</f>
        <v>0</v>
      </c>
      <c r="D84" s="325">
        <f>'T3 NSA'!F107</f>
        <v>-5528.924059477531</v>
      </c>
      <c r="E84" s="326">
        <f>'T3 NSA'!G107</f>
        <v>0</v>
      </c>
      <c r="F84" s="1326">
        <f>'T3 NSA'!H111</f>
        <v>0</v>
      </c>
      <c r="G84" s="325">
        <f>'T3 NSA'!I111</f>
        <v>0</v>
      </c>
      <c r="H84" s="325">
        <f>'T3 NSA'!J111</f>
        <v>0</v>
      </c>
      <c r="I84" s="325">
        <f>'T3 NSA'!K111</f>
        <v>0</v>
      </c>
      <c r="J84" s="326">
        <f>'T3 NSA'!L111</f>
        <v>0</v>
      </c>
    </row>
    <row r="85" spans="1:10">
      <c r="A85" s="272" t="s">
        <v>456</v>
      </c>
      <c r="B85" s="856"/>
      <c r="C85" s="324">
        <f>'T3 NSA'!E126</f>
        <v>0</v>
      </c>
      <c r="D85" s="325">
        <f>'T3 NSA'!F126</f>
        <v>0</v>
      </c>
      <c r="E85" s="326">
        <f>'T3 NSA'!G126</f>
        <v>0</v>
      </c>
      <c r="F85" s="1326">
        <f>'T3 NSA'!H126</f>
        <v>0</v>
      </c>
      <c r="G85" s="325">
        <f>'T3 NSA'!I126</f>
        <v>0</v>
      </c>
      <c r="H85" s="325">
        <f>'T3 NSA'!J126</f>
        <v>0</v>
      </c>
      <c r="I85" s="325">
        <f>'T3 NSA'!K126</f>
        <v>0</v>
      </c>
      <c r="J85" s="326">
        <f>'T3 NSA'!L126</f>
        <v>0</v>
      </c>
    </row>
    <row r="86" spans="1:10">
      <c r="A86" s="272" t="s">
        <v>457</v>
      </c>
      <c r="B86" s="856"/>
      <c r="C86" s="324">
        <f>'T3 NSA'!E141</f>
        <v>0</v>
      </c>
      <c r="D86" s="325">
        <f>'T3 NSA'!F141</f>
        <v>0</v>
      </c>
      <c r="E86" s="326">
        <f>'T3 NSA'!G141</f>
        <v>0</v>
      </c>
      <c r="F86" s="1326">
        <f>'T3 NSA'!H141</f>
        <v>0</v>
      </c>
      <c r="G86" s="325">
        <f>'T3 NSA'!I141</f>
        <v>0</v>
      </c>
      <c r="H86" s="325">
        <f>'T3 NSA'!J141</f>
        <v>0</v>
      </c>
      <c r="I86" s="325">
        <f>'T3 NSA'!K141</f>
        <v>0</v>
      </c>
      <c r="J86" s="326">
        <f>'T3 NSA'!L141</f>
        <v>0</v>
      </c>
    </row>
    <row r="87" spans="1:10">
      <c r="A87" s="272" t="s">
        <v>458</v>
      </c>
      <c r="B87" s="856"/>
      <c r="C87" s="324">
        <f>'T3 NSA'!E166</f>
        <v>-8107.9232333506698</v>
      </c>
      <c r="D87" s="325">
        <f>'T3 NSA'!F166</f>
        <v>-8764.7680110260899</v>
      </c>
      <c r="E87" s="326">
        <f>'T3 NSA'!G166</f>
        <v>35789.139087261203</v>
      </c>
      <c r="F87" s="1326">
        <f>'T3 NSA'!H166</f>
        <v>31782.895627415819</v>
      </c>
      <c r="G87" s="325">
        <f>'T3 NSA'!I166</f>
        <v>0</v>
      </c>
      <c r="H87" s="325">
        <f>'T3 NSA'!J166</f>
        <v>0</v>
      </c>
      <c r="I87" s="325">
        <f>'T3 NSA'!K166</f>
        <v>0</v>
      </c>
      <c r="J87" s="326">
        <f>'T3 NSA'!L166</f>
        <v>0</v>
      </c>
    </row>
    <row r="88" spans="1:10">
      <c r="A88" s="250" t="s">
        <v>459</v>
      </c>
      <c r="C88" s="324">
        <f>'T3 NSA'!E181+'T3 NSA'!E196+'T3 NSA'!E211+'T3 NSA'!E226</f>
        <v>0</v>
      </c>
      <c r="D88" s="325">
        <f>'T3 NSA'!F181+'T3 NSA'!F196+'T3 NSA'!F211+'T3 NSA'!F226</f>
        <v>0</v>
      </c>
      <c r="E88" s="326">
        <f>'T3 NSA'!G181+'T3 NSA'!G196+'T3 NSA'!G211+'T3 NSA'!G226</f>
        <v>0</v>
      </c>
      <c r="F88" s="1326">
        <f>'T3 NSA'!H181+'T3 NSA'!H196+'T3 NSA'!H211+'T3 NSA'!H226</f>
        <v>0</v>
      </c>
      <c r="G88" s="325">
        <f>'T3 NSA'!I181+'T3 NSA'!I196+'T3 NSA'!I211+'T3 NSA'!I226</f>
        <v>0</v>
      </c>
      <c r="H88" s="325">
        <f>'T3 NSA'!J181+'T3 NSA'!J196+'T3 NSA'!J211+'T3 NSA'!J226</f>
        <v>0</v>
      </c>
      <c r="I88" s="325">
        <f>'T3 NSA'!K181+'T3 NSA'!K196+'T3 NSA'!K211+'T3 NSA'!K226</f>
        <v>0</v>
      </c>
      <c r="J88" s="326">
        <f>'T3 NSA'!L181+'T3 NSA'!L196+'T3 NSA'!L211+'T3 NSA'!L226</f>
        <v>0</v>
      </c>
    </row>
    <row r="89" spans="1:10">
      <c r="A89" s="250" t="s">
        <v>460</v>
      </c>
      <c r="C89" s="324">
        <f>'T3 NSA'!E248</f>
        <v>0</v>
      </c>
      <c r="D89" s="325">
        <f>'T3 NSA'!F248</f>
        <v>0</v>
      </c>
      <c r="E89" s="326">
        <f>'T3 NSA'!G248</f>
        <v>0</v>
      </c>
      <c r="F89" s="1326">
        <f>'T3 NSA'!H248</f>
        <v>0</v>
      </c>
      <c r="G89" s="325">
        <f>'T3 NSA'!I248</f>
        <v>0</v>
      </c>
      <c r="H89" s="325">
        <f>'T3 NSA'!J248</f>
        <v>0</v>
      </c>
      <c r="I89" s="325">
        <f>'T3 NSA'!K248</f>
        <v>0</v>
      </c>
      <c r="J89" s="326">
        <f>'T3 NSA'!L248</f>
        <v>0</v>
      </c>
    </row>
    <row r="90" spans="1:10">
      <c r="A90" s="272" t="s">
        <v>461</v>
      </c>
      <c r="B90" s="856"/>
      <c r="C90" s="327">
        <f>'T3 NSA'!E237</f>
        <v>0</v>
      </c>
      <c r="D90" s="328">
        <f>'T3 NSA'!F237</f>
        <v>0</v>
      </c>
      <c r="E90" s="326">
        <f>'T3 NSA'!G237</f>
        <v>0</v>
      </c>
      <c r="F90" s="1330">
        <f>'T3 NSA'!H237</f>
        <v>0</v>
      </c>
      <c r="G90" s="328">
        <f>'T3 NSA'!I237</f>
        <v>0</v>
      </c>
      <c r="H90" s="328">
        <f>'T3 NSA'!J237</f>
        <v>0</v>
      </c>
      <c r="I90" s="328">
        <f>'T3 NSA'!K237</f>
        <v>0</v>
      </c>
      <c r="J90" s="329">
        <f>'T3 NSA'!L237</f>
        <v>0</v>
      </c>
    </row>
    <row r="91" spans="1:10">
      <c r="A91" s="330" t="s">
        <v>462</v>
      </c>
      <c r="B91" s="1319"/>
      <c r="C91" s="1304">
        <f>SUM(C81:C90)</f>
        <v>59964.643595129324</v>
      </c>
      <c r="D91" s="332">
        <f>SUM(D81:D90)</f>
        <v>54660.085549930016</v>
      </c>
      <c r="E91" s="332">
        <f>SUM(E81:E90)</f>
        <v>106353.50476561321</v>
      </c>
      <c r="F91" s="1304">
        <f>SUM(F81:F90)</f>
        <v>108497.3496188198</v>
      </c>
      <c r="G91" s="332">
        <f>SUM(G81:G90)</f>
        <v>76912.335836459999</v>
      </c>
      <c r="H91" s="332">
        <f t="shared" ref="H91:J91" si="1">SUM(H81:H90)</f>
        <v>78144.878469580988</v>
      </c>
      <c r="I91" s="332">
        <f t="shared" si="1"/>
        <v>80567.466646126995</v>
      </c>
      <c r="J91" s="332">
        <f t="shared" si="1"/>
        <v>80008.466646126995</v>
      </c>
    </row>
    <row r="92" spans="1:10">
      <c r="A92" s="270" t="s">
        <v>463</v>
      </c>
      <c r="B92" s="1314"/>
      <c r="C92" s="1290">
        <f>'T1 NSA'!K68</f>
        <v>12647.945</v>
      </c>
      <c r="D92" s="290">
        <f>'T1 NSA'!L68</f>
        <v>12891</v>
      </c>
      <c r="E92" s="290">
        <f>'T1 NSA'!M68</f>
        <v>13183</v>
      </c>
      <c r="F92" s="1290">
        <f>'T1 NSA'!N68</f>
        <v>11715</v>
      </c>
      <c r="G92" s="290">
        <f>'T1 NSA'!O68</f>
        <v>12228</v>
      </c>
      <c r="H92" s="290">
        <f>'T1 NSA'!P68</f>
        <v>12424</v>
      </c>
      <c r="I92" s="290">
        <f>'T1 NSA'!Q68</f>
        <v>12641</v>
      </c>
      <c r="J92" s="290">
        <f>'T1 NSA'!R68</f>
        <v>12850</v>
      </c>
    </row>
    <row r="93" spans="1:10">
      <c r="A93" s="270" t="s">
        <v>464</v>
      </c>
      <c r="B93" s="1314"/>
      <c r="C93" s="1305">
        <f>C91/C92</f>
        <v>4.7410582189540929</v>
      </c>
      <c r="D93" s="333">
        <f t="shared" ref="D93:G93" si="2">D91/D92</f>
        <v>4.2401741951694998</v>
      </c>
      <c r="E93" s="333">
        <f t="shared" si="2"/>
        <v>8.0674736225148447</v>
      </c>
      <c r="F93" s="1305">
        <f t="shared" si="2"/>
        <v>9.2614041501340001</v>
      </c>
      <c r="G93" s="333">
        <f t="shared" si="2"/>
        <v>6.2898540919578014</v>
      </c>
      <c r="H93" s="333">
        <f t="shared" ref="H93:J93" si="3">H91/H92</f>
        <v>6.2898324589166927</v>
      </c>
      <c r="I93" s="333">
        <f t="shared" si="3"/>
        <v>6.3735042042660384</v>
      </c>
      <c r="J93" s="333">
        <f t="shared" si="3"/>
        <v>6.2263398168192214</v>
      </c>
    </row>
    <row r="94" spans="1:10">
      <c r="A94" s="270" t="s">
        <v>465</v>
      </c>
      <c r="B94" s="1314"/>
      <c r="C94" s="1306">
        <v>0</v>
      </c>
      <c r="D94" s="334"/>
      <c r="E94" s="334"/>
      <c r="F94" s="1306"/>
      <c r="G94" s="334"/>
      <c r="H94" s="334"/>
      <c r="I94" s="334"/>
      <c r="J94" s="334"/>
    </row>
    <row r="95" spans="1:10" ht="9.9499999999999993" customHeight="1">
      <c r="A95" s="310"/>
      <c r="B95" s="310"/>
      <c r="C95" s="1307"/>
      <c r="D95" s="312"/>
      <c r="E95" s="1308"/>
      <c r="F95" s="1307"/>
      <c r="G95" s="312"/>
      <c r="H95" s="312"/>
      <c r="I95" s="312"/>
      <c r="J95" s="1308"/>
    </row>
    <row r="96" spans="1:10">
      <c r="A96" s="336" t="s">
        <v>466</v>
      </c>
      <c r="B96" s="314"/>
      <c r="C96" s="337">
        <f>C93+C94</f>
        <v>4.7410582189540929</v>
      </c>
      <c r="D96" s="337">
        <f t="shared" ref="D96:G96" si="4">D93+D94</f>
        <v>4.2401741951694998</v>
      </c>
      <c r="E96" s="787">
        <f t="shared" si="4"/>
        <v>8.0674736225148447</v>
      </c>
      <c r="F96" s="337">
        <f t="shared" si="4"/>
        <v>9.2614041501340001</v>
      </c>
      <c r="G96" s="337">
        <f t="shared" si="4"/>
        <v>6.2898540919578014</v>
      </c>
      <c r="H96" s="337">
        <f t="shared" ref="H96:J96" si="5">H93+H94</f>
        <v>6.2898324589166927</v>
      </c>
      <c r="I96" s="337">
        <f t="shared" si="5"/>
        <v>6.3735042042660384</v>
      </c>
      <c r="J96" s="787">
        <f t="shared" si="5"/>
        <v>6.2263398168192214</v>
      </c>
    </row>
    <row r="97" spans="1:7">
      <c r="A97" s="319"/>
      <c r="C97" s="312"/>
      <c r="D97" s="312"/>
      <c r="E97" s="312"/>
      <c r="F97" s="312"/>
      <c r="G97" s="312"/>
    </row>
    <row r="98" spans="1:7">
      <c r="A98" s="222" t="s">
        <v>467</v>
      </c>
      <c r="B98" s="231"/>
      <c r="C98" s="338"/>
      <c r="D98" s="338"/>
      <c r="E98" s="338"/>
      <c r="F98" s="338"/>
      <c r="G98" s="338"/>
    </row>
    <row r="99" spans="1:7">
      <c r="A99" s="339" t="s">
        <v>468</v>
      </c>
      <c r="B99" s="231"/>
      <c r="C99" s="340"/>
      <c r="D99" s="340"/>
      <c r="E99" s="340"/>
      <c r="F99" s="340"/>
      <c r="G99" s="340"/>
    </row>
  </sheetData>
  <mergeCells count="5">
    <mergeCell ref="A7:B7"/>
    <mergeCell ref="A80:B80"/>
    <mergeCell ref="C5:E5"/>
    <mergeCell ref="F5:J5"/>
    <mergeCell ref="A1:J1"/>
  </mergeCells>
  <pageMargins left="0.7" right="0.7" top="0.75" bottom="0.75" header="0.3" footer="0.3"/>
  <pageSetup paperSize="9" scale="43"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ATM Regulation Project Document" ma:contentTypeID="0x010100026BFE6A34D44FF09C8C098CCC1B744C009B8D996D0FD744A9A49CFBFA9017BD7300AD2639D8460879439C13465FB56D4000" ma:contentTypeVersion="5" ma:contentTypeDescription="Create a new document." ma:contentTypeScope="" ma:versionID="c431b5030330e71a07708eb3934a6f1e">
  <xsd:schema xmlns:xsd="http://www.w3.org/2001/XMLSchema" xmlns:xs="http://www.w3.org/2001/XMLSchema" xmlns:p="http://schemas.microsoft.com/office/2006/metadata/properties" xmlns:ns2="7c02c562-1e82-4d3d-bb6c-843c3e7142ca" xmlns:ns3="ff770cc1-d340-4e6a-a844-29da8690ed3d" targetNamespace="http://schemas.microsoft.com/office/2006/metadata/properties" ma:root="true" ma:fieldsID="90ade2c8bbf01ad5d4d52c385c1b1e9e" ns2:_="" ns3:_="">
    <xsd:import namespace="7c02c562-1e82-4d3d-bb6c-843c3e7142ca"/>
    <xsd:import namespace="ff770cc1-d340-4e6a-a844-29da8690ed3d"/>
    <xsd:element name="properties">
      <xsd:complexType>
        <xsd:sequence>
          <xsd:element name="documentManagement">
            <xsd:complexType>
              <xsd:all>
                <xsd:element ref="ns2:obd7f88e7c304967bb7efaedae455aad" minOccurs="0"/>
                <xsd:element ref="ns2:TaxCatchAll" minOccurs="0"/>
                <xsd:element ref="ns2:TaxCatchAllLabel" minOccurs="0"/>
                <xsd:element ref="ns2:md537954de5d4799b31f8b38caab65fb" minOccurs="0"/>
                <xsd:element ref="ns2:c0579850fabd4de2a8282f228563db32" minOccurs="0"/>
                <xsd:element ref="ns3:MediaServiceMetadata" minOccurs="0"/>
                <xsd:element ref="ns3:MediaServiceFastMetadata" minOccurs="0"/>
                <xsd:element ref="ns3:MediaServiceAutoKeyPoints" minOccurs="0"/>
                <xsd:element ref="ns3:MediaServiceKeyPoint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02c562-1e82-4d3d-bb6c-843c3e7142ca" elementFormDefault="qualified">
    <xsd:import namespace="http://schemas.microsoft.com/office/2006/documentManagement/types"/>
    <xsd:import namespace="http://schemas.microsoft.com/office/infopath/2007/PartnerControls"/>
    <xsd:element name="obd7f88e7c304967bb7efaedae455aad" ma:index="8" ma:taxonomy="true" ma:internalName="obd7f88e7c304967bb7efaedae455aad" ma:taxonomyFieldName="CAAContentGroup" ma:displayName="Content Group" ma:fieldId="{8bd7f88e-7c30-4967-bb7e-faedae455aad}" ma:sspId="32b1b85a-9065-498a-a715-2e842cb76486" ma:termSetId="078a1673-67d9-42ad-9a0e-7f45c535eef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28361a6-fa2d-4f95-8851-bf529f68af46}" ma:internalName="TaxCatchAll" ma:showField="CatchAllData"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28361a6-fa2d-4f95-8851-bf529f68af46}" ma:internalName="TaxCatchAllLabel" ma:readOnly="true" ma:showField="CatchAllDataLabel"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md537954de5d4799b31f8b38caab65fb" ma:index="12" ma:taxonomy="true" ma:internalName="md537954de5d4799b31f8b38caab65fb" ma:taxonomyFieldName="CAABusinessFunctions" ma:displayName="Business Functions" ma:fieldId="{6d537954-de5d-4799-b31f-8b38caab65fb}" ma:taxonomyMulti="true" ma:sspId="32b1b85a-9065-498a-a715-2e842cb76486" ma:termSetId="cf28a2d6-8bcd-450b-a49a-65779e58cd06" ma:anchorId="00000000-0000-0000-0000-000000000000" ma:open="false" ma:isKeyword="false">
      <xsd:complexType>
        <xsd:sequence>
          <xsd:element ref="pc:Terms" minOccurs="0" maxOccurs="1"/>
        </xsd:sequence>
      </xsd:complexType>
    </xsd:element>
    <xsd:element name="c0579850fabd4de2a8282f228563db32" ma:index="14" ma:taxonomy="true" ma:internalName="c0579850fabd4de2a8282f228563db32" ma:taxonomyFieldName="CAADepartments" ma:displayName="Departments" ma:fieldId="{c0579850-fabd-4de2-a828-2f228563db32}" ma:taxonomyMulti="true" ma:sspId="32b1b85a-9065-498a-a715-2e842cb76486" ma:termSetId="059fbec2-a57e-4088-9445-44d85639509f"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770cc1-d340-4e6a-a844-29da8690ed3d"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c02c562-1e82-4d3d-bb6c-843c3e7142ca">YDDR3SSRJYKD-1187335610-6265</_dlc_DocId>
    <_dlc_DocIdUrl xmlns="7c02c562-1e82-4d3d-bb6c-843c3e7142ca">
      <Url>https://caa.sharepoint.com/sites/consumers-and-markets-group/ercp/atm-regulation/_layouts/15/DocIdRedir.aspx?ID=YDDR3SSRJYKD-1187335610-6265</Url>
      <Description>YDDR3SSRJYKD-1187335610-6265</Description>
    </_dlc_DocIdUrl>
    <c0579850fabd4de2a8282f228563db32 xmlns="7c02c562-1e82-4d3d-bb6c-843c3e7142ca">
      <Terms xmlns="http://schemas.microsoft.com/office/infopath/2007/PartnerControls">
        <TermInfo xmlns="http://schemas.microsoft.com/office/infopath/2007/PartnerControls">
          <TermName xmlns="http://schemas.microsoft.com/office/infopath/2007/PartnerControls">Consumers and Markets</TermName>
          <TermId xmlns="http://schemas.microsoft.com/office/infopath/2007/PartnerControls">aaae88c1-0366-4a2a-8362-d7feeedf0c8e</TermId>
        </TermInfo>
      </Terms>
    </c0579850fabd4de2a8282f228563db32>
    <md537954de5d4799b31f8b38caab65fb xmlns="7c02c562-1e82-4d3d-bb6c-843c3e7142ca">
      <Terms xmlns="http://schemas.microsoft.com/office/infopath/2007/PartnerControls">
        <TermInfo xmlns="http://schemas.microsoft.com/office/infopath/2007/PartnerControls">
          <TermName xmlns="http://schemas.microsoft.com/office/infopath/2007/PartnerControls">Aviation Consumer Protection</TermName>
          <TermId xmlns="http://schemas.microsoft.com/office/infopath/2007/PartnerControls">ec17897e-028e-417d-afc9-b145dc8f0a0b</TermId>
        </TermInfo>
        <TermInfo xmlns="http://schemas.microsoft.com/office/infopath/2007/PartnerControls">
          <TermName xmlns="http://schemas.microsoft.com/office/infopath/2007/PartnerControls">Market and Performance Regulation</TermName>
          <TermId xmlns="http://schemas.microsoft.com/office/infopath/2007/PartnerControls">7c83a01d-94da-43c4-a6c6-f97ba212aa86</TermId>
        </TermInfo>
      </Terms>
    </md537954de5d4799b31f8b38caab65fb>
    <TaxCatchAll xmlns="7c02c562-1e82-4d3d-bb6c-843c3e7142ca">
      <Value>3</Value>
      <Value>9</Value>
      <Value>1</Value>
      <Value>2</Value>
    </TaxCatchAll>
    <obd7f88e7c304967bb7efaedae455aad xmlns="7c02c562-1e82-4d3d-bb6c-843c3e7142ca">
      <Terms xmlns="http://schemas.microsoft.com/office/infopath/2007/PartnerControls">
        <TermInfo xmlns="http://schemas.microsoft.com/office/infopath/2007/PartnerControls">
          <TermName xmlns="http://schemas.microsoft.com/office/infopath/2007/PartnerControls">Oversight</TermName>
          <TermId xmlns="http://schemas.microsoft.com/office/infopath/2007/PartnerControls">092cd734-b0bd-4391-ae7f-cfeb41fcdbc1</TermId>
        </TermInfo>
      </Terms>
    </obd7f88e7c304967bb7efaedae455aad>
  </documentManagement>
</p:properties>
</file>

<file path=customXml/itemProps1.xml><?xml version="1.0" encoding="utf-8"?>
<ds:datastoreItem xmlns:ds="http://schemas.openxmlformats.org/officeDocument/2006/customXml" ds:itemID="{45115995-AA4F-4015-8971-FCC899529CA3}">
  <ds:schemaRefs>
    <ds:schemaRef ds:uri="http://schemas.microsoft.com/sharepoint/events"/>
  </ds:schemaRefs>
</ds:datastoreItem>
</file>

<file path=customXml/itemProps2.xml><?xml version="1.0" encoding="utf-8"?>
<ds:datastoreItem xmlns:ds="http://schemas.openxmlformats.org/officeDocument/2006/customXml" ds:itemID="{0F9B323B-5A03-4785-B2AC-D2D58D1BCD06}"/>
</file>

<file path=customXml/itemProps3.xml><?xml version="1.0" encoding="utf-8"?>
<ds:datastoreItem xmlns:ds="http://schemas.openxmlformats.org/officeDocument/2006/customXml" ds:itemID="{DF975C30-B307-4F05-964F-22E7A64B6365}">
  <ds:schemaRefs>
    <ds:schemaRef ds:uri="http://schemas.microsoft.com/sharepoint/v3/contenttype/forms"/>
  </ds:schemaRefs>
</ds:datastoreItem>
</file>

<file path=customXml/itemProps4.xml><?xml version="1.0" encoding="utf-8"?>
<ds:datastoreItem xmlns:ds="http://schemas.openxmlformats.org/officeDocument/2006/customXml" ds:itemID="{81BEB9AA-0330-4861-A5D3-CD5F2170CBE9}">
  <ds:schemaRefs>
    <ds:schemaRef ds:uri="f2e4f0b1-09e6-44de-af2a-9d2392a3af0f"/>
    <ds:schemaRef ds:uri="http://purl.org/dc/terms/"/>
    <ds:schemaRef ds:uri="http://purl.org/dc/elements/1.1/"/>
    <ds:schemaRef ds:uri="32bc8346-0dc8-41fc-92e9-7404e52a95bb"/>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Checks</vt:lpstr>
      <vt:lpstr>T1</vt:lpstr>
      <vt:lpstr>T1 ANSP</vt:lpstr>
      <vt:lpstr>T1 MET</vt:lpstr>
      <vt:lpstr>T1 NSA</vt:lpstr>
      <vt:lpstr>T2</vt:lpstr>
      <vt:lpstr>T2 ANSP</vt:lpstr>
      <vt:lpstr>T2 MET</vt:lpstr>
      <vt:lpstr>T2 NSA</vt:lpstr>
      <vt:lpstr>T3</vt:lpstr>
      <vt:lpstr>T3 ANSP</vt:lpstr>
      <vt:lpstr>T3 MET</vt:lpstr>
      <vt:lpstr>T3 MET old</vt:lpstr>
      <vt:lpstr>T3 NSA</vt:lpstr>
      <vt:lpstr>T3 NSA old</vt:lpstr>
      <vt:lpstr>T4</vt:lpstr>
      <vt:lpstr>RP3 PP</vt:lpstr>
      <vt:lpstr>Checks!Print_Area</vt:lpstr>
      <vt:lpstr>'RP3 PP'!Print_Area</vt:lpstr>
      <vt:lpstr>'T1'!Print_Area</vt:lpstr>
      <vt:lpstr>'T1 ANSP'!Print_Area</vt:lpstr>
      <vt:lpstr>'T1 MET'!Print_Area</vt:lpstr>
      <vt:lpstr>'T1 NSA'!Print_Area</vt:lpstr>
      <vt:lpstr>'T3'!Print_Area</vt:lpstr>
      <vt:lpstr>'T3 ANSP'!Print_Area</vt:lpstr>
      <vt:lpstr>'T3 MET'!Print_Area</vt:lpstr>
      <vt:lpstr>'T3 MET old'!Print_Area</vt:lpstr>
      <vt:lpstr>'T3 NSA'!Print_Area</vt:lpstr>
      <vt:lpstr>'T3 NSA old'!Print_Area</vt:lpstr>
    </vt:vector>
  </TitlesOfParts>
  <Manager/>
  <Company>EUROCONTROL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CAPART Cecile</dc:creator>
  <cp:keywords/>
  <dc:description/>
  <cp:lastModifiedBy>Dan Rock</cp:lastModifiedBy>
  <cp:revision/>
  <dcterms:created xsi:type="dcterms:W3CDTF">2018-01-30T13:18:44Z</dcterms:created>
  <dcterms:modified xsi:type="dcterms:W3CDTF">2022-10-25T08:48:58Z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0x010100026BFE6A34D44FF09C8C098CCC1B744C009B8D996D0FD744A9A49CFBFA9017BD7300AD2639D8460879439C13465FB56D4000</vt:lpwstr>
  </property>
  <property fmtid="{D5CDD505-2E9C-101B-9397-08002B2CF9AE}" pid="3" name="_dlc_DocIdItemGuid">
    <vt:lpwstr>90adfa11-8548-4a1b-baa1-441e770078ee</vt:lpwstr>
  </property>
  <property fmtid="{D5CDD505-2E9C-101B-9397-08002B2CF9AE}" pid="4" name="MSIP_Label_4b0e185e-c946-438c-98e1-ea1622582099_Enabled">
    <vt:lpwstr>True</vt:lpwstr>
  </property>
  <property fmtid="{D5CDD505-2E9C-101B-9397-08002B2CF9AE}" pid="5" name="MSIP_Label_4b0e185e-c946-438c-98e1-ea1622582099_SiteId">
    <vt:lpwstr>6712909a-9dfb-4378-aeb0-b8dd26df7eda</vt:lpwstr>
  </property>
  <property fmtid="{D5CDD505-2E9C-101B-9397-08002B2CF9AE}" pid="6" name="MSIP_Label_4b0e185e-c946-438c-98e1-ea1622582099_Owner">
    <vt:lpwstr>Chris.PARKER@nats.co.uk</vt:lpwstr>
  </property>
  <property fmtid="{D5CDD505-2E9C-101B-9397-08002B2CF9AE}" pid="7" name="MSIP_Label_4b0e185e-c946-438c-98e1-ea1622582099_SetDate">
    <vt:lpwstr>2020-10-01T16:13:01.6932271Z</vt:lpwstr>
  </property>
  <property fmtid="{D5CDD505-2E9C-101B-9397-08002B2CF9AE}" pid="8" name="MSIP_Label_4b0e185e-c946-438c-98e1-ea1622582099_Name">
    <vt:lpwstr>Unmarked</vt:lpwstr>
  </property>
  <property fmtid="{D5CDD505-2E9C-101B-9397-08002B2CF9AE}" pid="9" name="MSIP_Label_4b0e185e-c946-438c-98e1-ea1622582099_Application">
    <vt:lpwstr>Microsoft Azure Information Protection</vt:lpwstr>
  </property>
  <property fmtid="{D5CDD505-2E9C-101B-9397-08002B2CF9AE}" pid="10" name="MSIP_Label_4b0e185e-c946-438c-98e1-ea1622582099_ActionId">
    <vt:lpwstr>36d8043e-b767-4422-a8e6-920ef3cb9379</vt:lpwstr>
  </property>
  <property fmtid="{D5CDD505-2E9C-101B-9397-08002B2CF9AE}" pid="11" name="MSIP_Label_4b0e185e-c946-438c-98e1-ea1622582099_Extended_MSFT_Method">
    <vt:lpwstr>Automatic</vt:lpwstr>
  </property>
  <property fmtid="{D5CDD505-2E9C-101B-9397-08002B2CF9AE}" pid="12" name="CAAContentGroup">
    <vt:lpwstr>9;#Oversight|092cd734-b0bd-4391-ae7f-cfeb41fcdbc1</vt:lpwstr>
  </property>
  <property fmtid="{D5CDD505-2E9C-101B-9397-08002B2CF9AE}" pid="13" name="CAADepartments">
    <vt:lpwstr>1;#Consumers and Markets|aaae88c1-0366-4a2a-8362-d7feeedf0c8e</vt:lpwstr>
  </property>
  <property fmtid="{D5CDD505-2E9C-101B-9397-08002B2CF9AE}" pid="14" name="CAABusinessFunctions">
    <vt:lpwstr>2;#Aviation Consumer Protection|ec17897e-028e-417d-afc9-b145dc8f0a0b;#3;#Market and Performance Regulation|7c83a01d-94da-43c4-a6c6-f97ba212aa86</vt:lpwstr>
  </property>
  <property fmtid="{D5CDD505-2E9C-101B-9397-08002B2CF9AE}" pid="15" name="MSIP_Label_3196a3aa-34a9-4b82-9eed-745e5fc3f53e_Enabled">
    <vt:lpwstr>true</vt:lpwstr>
  </property>
  <property fmtid="{D5CDD505-2E9C-101B-9397-08002B2CF9AE}" pid="16" name="MSIP_Label_3196a3aa-34a9-4b82-9eed-745e5fc3f53e_SetDate">
    <vt:lpwstr>2021-04-29T09:21:46Z</vt:lpwstr>
  </property>
  <property fmtid="{D5CDD505-2E9C-101B-9397-08002B2CF9AE}" pid="17" name="MSIP_Label_3196a3aa-34a9-4b82-9eed-745e5fc3f53e_Method">
    <vt:lpwstr>Standard</vt:lpwstr>
  </property>
  <property fmtid="{D5CDD505-2E9C-101B-9397-08002B2CF9AE}" pid="18" name="MSIP_Label_3196a3aa-34a9-4b82-9eed-745e5fc3f53e_Name">
    <vt:lpwstr>3196a3aa-34a9-4b82-9eed-745e5fc3f53e</vt:lpwstr>
  </property>
  <property fmtid="{D5CDD505-2E9C-101B-9397-08002B2CF9AE}" pid="19" name="MSIP_Label_3196a3aa-34a9-4b82-9eed-745e5fc3f53e_SiteId">
    <vt:lpwstr>c4edd5ba-10c3-4fe3-946a-7c9c446ab8c8</vt:lpwstr>
  </property>
  <property fmtid="{D5CDD505-2E9C-101B-9397-08002B2CF9AE}" pid="20" name="MSIP_Label_3196a3aa-34a9-4b82-9eed-745e5fc3f53e_ActionId">
    <vt:lpwstr/>
  </property>
  <property fmtid="{D5CDD505-2E9C-101B-9397-08002B2CF9AE}" pid="21" name="MSIP_Label_3196a3aa-34a9-4b82-9eed-745e5fc3f53e_ContentBits">
    <vt:lpwstr>0</vt:lpwstr>
  </property>
  <property fmtid="{D5CDD505-2E9C-101B-9397-08002B2CF9AE}" pid="22" name="CofWorkbookId">
    <vt:lpwstr>e122ac4b-f7ca-461b-84cb-a4bcf7ed305a</vt:lpwstr>
  </property>
</Properties>
</file>