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a-my.sharepoint.com/personal/charlene_beadle_caa_co_uk/Documents/Desktop/Comms/Content changes made to website/December 2023/"/>
    </mc:Choice>
  </mc:AlternateContent>
  <xr:revisionPtr revIDLastSave="0" documentId="8_{543E02AC-12E8-4243-AB95-3E5BBB8F9E28}" xr6:coauthVersionLast="47" xr6:coauthVersionMax="47" xr10:uidLastSave="{00000000-0000-0000-0000-000000000000}"/>
  <workbookProtection workbookPassword="EB8E" lockStructure="1"/>
  <bookViews>
    <workbookView xWindow="28680" yWindow="390" windowWidth="25440" windowHeight="15390" xr2:uid="{00000000-000D-0000-FFFF-FFFF00000000}"/>
  </bookViews>
  <sheets>
    <sheet name="spec-calc" sheetId="1" r:id="rId1"/>
  </sheets>
  <definedNames>
    <definedName name="axis">'spec-calc'!$E:$E</definedName>
    <definedName name="cyl">'spec-calc'!$D:$D</definedName>
    <definedName name="solver_lin" localSheetId="0" hidden="1">0</definedName>
    <definedName name="solver_num" localSheetId="0" hidden="1">0</definedName>
    <definedName name="solver_opt" localSheetId="0" hidden="1">'spec-calc'!#REF!</definedName>
    <definedName name="solver_typ" localSheetId="0" hidden="1">1</definedName>
    <definedName name="solver_val" localSheetId="0" hidden="1">-3</definedName>
    <definedName name="sph">'spec-calc'!$C:$C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" i="1" l="1"/>
  <c r="A21" i="1"/>
  <c r="I21" i="1"/>
  <c r="I20" i="1"/>
  <c r="I27" i="1" l="1"/>
  <c r="A27" i="1"/>
  <c r="G6" i="1"/>
  <c r="G8" i="1" s="1"/>
  <c r="H6" i="1"/>
  <c r="J6" i="1"/>
  <c r="G7" i="1"/>
  <c r="G9" i="1" s="1"/>
  <c r="H7" i="1"/>
  <c r="J7" i="1"/>
  <c r="A18" i="1" l="1"/>
  <c r="A17" i="1"/>
  <c r="A15" i="1"/>
  <c r="A16" i="1"/>
  <c r="I33" i="1"/>
  <c r="I34" i="1"/>
  <c r="I18" i="1"/>
  <c r="I17" i="1"/>
  <c r="I16" i="1"/>
  <c r="I15" i="1"/>
  <c r="A33" i="1"/>
  <c r="A34" i="1"/>
  <c r="I6" i="1"/>
  <c r="A19" i="1" s="1"/>
  <c r="A13" i="1" l="1"/>
  <c r="A14" i="1"/>
  <c r="A23" i="1"/>
  <c r="A22" i="1"/>
  <c r="A28" i="1"/>
  <c r="I28" i="1"/>
  <c r="A26" i="1"/>
  <c r="I26" i="1"/>
  <c r="I22" i="1"/>
  <c r="I35" i="1"/>
  <c r="A35" i="1"/>
  <c r="I19" i="1"/>
  <c r="I14" i="1" s="1"/>
  <c r="I13" i="1" l="1"/>
  <c r="I36" i="1"/>
  <c r="I44" i="1" s="1"/>
  <c r="A36" i="1"/>
  <c r="I37" i="1" l="1"/>
  <c r="I38" i="1" s="1"/>
  <c r="A37" i="1"/>
  <c r="A38" i="1" s="1"/>
  <c r="I39" i="1" l="1"/>
  <c r="I40" i="1" s="1"/>
  <c r="I42" i="1" s="1"/>
  <c r="A39" i="1"/>
  <c r="I41" i="1" l="1"/>
  <c r="I43" i="1"/>
  <c r="A40" i="1"/>
  <c r="A41" i="1" s="1"/>
  <c r="A42" i="1" l="1"/>
  <c r="A43" i="1" s="1"/>
</calcChain>
</file>

<file path=xl/sharedStrings.xml><?xml version="1.0" encoding="utf-8"?>
<sst xmlns="http://schemas.openxmlformats.org/spreadsheetml/2006/main" count="27" uniqueCount="17">
  <si>
    <t>SPECTACLE PRESCRIPTION CALCULATOR</t>
  </si>
  <si>
    <t>Enter prescription below:</t>
  </si>
  <si>
    <t>Name</t>
  </si>
  <si>
    <t>SPHERE</t>
  </si>
  <si>
    <t>CYLINDER</t>
  </si>
  <si>
    <t>AXIS</t>
  </si>
  <si>
    <t>CAA Ref</t>
  </si>
  <si>
    <t>RIGHT</t>
  </si>
  <si>
    <t>LEFT</t>
  </si>
  <si>
    <t>Class 1</t>
  </si>
  <si>
    <t>Class 2</t>
  </si>
  <si>
    <t>Class 3</t>
  </si>
  <si>
    <t>Initial</t>
  </si>
  <si>
    <t>ok</t>
  </si>
  <si>
    <r>
      <t>Note</t>
    </r>
    <r>
      <rPr>
        <sz val="10"/>
        <rFont val="Arial"/>
        <family val="2"/>
      </rPr>
      <t>: If one or both eyes register borderline, invite for medical assessment but warn borderline refraction</t>
    </r>
  </si>
  <si>
    <t>ANY Class 1 or 3 'excess limit' prompt - request visual acuities for right &amp; left eyes.</t>
  </si>
  <si>
    <t>Revalidation/Renewal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</si>
</sst>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0;\-0.00"/>
    <numFmt numFmtId="165" formatCode=";;;"/>
  </numFmts>
  <fonts count="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0" xfId="0" applyNumberFormat="1"/>
    <xf numFmtId="0" fontId="0" fillId="2" borderId="0" xfId="0" applyFill="1"/>
    <xf numFmtId="0" fontId="2" fillId="2" borderId="0" xfId="0" applyFont="1" applyFill="1"/>
    <xf numFmtId="2" fontId="2" fillId="2" borderId="0" xfId="0" applyNumberFormat="1" applyFont="1" applyFill="1"/>
    <xf numFmtId="2" fontId="0" fillId="2" borderId="0" xfId="0" applyNumberFormat="1" applyFill="1"/>
    <xf numFmtId="2" fontId="1" fillId="2" borderId="1" xfId="0" applyNumberFormat="1" applyFont="1" applyFill="1" applyBorder="1"/>
    <xf numFmtId="0" fontId="1" fillId="2" borderId="1" xfId="0" applyFont="1" applyFill="1" applyBorder="1"/>
    <xf numFmtId="165" fontId="0" fillId="2" borderId="0" xfId="0" applyNumberFormat="1" applyFill="1"/>
    <xf numFmtId="0" fontId="1" fillId="2" borderId="0" xfId="0" applyFont="1" applyFill="1"/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5" xfId="0" applyFill="1" applyBorder="1"/>
    <xf numFmtId="2" fontId="0" fillId="2" borderId="5" xfId="0" applyNumberFormat="1" applyFill="1" applyBorder="1"/>
    <xf numFmtId="164" fontId="0" fillId="4" borderId="1" xfId="0" applyNumberFormat="1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17" fontId="1" fillId="2" borderId="0" xfId="0" applyNumberFormat="1" applyFont="1" applyFill="1"/>
    <xf numFmtId="2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workbookViewId="0">
      <selection activeCell="R12" sqref="R12"/>
    </sheetView>
  </sheetViews>
  <sheetFormatPr defaultRowHeight="12.5" x14ac:dyDescent="0.25"/>
  <cols>
    <col min="1" max="1" width="7.54296875" customWidth="1"/>
    <col min="2" max="2" width="6.26953125" customWidth="1"/>
    <col min="3" max="3" width="8.1796875" style="1" customWidth="1"/>
    <col min="4" max="4" width="9.81640625" style="1" customWidth="1"/>
    <col min="5" max="5" width="7.54296875" customWidth="1"/>
    <col min="6" max="6" width="6.54296875" customWidth="1"/>
    <col min="8" max="8" width="4.7265625" customWidth="1"/>
    <col min="9" max="9" width="9.81640625" customWidth="1"/>
    <col min="10" max="10" width="8.453125" customWidth="1"/>
    <col min="12" max="12" width="12.1796875" customWidth="1"/>
  </cols>
  <sheetData>
    <row r="1" spans="1:11" ht="15.5" x14ac:dyDescent="0.35">
      <c r="A1" s="2"/>
      <c r="B1" s="3" t="s">
        <v>0</v>
      </c>
      <c r="C1" s="4"/>
      <c r="D1" s="4"/>
      <c r="E1" s="3"/>
      <c r="F1" s="3"/>
      <c r="G1" s="3"/>
      <c r="H1" s="2"/>
      <c r="I1" s="2"/>
      <c r="J1" s="17">
        <v>43466</v>
      </c>
      <c r="K1" s="2"/>
    </row>
    <row r="2" spans="1:11" x14ac:dyDescent="0.25">
      <c r="A2" s="2"/>
      <c r="B2" s="2"/>
      <c r="C2" s="5"/>
      <c r="D2" s="5"/>
      <c r="E2" s="2"/>
      <c r="F2" s="2"/>
      <c r="G2" s="2"/>
      <c r="H2" s="2"/>
      <c r="I2" s="2"/>
      <c r="J2" s="2"/>
      <c r="K2" s="2"/>
    </row>
    <row r="3" spans="1:11" ht="13" x14ac:dyDescent="0.3">
      <c r="A3" s="2"/>
      <c r="B3" s="2" t="s">
        <v>1</v>
      </c>
      <c r="C3" s="5"/>
      <c r="D3" s="5"/>
      <c r="E3" s="2"/>
      <c r="F3" s="2"/>
      <c r="G3" s="9" t="s">
        <v>2</v>
      </c>
      <c r="H3" s="10"/>
      <c r="I3" s="11"/>
      <c r="J3" s="12"/>
      <c r="K3" s="2"/>
    </row>
    <row r="4" spans="1:11" x14ac:dyDescent="0.25">
      <c r="A4" s="2"/>
      <c r="B4" s="2"/>
      <c r="C4" s="5"/>
      <c r="D4" s="5"/>
      <c r="E4" s="2"/>
      <c r="F4" s="2"/>
      <c r="G4" s="2"/>
      <c r="H4" s="2"/>
      <c r="I4" s="2"/>
      <c r="J4" s="2"/>
      <c r="K4" s="2"/>
    </row>
    <row r="5" spans="1:11" ht="13" x14ac:dyDescent="0.3">
      <c r="A5" s="2"/>
      <c r="B5" s="2"/>
      <c r="C5" s="6" t="s">
        <v>3</v>
      </c>
      <c r="D5" s="6" t="s">
        <v>4</v>
      </c>
      <c r="E5" s="7" t="s">
        <v>5</v>
      </c>
      <c r="F5" s="2"/>
      <c r="G5" s="9" t="s">
        <v>6</v>
      </c>
      <c r="H5" s="10"/>
      <c r="I5" s="12"/>
      <c r="J5" s="2"/>
      <c r="K5" s="2"/>
    </row>
    <row r="6" spans="1:11" ht="13" x14ac:dyDescent="0.3">
      <c r="A6" s="2"/>
      <c r="B6" s="7" t="s">
        <v>7</v>
      </c>
      <c r="C6" s="15"/>
      <c r="D6" s="15"/>
      <c r="E6" s="16"/>
      <c r="F6" s="2"/>
      <c r="G6" s="8">
        <f>C6+D6</f>
        <v>0</v>
      </c>
      <c r="H6" s="8">
        <f>C6+(D6/2)</f>
        <v>0</v>
      </c>
      <c r="I6" s="8">
        <f>ABS(H6-H7)</f>
        <v>0</v>
      </c>
      <c r="J6" s="8">
        <f>ABS(D6)</f>
        <v>0</v>
      </c>
      <c r="K6" s="2"/>
    </row>
    <row r="7" spans="1:11" ht="13" x14ac:dyDescent="0.3">
      <c r="A7" s="2"/>
      <c r="B7" s="7" t="s">
        <v>8</v>
      </c>
      <c r="C7" s="15"/>
      <c r="D7" s="15"/>
      <c r="E7" s="16"/>
      <c r="F7" s="2"/>
      <c r="G7" s="8">
        <f>C7+D7</f>
        <v>0</v>
      </c>
      <c r="H7" s="8">
        <f>C7+(D7/2)</f>
        <v>0</v>
      </c>
      <c r="I7" s="8"/>
      <c r="J7" s="8">
        <f>ABS(D7)</f>
        <v>0</v>
      </c>
      <c r="K7" s="2"/>
    </row>
    <row r="8" spans="1:11" x14ac:dyDescent="0.25">
      <c r="A8" s="2"/>
      <c r="B8" s="2"/>
      <c r="C8" s="5"/>
      <c r="D8" s="5"/>
      <c r="E8" s="2"/>
      <c r="F8" s="2"/>
      <c r="G8" s="8">
        <f>IF(ABS(C6)&gt;(ABS(G6)),C6,G6)</f>
        <v>0</v>
      </c>
      <c r="H8" s="8"/>
      <c r="I8" s="8"/>
      <c r="J8" s="2"/>
      <c r="K8" s="2"/>
    </row>
    <row r="9" spans="1:11" x14ac:dyDescent="0.25">
      <c r="A9" s="2"/>
      <c r="B9" s="2"/>
      <c r="C9" s="5"/>
      <c r="D9" s="5"/>
      <c r="E9" s="2"/>
      <c r="F9" s="2"/>
      <c r="G9" s="8">
        <f>IF(ABS(C7)&gt;(ABS(G7)),C7,G7)</f>
        <v>0</v>
      </c>
      <c r="H9" s="8"/>
      <c r="I9" s="8"/>
      <c r="J9" s="2"/>
      <c r="K9" s="2"/>
    </row>
    <row r="10" spans="1:11" x14ac:dyDescent="0.25">
      <c r="A10" s="2"/>
      <c r="B10" s="2"/>
      <c r="C10" s="5"/>
      <c r="D10" s="5"/>
      <c r="E10" s="2"/>
      <c r="F10" s="2"/>
      <c r="G10" s="5"/>
      <c r="H10" s="2"/>
      <c r="I10" s="2"/>
      <c r="J10" s="2"/>
      <c r="K10" s="2"/>
    </row>
    <row r="11" spans="1:11" ht="13" x14ac:dyDescent="0.3">
      <c r="A11" s="9" t="s">
        <v>9</v>
      </c>
      <c r="B11" s="2"/>
      <c r="C11" s="5"/>
      <c r="D11" s="5"/>
      <c r="E11" s="9" t="s">
        <v>10</v>
      </c>
      <c r="F11" s="2"/>
      <c r="G11" s="2"/>
      <c r="H11" s="2"/>
      <c r="I11" s="9" t="s">
        <v>11</v>
      </c>
      <c r="J11" s="2"/>
      <c r="K11" s="2"/>
    </row>
    <row r="12" spans="1:11" ht="13" x14ac:dyDescent="0.3">
      <c r="A12" s="9" t="s">
        <v>12</v>
      </c>
      <c r="B12" s="9"/>
      <c r="C12" s="9"/>
      <c r="D12" s="5"/>
      <c r="E12" s="9" t="s">
        <v>12</v>
      </c>
      <c r="F12" s="2"/>
      <c r="G12" s="2"/>
      <c r="H12" s="2"/>
      <c r="I12" s="9" t="s">
        <v>12</v>
      </c>
      <c r="J12" s="2"/>
      <c r="K12" s="2"/>
    </row>
    <row r="13" spans="1:11" x14ac:dyDescent="0.25">
      <c r="A13" s="5" t="str">
        <f>IF(AND(OR(A15="",A15="borderline myopia RE"),OR(A16="",A16="borderline hypermetropia RE"),OR(A17="",A17="borderline myopia LE"),OR(A18="",A18="borderline hypermetropia LE"),OR(A19="",A19="borderline anisometropia"),OR(A20="",A20="borderline astigmatism RE"),OR(A21="",A21="borderline astigmatism LE")),"ok","Complete additional tests - see below")</f>
        <v>ok</v>
      </c>
      <c r="B13" s="5"/>
      <c r="C13" s="2"/>
      <c r="D13" s="5"/>
      <c r="E13" s="5" t="s">
        <v>13</v>
      </c>
      <c r="F13" s="2"/>
      <c r="G13" s="2"/>
      <c r="H13" s="5"/>
      <c r="I13" s="5" t="str">
        <f>IF(AND(OR(I15="",I15="borderline myopia RE"),OR(I16="",I16="borderline hypermetropia RE"),OR(I17="",I17="borderline myopia LE"),OR(I18="",I18="borderline hypermetropia LE"),OR(I19="",I19="borderline anisometropia"),OR(I20="",I20="borderline astigmatism RE"),OR(I21="",I21="borderline astigmatism LE")),"ok","Complete additional tests - see below")</f>
        <v>ok</v>
      </c>
      <c r="J13" s="2"/>
      <c r="K13" s="2"/>
    </row>
    <row r="14" spans="1:11" x14ac:dyDescent="0.25">
      <c r="A14" s="5" t="str">
        <f>IF(AND(OR(A15="",A15="borderline myopia RE"),OR(A16="",A16="borderline hypermetropia RE"),OR(A17="",A17="borderline myopia LE"),OR(A18="",A18="borderline hypermetropia LE"),OR(A19="",A19="borderline anisometropia"),OR(A20="",A20="borderline astigmatism RE"),OR(A21="",A21="borderline astigmatism LE")),"","refer to CAA Medical Assessor")</f>
        <v/>
      </c>
      <c r="B14" s="5"/>
      <c r="C14" s="2"/>
      <c r="D14" s="5"/>
      <c r="E14" s="5"/>
      <c r="F14" s="2"/>
      <c r="G14" s="2"/>
      <c r="H14" s="5"/>
      <c r="I14" s="5" t="str">
        <f>IF(AND(OR(I15="",I15="borderline myopia RE"),OR(I16="",I16="borderline hypermetropia RE"),OR(I17="",I17="borderline myopia LE"),OR(I18="",I18="borderline hypermetropia LE"),OR(I19="",I19="borderline anisometropia"),OR(I20="",I20="borderline astigmatism RE"),OR(I21="",I21="borderline astigmatism LE")),"","Refer to CAA Medical Assessor")</f>
        <v/>
      </c>
      <c r="J14" s="2"/>
      <c r="K14" s="2"/>
    </row>
    <row r="15" spans="1:11" x14ac:dyDescent="0.25">
      <c r="A15" s="2" t="str">
        <f>IF(G8&lt;(-6.1),"excess myopia RE",IF(AND(G8&gt;(-6.1),G8&lt;(-5.8)),"borderline myopia RE",""))</f>
        <v/>
      </c>
      <c r="B15" s="2"/>
      <c r="C15" s="2"/>
      <c r="D15" s="5"/>
      <c r="E15" s="2"/>
      <c r="F15" s="2"/>
      <c r="G15" s="2"/>
      <c r="H15" s="2"/>
      <c r="I15" s="2" t="str">
        <f>IF(G8&lt;(-6.1),"excess myopia RE",IF(AND(G8&gt;(-6.1),G8&lt;(-5.5)),"borderline myopia RE",""))</f>
        <v/>
      </c>
      <c r="J15" s="2"/>
      <c r="K15" s="2"/>
    </row>
    <row r="16" spans="1:11" x14ac:dyDescent="0.25">
      <c r="A16" s="2" t="str">
        <f>IF(G8&gt;(5.1),"excess hypermetropia RE",IF(AND(G8&gt;(4.8),G8&lt;(5.1)),"borderline hypermetropia RE",""))</f>
        <v/>
      </c>
      <c r="B16" s="2"/>
      <c r="C16" s="2"/>
      <c r="D16" s="5"/>
      <c r="E16" s="2"/>
      <c r="F16" s="2"/>
      <c r="G16" s="2"/>
      <c r="H16" s="2"/>
      <c r="I16" s="2" t="str">
        <f>IF(G8&gt;(5.1),"excess hypermetropia RE",IF(AND(G8&gt;(4.5),G8&lt;(5.1)),"borderline hypermetropia RE",""))</f>
        <v/>
      </c>
      <c r="J16" s="2"/>
      <c r="K16" s="2"/>
    </row>
    <row r="17" spans="1:11" x14ac:dyDescent="0.25">
      <c r="A17" s="2" t="str">
        <f>IF(G9&lt;(-6.1),"excess myopia LE",IF(AND(G9&gt;(-6.1),G9&lt;(-5.8)),"borderline myopia LE",""))</f>
        <v/>
      </c>
      <c r="B17" s="2"/>
      <c r="C17" s="2"/>
      <c r="D17" s="5"/>
      <c r="E17" s="2"/>
      <c r="F17" s="2"/>
      <c r="G17" s="2"/>
      <c r="H17" s="2"/>
      <c r="I17" s="2" t="str">
        <f>IF(G9&lt;(-6.1),"excess myopia LE",IF(AND(G9&gt;(-6.1),G9&lt;(-5.5)),"borderline myopia LE",""))</f>
        <v/>
      </c>
      <c r="J17" s="2"/>
      <c r="K17" s="2"/>
    </row>
    <row r="18" spans="1:11" x14ac:dyDescent="0.25">
      <c r="A18" s="2" t="str">
        <f>IF(G9&gt;(5.1),"excess hypermetropia LE",IF(AND(G9&gt;(4.8),G9&lt;(5.1)),"borderline hypermetropia LE",""))</f>
        <v/>
      </c>
      <c r="B18" s="2"/>
      <c r="C18" s="2"/>
      <c r="D18" s="5"/>
      <c r="E18" s="2"/>
      <c r="F18" s="2"/>
      <c r="G18" s="2"/>
      <c r="H18" s="2"/>
      <c r="I18" s="2" t="str">
        <f>IF(G9&gt;(5.1),"excess hypermetropia LE",IF(AND(G9&gt;(4.5),G9&lt;(5.1)),"borderline hypermetropia LE",""))</f>
        <v/>
      </c>
      <c r="J18" s="2"/>
      <c r="K18" s="2"/>
    </row>
    <row r="19" spans="1:11" x14ac:dyDescent="0.25">
      <c r="A19" s="2" t="str">
        <f>IF(ABS(I6)&gt;2.1,"excess anisometropia",IF(AND(ABS(I6)&gt;1.8,(ABS(I6)&lt;2.1)),"borderline anisometropia",""))</f>
        <v/>
      </c>
      <c r="B19" s="2"/>
      <c r="C19" s="2"/>
      <c r="D19" s="5"/>
      <c r="E19" s="2"/>
      <c r="F19" s="2"/>
      <c r="G19" s="2"/>
      <c r="H19" s="2"/>
      <c r="I19" s="2" t="str">
        <f>IF(ABS(I6)&gt;3.1,"excess anisometropia",IF(AND(ABS(I6)&gt;2.5,(ABS(I6)&lt;3.1)),"borderline anisometropia",""))</f>
        <v/>
      </c>
      <c r="J19" s="2"/>
      <c r="K19" s="2"/>
    </row>
    <row r="20" spans="1:11" x14ac:dyDescent="0.25">
      <c r="A20" s="5" t="str">
        <f>IF(ABS(D6)&gt;2.1,"excess astigmatism RE",IF(AND(ABS(D6)&gt;1.5,(ABS(D6)&lt;2.1)),"borderline astigmatism RE",""))</f>
        <v/>
      </c>
      <c r="B20" s="5"/>
      <c r="C20" s="2"/>
      <c r="D20" s="5"/>
      <c r="E20" s="5"/>
      <c r="F20" s="2"/>
      <c r="G20" s="2"/>
      <c r="H20" s="5"/>
      <c r="I20" s="5" t="str">
        <f>IF(ABS(D6)&gt;3.1,"excess astigmatism RE",IF(AND(ABS(D6)&gt;2.5,(ABS(D6)&lt;3.1)),"borderline astigmatism RE",""))</f>
        <v/>
      </c>
      <c r="J20" s="2"/>
      <c r="K20" s="2"/>
    </row>
    <row r="21" spans="1:11" x14ac:dyDescent="0.25">
      <c r="A21" s="5" t="str">
        <f>IF(ABS(D7)&gt;2.1,"excess astigmatism LE",IF(AND(ABS(D7)&gt;1.5,(ABS(D7)&lt;2.1)),"borderline astigmatism LE",""))</f>
        <v/>
      </c>
      <c r="B21" s="5"/>
      <c r="C21" s="2"/>
      <c r="D21" s="5"/>
      <c r="E21" s="5"/>
      <c r="F21" s="2"/>
      <c r="G21" s="2"/>
      <c r="H21" s="5"/>
      <c r="I21" s="5" t="str">
        <f>IF(ABS(D7)&gt;3.1,"excess astigmatism LE",IF(AND(ABS(D7)&gt;2.5,(ABS(D7)&lt;3.1)),"borderline astigmatism LE",""))</f>
        <v/>
      </c>
      <c r="J21" s="2"/>
      <c r="K21" s="2"/>
    </row>
    <row r="22" spans="1:11" x14ac:dyDescent="0.25">
      <c r="A22" s="2" t="str">
        <f>IF((ABS(I6)&gt;2),IF((ABS(I6)&lt;3.1),IF(AND(A15="",A16="",A17="",A18="",A20="",A21=""),"6/9 monocularly acceptable",""),""),"")</f>
        <v/>
      </c>
      <c r="B22" s="2"/>
      <c r="C22" s="2"/>
      <c r="D22" s="5"/>
      <c r="E22" s="2"/>
      <c r="F22" s="2"/>
      <c r="G22" s="2"/>
      <c r="H22" s="2"/>
      <c r="I22" s="2" t="str">
        <f>IF(AND(ABS(I6)&gt;2,(ABS(I6)&lt;3.1)),"Ensure 6/6 or better monocularly",IF(ABS(I6)&gt;3.1,"Ensure 6/6 or better monocularly",""))</f>
        <v/>
      </c>
      <c r="J22" s="2"/>
      <c r="K22" s="2"/>
    </row>
    <row r="23" spans="1:11" x14ac:dyDescent="0.25">
      <c r="A23" s="2" t="str">
        <f>IF((ABS(I6)&gt;3.1),IF(AND(A15="",A16="",A17="",A18="",A20="",A21=""),"6/9 monocularly acceptable and contact lenses worn",""),"")</f>
        <v/>
      </c>
      <c r="B23" s="2"/>
      <c r="C23" s="2"/>
      <c r="D23" s="5"/>
      <c r="E23" s="2"/>
      <c r="F23" s="2"/>
      <c r="G23" s="2"/>
      <c r="H23" s="2"/>
      <c r="I23" s="2"/>
      <c r="J23" s="2"/>
      <c r="K23" s="2"/>
    </row>
    <row r="24" spans="1:11" ht="13" x14ac:dyDescent="0.3">
      <c r="A24" s="9" t="s">
        <v>14</v>
      </c>
      <c r="B24" s="2"/>
      <c r="C24" s="5"/>
      <c r="D24" s="5"/>
      <c r="E24" s="2"/>
      <c r="F24" s="2"/>
      <c r="G24" s="2"/>
      <c r="H24" s="2"/>
      <c r="I24" s="2"/>
      <c r="J24" s="2"/>
      <c r="K24" s="2"/>
    </row>
    <row r="25" spans="1:11" x14ac:dyDescent="0.25">
      <c r="A25" s="2" t="s">
        <v>15</v>
      </c>
      <c r="B25" s="2"/>
      <c r="C25" s="5"/>
      <c r="D25" s="5"/>
      <c r="E25" s="2"/>
      <c r="F25" s="2"/>
      <c r="G25" s="2"/>
      <c r="H25" s="2"/>
      <c r="I25" s="2"/>
      <c r="J25" s="2"/>
      <c r="K25" s="2"/>
    </row>
    <row r="26" spans="1:11" x14ac:dyDescent="0.25">
      <c r="A26" s="2" t="str">
        <f>IF(OR(A15="excess myopia RE",A17="excess myopia LE"),"If 6/6 or better monocularly, requires dilated binocular indirect ophth","")</f>
        <v/>
      </c>
      <c r="B26" s="2"/>
      <c r="C26" s="2"/>
      <c r="D26" s="2"/>
      <c r="E26" s="2"/>
      <c r="F26" s="2"/>
      <c r="G26" s="2"/>
      <c r="H26" s="2"/>
      <c r="I26" s="2" t="str">
        <f>IF(OR(I15="excess myopia RE",I17="excess myopia LE"),"If 6/6 or better monocularly, requires dilated binocular indirect ophth","")</f>
        <v/>
      </c>
      <c r="J26" s="2"/>
      <c r="K26" s="2"/>
    </row>
    <row r="27" spans="1:11" x14ac:dyDescent="0.25">
      <c r="A27" s="2" t="str">
        <f>IF(OR(A20="excess astigmatism RE",A21="excess astigmatism LE"),"If 6/6 or better monocularly, requires corneal topography","")</f>
        <v/>
      </c>
      <c r="B27" s="2"/>
      <c r="C27" s="5"/>
      <c r="D27" s="5"/>
      <c r="E27" s="2"/>
      <c r="F27" s="2"/>
      <c r="G27" s="2"/>
      <c r="H27" s="2"/>
      <c r="I27" s="2" t="str">
        <f>IF(OR(I20="excess astigmatism RE",I21="excess astigmatism LE"),"If 6/6 or better monocularly, requires corneal topography","")</f>
        <v/>
      </c>
      <c r="J27" s="2"/>
      <c r="K27" s="2"/>
    </row>
    <row r="28" spans="1:11" x14ac:dyDescent="0.25">
      <c r="A28" s="2" t="str">
        <f>IF(OR(A16="excess hypermetropia RE",A18="excess hypermetropia LE"),"If 6/6 or better monoc, requires ant angle and FR testing, CL to be worn","")</f>
        <v/>
      </c>
      <c r="B28" s="2"/>
      <c r="C28" s="5"/>
      <c r="D28" s="5"/>
      <c r="E28" s="2"/>
      <c r="F28" s="2"/>
      <c r="G28" s="2"/>
      <c r="H28" s="2"/>
      <c r="I28" s="2" t="str">
        <f>IF(OR(I16="excess hypermetropia RE",I18="excess hypermetropia LE"),"If 6/6 or better monoc, requires ant angle and FR testing, CL to be worn","")</f>
        <v/>
      </c>
      <c r="J28" s="2"/>
      <c r="K28" s="2"/>
    </row>
    <row r="29" spans="1:11" ht="13" thickBot="1" x14ac:dyDescent="0.3">
      <c r="A29" s="13"/>
      <c r="B29" s="13"/>
      <c r="C29" s="14"/>
      <c r="D29" s="14"/>
      <c r="E29" s="13"/>
      <c r="F29" s="13"/>
      <c r="G29" s="13"/>
      <c r="H29" s="13"/>
      <c r="I29" s="13"/>
      <c r="J29" s="13"/>
      <c r="K29" s="13"/>
    </row>
    <row r="30" spans="1:11" ht="13.5" thickTop="1" x14ac:dyDescent="0.3">
      <c r="A30" s="18" t="s">
        <v>9</v>
      </c>
      <c r="B30" s="2"/>
      <c r="C30" s="5"/>
      <c r="D30" s="2"/>
      <c r="E30" s="9" t="s">
        <v>10</v>
      </c>
      <c r="F30" s="2"/>
      <c r="G30" s="2"/>
      <c r="H30" s="2"/>
      <c r="I30" s="18" t="s">
        <v>11</v>
      </c>
      <c r="J30" s="2"/>
      <c r="K30" s="2"/>
    </row>
    <row r="31" spans="1:11" ht="13" x14ac:dyDescent="0.3">
      <c r="A31" s="9" t="s">
        <v>16</v>
      </c>
      <c r="B31" s="2"/>
      <c r="C31" s="5"/>
      <c r="D31" s="2"/>
      <c r="E31" s="9" t="s">
        <v>16</v>
      </c>
      <c r="F31" s="2"/>
      <c r="G31" s="2"/>
      <c r="H31" s="2"/>
      <c r="I31" s="9" t="s">
        <v>16</v>
      </c>
      <c r="J31" s="2"/>
      <c r="K31" s="2"/>
    </row>
    <row r="32" spans="1:11" x14ac:dyDescent="0.25">
      <c r="A32" s="5" t="s">
        <v>13</v>
      </c>
      <c r="B32" s="2"/>
      <c r="C32" s="5"/>
      <c r="D32" s="2"/>
      <c r="E32" s="5" t="s">
        <v>13</v>
      </c>
      <c r="F32" s="2"/>
      <c r="G32" s="2"/>
      <c r="H32" s="2"/>
      <c r="I32" s="5" t="s">
        <v>13</v>
      </c>
      <c r="J32" s="2"/>
      <c r="K32" s="2"/>
    </row>
    <row r="33" spans="1:11" x14ac:dyDescent="0.25">
      <c r="A33" s="2" t="str">
        <f>IF(G8&lt;(-6),"with 2yr Ophth exam","")</f>
        <v/>
      </c>
      <c r="B33" s="2"/>
      <c r="C33" s="5"/>
      <c r="D33" s="2"/>
      <c r="E33" s="2"/>
      <c r="F33" s="2"/>
      <c r="G33" s="2"/>
      <c r="H33" s="2"/>
      <c r="I33" s="2" t="str">
        <f>IF(G8&lt;(-6),"with 2yr Ophth exam","")</f>
        <v/>
      </c>
      <c r="J33" s="2"/>
      <c r="K33" s="2"/>
    </row>
    <row r="34" spans="1:11" x14ac:dyDescent="0.25">
      <c r="A34" s="2" t="str">
        <f>IF(G8&gt;(5),"with 2yr Ophth exam","")</f>
        <v/>
      </c>
      <c r="B34" s="2"/>
      <c r="C34" s="5"/>
      <c r="D34" s="2"/>
      <c r="E34" s="2"/>
      <c r="F34" s="2"/>
      <c r="G34" s="2"/>
      <c r="H34" s="2"/>
      <c r="I34" s="2" t="str">
        <f>IF(G8&gt;(5),"with 2yr Ophth exam","")</f>
        <v/>
      </c>
      <c r="J34" s="2"/>
      <c r="K34" s="2"/>
    </row>
    <row r="35" spans="1:11" x14ac:dyDescent="0.25">
      <c r="A35" s="2" t="str">
        <f>IF(AND(G9&lt;(-6),A33="",A34=""),"with 2yr Ophth exam","")</f>
        <v/>
      </c>
      <c r="B35" s="2"/>
      <c r="C35" s="5"/>
      <c r="D35" s="2"/>
      <c r="E35" s="2"/>
      <c r="F35" s="2"/>
      <c r="G35" s="2"/>
      <c r="H35" s="2"/>
      <c r="I35" s="2" t="str">
        <f>IF(AND(G9&lt;(-6),I33="",I34=""),"with 2yr Ophth exam","")</f>
        <v/>
      </c>
      <c r="J35" s="2"/>
      <c r="K35" s="2"/>
    </row>
    <row r="36" spans="1:11" x14ac:dyDescent="0.25">
      <c r="A36" s="2" t="str">
        <f>IF(AND(G9&gt;(5),A33="",A34="",A35=""),"with 2yr Ophth exam","")</f>
        <v/>
      </c>
      <c r="B36" s="2"/>
      <c r="C36" s="5"/>
      <c r="D36" s="2"/>
      <c r="E36" s="2"/>
      <c r="F36" s="2"/>
      <c r="G36" s="2"/>
      <c r="H36" s="2"/>
      <c r="I36" s="2" t="str">
        <f>IF(AND(G9&gt;(5),I33="",I34="",I35=""),"with 2yr Ophth exam","")</f>
        <v/>
      </c>
      <c r="J36" s="2"/>
      <c r="K36" s="2"/>
    </row>
    <row r="37" spans="1:11" x14ac:dyDescent="0.25">
      <c r="A37" s="2" t="str">
        <f>IF(ABS(I6)&gt;3,IF(AND(A33="",A34="",A35="",A36=""),"with 2yr ophth exam",""),"")</f>
        <v/>
      </c>
      <c r="B37" s="2"/>
      <c r="C37" s="5"/>
      <c r="D37" s="2"/>
      <c r="E37" s="2"/>
      <c r="F37" s="2"/>
      <c r="G37" s="2"/>
      <c r="H37" s="2"/>
      <c r="I37" s="2" t="str">
        <f>IF(ABS(I6)&gt;3,IF(AND(I33="",I34="",I35="",I36=""),"with 2yr ophth exam",""),"")</f>
        <v/>
      </c>
      <c r="J37" s="2"/>
      <c r="K37" s="2"/>
    </row>
    <row r="38" spans="1:11" x14ac:dyDescent="0.25">
      <c r="A38" s="5" t="str">
        <f>IF((ABS(D6)&gt;3),IF(AND(A33="",A34="",A35="",A36="",A37=""),"with 2yr ophth exam",""),"")</f>
        <v/>
      </c>
      <c r="B38" s="2"/>
      <c r="C38" s="5"/>
      <c r="D38" s="2"/>
      <c r="E38" s="2"/>
      <c r="F38" s="2"/>
      <c r="G38" s="2"/>
      <c r="H38" s="2"/>
      <c r="I38" s="5" t="str">
        <f>IF((ABS(D6)&gt;3),IF(AND(I33="",I34="",I35="",I36="",I37=""),"with 2yr ophth exam",""),"")</f>
        <v/>
      </c>
      <c r="J38" s="2"/>
      <c r="K38" s="2"/>
    </row>
    <row r="39" spans="1:11" x14ac:dyDescent="0.25">
      <c r="A39" s="5" t="str">
        <f>IF((ABS(D7)&gt;3),IF(AND(A33="",A34="",A35="",A36="",A37="",A38=""),"with 2yr ophth exam",""),"")</f>
        <v/>
      </c>
      <c r="B39" s="2"/>
      <c r="C39" s="5"/>
      <c r="D39" s="2"/>
      <c r="E39" s="2"/>
      <c r="F39" s="2"/>
      <c r="G39" s="2"/>
      <c r="H39" s="2"/>
      <c r="I39" s="5" t="str">
        <f>IF((ABS(D7)&gt;3),IF(AND(I33="",I34="",I35="",I36="",I37="",I38=""),"with 2yr ophth exam",""),"")</f>
        <v/>
      </c>
      <c r="J39" s="2"/>
      <c r="K39" s="2"/>
    </row>
    <row r="40" spans="1:11" x14ac:dyDescent="0.25">
      <c r="A40" s="5" t="str">
        <f>IF((G8&gt;-6.1),IF((G8&lt;-3),IF(AND(A33="",A34="",A35="",A36="",A37="",A38="",A39=""),"with 5yr ophth exam",""),""),"")</f>
        <v/>
      </c>
      <c r="B40" s="2"/>
      <c r="C40" s="5"/>
      <c r="D40" s="2"/>
      <c r="E40" s="2"/>
      <c r="F40" s="2"/>
      <c r="G40" s="2"/>
      <c r="H40" s="2"/>
      <c r="I40" s="5" t="str">
        <f>IF((G8&gt;-6.1),IF((G8&lt;-3),IF(AND(I33="",I34="",I35="",I36="",I37="",I38="",I39=""),"with 4yr ophth exam",""),""),"")</f>
        <v/>
      </c>
      <c r="J40" s="2"/>
      <c r="K40" s="2"/>
    </row>
    <row r="41" spans="1:11" x14ac:dyDescent="0.25">
      <c r="A41" s="2" t="str">
        <f>IF((G9&gt;-6.1),IF((G9&lt;-3),IF(AND(A33="",A34="",A35="",A36="",A37="",A38="",A39="",A40=""),"with 5yr ophth exam",""),""),"")</f>
        <v/>
      </c>
      <c r="B41" s="2"/>
      <c r="C41" s="5"/>
      <c r="D41" s="2"/>
      <c r="E41" s="2"/>
      <c r="F41" s="2"/>
      <c r="G41" s="2"/>
      <c r="H41" s="2"/>
      <c r="I41" s="2" t="str">
        <f>IF((G9&gt;-6.1),IF((G9&lt;-3),IF(AND(I33="",I34="",I35="",I36="",I37="",I38="",I39="",I40=""),"with 4yr ophth exam",""),""),"")</f>
        <v/>
      </c>
      <c r="J41" s="2"/>
      <c r="K41" s="2"/>
    </row>
    <row r="42" spans="1:11" x14ac:dyDescent="0.25">
      <c r="A42" s="2" t="str">
        <f>IF((G8&gt;3),IF((G8&lt;5.75),IF(AND(A33="",A34="",A35="",A36="",A37="",A38="",A39="",A40=""),"with 5yr ophth exam",""),""),"")</f>
        <v/>
      </c>
      <c r="B42" s="2"/>
      <c r="C42" s="5"/>
      <c r="D42" s="2"/>
      <c r="E42" s="2"/>
      <c r="F42" s="2"/>
      <c r="G42" s="2"/>
      <c r="H42" s="2"/>
      <c r="I42" s="2" t="str">
        <f>IF((G8&gt;3),IF((G8&lt;5.75),IF(AND(I33="",I34="",I35="",I36="",I37="",I38="",I39="",I40=""),"with 4yr ophth exam",""),""),"")</f>
        <v/>
      </c>
      <c r="J42" s="2"/>
      <c r="K42" s="2"/>
    </row>
    <row r="43" spans="1:11" x14ac:dyDescent="0.25">
      <c r="A43" s="2" t="str">
        <f>IF((G9&gt;3),IF((G9&lt;5.75),IF((A42=""),IF(AND(A33="",A34="",A35="",A36="",A37="",A38="",A39="",A40=""),"with 5yr ophth exam",""),""),""),"")</f>
        <v/>
      </c>
      <c r="B43" s="2"/>
      <c r="C43" s="5"/>
      <c r="D43" s="2"/>
      <c r="E43" s="2"/>
      <c r="F43" s="2"/>
      <c r="G43" s="2"/>
      <c r="H43" s="2"/>
      <c r="I43" s="2" t="str">
        <f>IF((G9&gt;3),IF((G9&lt;5.75),IF((I42=""),IF(AND(I33="",I34="",I35="",I36="",I37="",I38="",I39="",I40=""),"with 4yr ophth exam",""),""),""),"")</f>
        <v/>
      </c>
      <c r="J43" s="2"/>
      <c r="K43" s="2"/>
    </row>
    <row r="44" spans="1:11" x14ac:dyDescent="0.25">
      <c r="A44" s="2"/>
      <c r="B44" s="2"/>
      <c r="C44" s="5"/>
      <c r="D44" s="2"/>
      <c r="E44" s="2"/>
      <c r="F44" s="2"/>
      <c r="G44" s="2"/>
      <c r="H44" s="2"/>
      <c r="I44" s="2" t="str">
        <f>IF(NOT(AND(I34="",I36="")),"requires ophth evaluation","")</f>
        <v/>
      </c>
      <c r="J44" s="2"/>
      <c r="K44" s="2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&amp;C&amp;"Calibri"&amp;8&amp;K000000 OFFICIAL - Public. This information has been cleared for unrestricted distribution. &amp;1#_x000D_</oddHeader>
    <oddFooter>&amp;C_x000D_&amp;1#&amp;"Calibri"&amp;8&amp;K000000 OFFICIAL - 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spec-calc</vt:lpstr>
      <vt:lpstr>axis</vt:lpstr>
      <vt:lpstr>cyl</vt:lpstr>
      <vt:lpstr>sph</vt:lpstr>
    </vt:vector>
  </TitlesOfParts>
  <Manager/>
  <Company>CAA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</dc:creator>
  <cp:keywords/>
  <dc:description/>
  <cp:lastModifiedBy>Charlene Beadle</cp:lastModifiedBy>
  <cp:revision/>
  <dcterms:created xsi:type="dcterms:W3CDTF">2001-03-21T16:26:45Z</dcterms:created>
  <dcterms:modified xsi:type="dcterms:W3CDTF">2023-12-18T11:47:57Z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6039e1-a83a-4485-9581-62128b86c05c_Enabled">
    <vt:lpwstr>true</vt:lpwstr>
  </property>
  <property fmtid="{D5CDD505-2E9C-101B-9397-08002B2CF9AE}" pid="3" name="MSIP_Label_1e6039e1-a83a-4485-9581-62128b86c05c_SetDate">
    <vt:lpwstr>2023-12-18T11:43:56Z</vt:lpwstr>
  </property>
  <property fmtid="{D5CDD505-2E9C-101B-9397-08002B2CF9AE}" pid="4" name="MSIP_Label_1e6039e1-a83a-4485-9581-62128b86c05c_Method">
    <vt:lpwstr>Privileged</vt:lpwstr>
  </property>
  <property fmtid="{D5CDD505-2E9C-101B-9397-08002B2CF9AE}" pid="5" name="MSIP_Label_1e6039e1-a83a-4485-9581-62128b86c05c_Name">
    <vt:lpwstr>O - Unrestricted - Public</vt:lpwstr>
  </property>
  <property fmtid="{D5CDD505-2E9C-101B-9397-08002B2CF9AE}" pid="6" name="MSIP_Label_1e6039e1-a83a-4485-9581-62128b86c05c_SiteId">
    <vt:lpwstr>c4edd5ba-10c3-4fe3-946a-7c9c446ab8c8</vt:lpwstr>
  </property>
  <property fmtid="{D5CDD505-2E9C-101B-9397-08002B2CF9AE}" pid="7" name="MSIP_Label_1e6039e1-a83a-4485-9581-62128b86c05c_ActionId">
    <vt:lpwstr>900e9daa-ae11-4f75-82c8-6b3a3b8ff249</vt:lpwstr>
  </property>
  <property fmtid="{D5CDD505-2E9C-101B-9397-08002B2CF9AE}" pid="8" name="MSIP_Label_1e6039e1-a83a-4485-9581-62128b86c05c_ContentBits">
    <vt:lpwstr>3</vt:lpwstr>
  </property>
</Properties>
</file>